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1655" yWindow="65431" windowWidth="13815" windowHeight="12555" activeTab="0"/>
  </bookViews>
  <sheets>
    <sheet name="Erläuterung" sheetId="1" r:id="rId1"/>
    <sheet name="1. Humuswirkung der Früchte" sheetId="2" r:id="rId2"/>
    <sheet name="2. Zufuhr von org. Material" sheetId="3" r:id="rId3"/>
    <sheet name="3. Ergebnis" sheetId="4" r:id="rId4"/>
  </sheets>
  <definedNames>
    <definedName name="_xlnm.Print_Area" localSheetId="3">'3. Ergebnis'!$A$1:$E$19</definedName>
  </definedNames>
  <calcPr fullCalcOnLoad="1"/>
</workbook>
</file>

<file path=xl/sharedStrings.xml><?xml version="1.0" encoding="utf-8"?>
<sst xmlns="http://schemas.openxmlformats.org/spreadsheetml/2006/main" count="308" uniqueCount="195">
  <si>
    <t>Kartoffeln</t>
  </si>
  <si>
    <t>Körnerleguminosen</t>
  </si>
  <si>
    <t>je Hauptnutzungsjahr</t>
  </si>
  <si>
    <t>Selbstbegrünung ab Frühjahr des Brachejahrs</t>
  </si>
  <si>
    <t>frisch</t>
  </si>
  <si>
    <t>kompostiert</t>
  </si>
  <si>
    <t>Gülle</t>
  </si>
  <si>
    <t>Geflügel (Kot)</t>
  </si>
  <si>
    <t>Bioabfall</t>
  </si>
  <si>
    <t>nicht verrottet</t>
  </si>
  <si>
    <t>Frischkompost</t>
  </si>
  <si>
    <t>Fertigkompost</t>
  </si>
  <si>
    <t>Klärschlamm</t>
  </si>
  <si>
    <t>Sonstiges</t>
  </si>
  <si>
    <t>Rindenkompost</t>
  </si>
  <si>
    <t>See-, Teichschlamm</t>
  </si>
  <si>
    <t>Summe</t>
  </si>
  <si>
    <t>Braugerste</t>
  </si>
  <si>
    <t>Hafer</t>
  </si>
  <si>
    <t>Körnermais</t>
  </si>
  <si>
    <t>Öllein</t>
  </si>
  <si>
    <t>Sommerfuttergerste</t>
  </si>
  <si>
    <t>Sommerraps</t>
  </si>
  <si>
    <t>Sonnenblumen</t>
  </si>
  <si>
    <t>Wintergerste</t>
  </si>
  <si>
    <t>Winterweizen</t>
  </si>
  <si>
    <t>Winterroggen</t>
  </si>
  <si>
    <t>Wintertriticale</t>
  </si>
  <si>
    <t>Zuckerrüben</t>
  </si>
  <si>
    <t>Silomais</t>
  </si>
  <si>
    <t>Getreide, Öl- und Faserpflanzen, Sonnenblumen</t>
  </si>
  <si>
    <t>dt / ha</t>
  </si>
  <si>
    <t xml:space="preserve">Summe </t>
  </si>
  <si>
    <t>Verhältnis
Rübe : Blatt
Korn : Stroh</t>
  </si>
  <si>
    <t>Mais, Hirse</t>
  </si>
  <si>
    <t>Sudangras</t>
  </si>
  <si>
    <t>-</t>
  </si>
  <si>
    <t>Spalte</t>
  </si>
  <si>
    <t>Anfall an 
Stroh, Rü-benblatt,
Gründüng.</t>
  </si>
  <si>
    <t>Ertrag 
Haupternte-produkt</t>
  </si>
  <si>
    <t>Einarbeitung von Stroh, Rübenblatt, Gründüngung</t>
  </si>
  <si>
    <t>Geltungs-bereich</t>
  </si>
  <si>
    <t>feste Fraktion aus separierter Gülle</t>
  </si>
  <si>
    <t>verrottet</t>
  </si>
  <si>
    <t>Trockenmassegehalt</t>
  </si>
  <si>
    <t>%</t>
  </si>
  <si>
    <t>Humusfaktor</t>
  </si>
  <si>
    <t>Hackfrüchte</t>
  </si>
  <si>
    <t>alle Arten</t>
  </si>
  <si>
    <t>Marktabfälle, Grünschnitt</t>
  </si>
  <si>
    <t>von</t>
  </si>
  <si>
    <t>bis</t>
  </si>
  <si>
    <t>Menge des aufgebrachten
org. Materials</t>
  </si>
  <si>
    <t>im aufge-brachten Material</t>
  </si>
  <si>
    <t>Kulturart</t>
  </si>
  <si>
    <t>1. Humuswirkung der angebauten Kulturen und deren Nebenprodukten</t>
  </si>
  <si>
    <t>a</t>
  </si>
  <si>
    <t>b</t>
  </si>
  <si>
    <t>c</t>
  </si>
  <si>
    <t>d</t>
  </si>
  <si>
    <t>e</t>
  </si>
  <si>
    <t>f</t>
  </si>
  <si>
    <t>g</t>
  </si>
  <si>
    <t>i</t>
  </si>
  <si>
    <t>HÄ / ha</t>
  </si>
  <si>
    <t>h</t>
  </si>
  <si>
    <t>j</t>
  </si>
  <si>
    <t>Berechnung</t>
  </si>
  <si>
    <t>a * b</t>
  </si>
  <si>
    <t>g * h</t>
  </si>
  <si>
    <t>c + i</t>
  </si>
  <si>
    <t>d * e * f</t>
  </si>
  <si>
    <t>Humuswirkung 
durch den Anbau</t>
  </si>
  <si>
    <t>Humuswirkung 
der Nebenprodukte</t>
  </si>
  <si>
    <t xml:space="preserve">
Hinweise</t>
  </si>
  <si>
    <t>HÄ / t</t>
  </si>
  <si>
    <t>gezielte Begrünung ab Sommer der Brachlegung inkl. des fol-genden Jahres mit einer Klee-/Gras- oder Blühmischung</t>
  </si>
  <si>
    <t>gezielte Begrünung ab Frühjahr des Brachejahres mit einer Klee-/Gras- oder Blühmischung</t>
  </si>
  <si>
    <t>Blumenkohl, Brokkoli, Chinakohl, Fingerhut, Gurke, Knollen-sellerie, Kürbis, Porree, Rhabarber, Rotkohl, Stabtomate, Stangensellerie, Weißkohl, Wirsing, Zucchini, Zuckermelone</t>
  </si>
  <si>
    <t>Aubergine, Chicoree (Wurzel), Goldlack, Kamille, Knoblauch, Kohlrübe, Malve, Möhre, Meerrettich, Paprika, Pastinak, Ringel-blume, Schöllkraut, Schwarzwurzel, Sonnenhut, Zuckermais</t>
  </si>
  <si>
    <t xml:space="preserve">
Hinweise</t>
  </si>
  <si>
    <t>Winterraps/-rübsen</t>
  </si>
  <si>
    <t>Futterrüben</t>
  </si>
  <si>
    <t>Brache / GLÖZ-Flächen</t>
  </si>
  <si>
    <t>Ackerfläche, ha</t>
  </si>
  <si>
    <t>betrachtetes Erntejahr</t>
  </si>
  <si>
    <t>ha</t>
  </si>
  <si>
    <t>HÄ</t>
  </si>
  <si>
    <t>t</t>
  </si>
  <si>
    <t>Betrieb</t>
  </si>
  <si>
    <t>Jahr</t>
  </si>
  <si>
    <t>Name des Betriebs</t>
  </si>
  <si>
    <t>Hauptfrüchte</t>
  </si>
  <si>
    <t>Zwischenfrüchte</t>
  </si>
  <si>
    <t>Stallmist</t>
  </si>
  <si>
    <t>Bewertung</t>
  </si>
  <si>
    <t>Empfehlung</t>
  </si>
  <si>
    <t>Ackerfläche</t>
  </si>
  <si>
    <r>
      <t xml:space="preserve">davon mit Doppelnutzung </t>
    </r>
    <r>
      <rPr>
        <b/>
        <vertAlign val="superscript"/>
        <sz val="9"/>
        <rFont val="Arial"/>
        <family val="2"/>
      </rPr>
      <t>1)</t>
    </r>
    <r>
      <rPr>
        <b/>
        <sz val="9"/>
        <rFont val="Arial"/>
        <family val="2"/>
      </rPr>
      <t>, ha</t>
    </r>
  </si>
  <si>
    <t>angebaute Früchte</t>
  </si>
  <si>
    <t>im Ansaatjahr als Blanksaat im Frühjahr</t>
  </si>
  <si>
    <t>Sommerweizen</t>
  </si>
  <si>
    <t>Öl- und Faserpflanzen</t>
  </si>
  <si>
    <t>Gärrest</t>
  </si>
  <si>
    <t>Selbstbegrünung mindestens ab Herbst des Vorjahres</t>
  </si>
  <si>
    <t xml:space="preserve">gesamte frucht-spezifische Ver-änderung der Humusvorräte </t>
  </si>
  <si>
    <t>HÄ / dt</t>
  </si>
  <si>
    <t>kalkstabilisiert</t>
  </si>
  <si>
    <t>unbehandelt, ausgefault</t>
  </si>
  <si>
    <t>Dinkel</t>
  </si>
  <si>
    <r>
      <rPr>
        <b/>
        <u val="single"/>
        <sz val="8"/>
        <rFont val="Arial"/>
        <family val="2"/>
      </rPr>
      <t>Untersaat:</t>
    </r>
    <r>
      <rPr>
        <b/>
        <sz val="8"/>
        <rFont val="Arial"/>
        <family val="2"/>
      </rPr>
      <t xml:space="preserve"> Phazelie, Inkarnatklee, Serradella, Weißklee, Rotklee u. ä.</t>
    </r>
  </si>
  <si>
    <r>
      <rPr>
        <b/>
        <u val="single"/>
        <sz val="8"/>
        <rFont val="Arial"/>
        <family val="2"/>
      </rPr>
      <t>Untersaat:</t>
    </r>
    <r>
      <rPr>
        <b/>
        <sz val="8"/>
        <rFont val="Arial"/>
        <family val="2"/>
      </rPr>
      <t xml:space="preserve"> Alexandrinerklee, Buchweizen, Weidelgras u. ä. </t>
    </r>
  </si>
  <si>
    <r>
      <rPr>
        <b/>
        <u val="single"/>
        <sz val="8"/>
        <rFont val="Arial"/>
        <family val="2"/>
      </rPr>
      <t>Stoppelsaat:</t>
    </r>
    <r>
      <rPr>
        <b/>
        <sz val="8"/>
        <rFont val="Arial"/>
        <family val="2"/>
      </rPr>
      <t xml:space="preserve"> Phazelie, Sommerwicken, Inkarnatklee u. ä.</t>
    </r>
  </si>
  <si>
    <r>
      <rPr>
        <b/>
        <u val="single"/>
        <sz val="8"/>
        <rFont val="Arial"/>
        <family val="2"/>
      </rPr>
      <t>Stoppelsaat:</t>
    </r>
    <r>
      <rPr>
        <b/>
        <sz val="8"/>
        <rFont val="Arial"/>
        <family val="2"/>
      </rPr>
      <t xml:space="preserve"> Ackerbohnen/Erbsen/Wicken-Gemenge, Alexandriner-klee, Ackerbohnen, Buchweizen, Erbsen, Ölrettich, Sommerraps, -rübsen, 1jähriges Weidelgras u. ä.</t>
    </r>
  </si>
  <si>
    <r>
      <rPr>
        <b/>
        <u val="single"/>
        <sz val="8"/>
        <rFont val="Arial"/>
        <family val="2"/>
      </rPr>
      <t xml:space="preserve">Stoppelsaat: </t>
    </r>
    <r>
      <rPr>
        <b/>
        <sz val="8"/>
        <rFont val="Arial"/>
        <family val="2"/>
      </rPr>
      <t>Erbsen/Sonnenblumen-Gemenge, Senf, Sonnenblumen u. ä.</t>
    </r>
  </si>
  <si>
    <r>
      <rPr>
        <b/>
        <u val="single"/>
        <sz val="8"/>
        <rFont val="Arial"/>
        <family val="2"/>
      </rPr>
      <t>Stoppelsaat:</t>
    </r>
    <r>
      <rPr>
        <b/>
        <sz val="8"/>
        <rFont val="Arial"/>
        <family val="2"/>
      </rPr>
      <t xml:space="preserve"> Welsches Weidelgras, Winterraps, -rübsen u. a. Winter-Zwi.-Früchte</t>
    </r>
  </si>
  <si>
    <t>(bei 10 % TM)</t>
  </si>
  <si>
    <t xml:space="preserve">damit zugeführte Humusmenge </t>
  </si>
  <si>
    <t>dt</t>
  </si>
  <si>
    <r>
      <t xml:space="preserve">Zwischenfrüchte </t>
    </r>
    <r>
      <rPr>
        <b/>
        <vertAlign val="superscript"/>
        <sz val="9"/>
        <rFont val="Arial"/>
        <family val="2"/>
      </rPr>
      <t>1)</t>
    </r>
  </si>
  <si>
    <r>
      <t xml:space="preserve">Ackerschachtelhalm, Alant, Arzneifenchel, Baldrian, Bergarnika, Bergbohnenkraut, Bibernelle,  ...  </t>
    </r>
    <r>
      <rPr>
        <b/>
        <vertAlign val="superscript"/>
        <sz val="8"/>
        <rFont val="Arial"/>
        <family val="2"/>
      </rPr>
      <t>2)</t>
    </r>
  </si>
  <si>
    <r>
      <t xml:space="preserve">Getreide für Ganzpflanzennutzung ab Blühbeginn </t>
    </r>
    <r>
      <rPr>
        <b/>
        <vertAlign val="superscript"/>
        <sz val="10"/>
        <rFont val="Arial"/>
        <family val="2"/>
      </rPr>
      <t>1)</t>
    </r>
  </si>
  <si>
    <r>
      <t xml:space="preserve">im Ansaatjahr mit Grünfutter-Deckfrucht </t>
    </r>
    <r>
      <rPr>
        <b/>
        <vertAlign val="superscript"/>
        <sz val="10"/>
        <rFont val="Calibri"/>
        <family val="2"/>
      </rPr>
      <t xml:space="preserve"> </t>
    </r>
    <r>
      <rPr>
        <b/>
        <vertAlign val="superscript"/>
        <sz val="10"/>
        <rFont val="Arial"/>
        <family val="2"/>
      </rPr>
      <t>1)</t>
    </r>
  </si>
  <si>
    <r>
      <t xml:space="preserve">im Ansaatjahr mit Körner-Deckfrucht ("Untersaat") </t>
    </r>
    <r>
      <rPr>
        <b/>
        <vertAlign val="superscript"/>
        <sz val="10"/>
        <rFont val="Arial"/>
        <family val="2"/>
      </rPr>
      <t>1)</t>
    </r>
  </si>
  <si>
    <r>
      <t>im Ansaatjahr als Blanksaat im Spätsommer</t>
    </r>
    <r>
      <rPr>
        <b/>
        <vertAlign val="superscript"/>
        <sz val="10"/>
        <rFont val="Arial"/>
        <family val="2"/>
      </rPr>
      <t xml:space="preserve"> 1)</t>
    </r>
  </si>
  <si>
    <t>Schwein 1</t>
  </si>
  <si>
    <t>Schwein 2</t>
  </si>
  <si>
    <t>Rind 1</t>
  </si>
  <si>
    <t>Rind 2</t>
  </si>
  <si>
    <t>Kleegras u. ä. 1</t>
  </si>
  <si>
    <t>Kleegras u. ä. 2</t>
  </si>
  <si>
    <t>flüssig, fest, kompostiert 1</t>
  </si>
  <si>
    <t>flüssig, fest, kompostiert 2</t>
  </si>
  <si>
    <t>ausgebrachte
organische Dünger</t>
  </si>
  <si>
    <t>2) Brennnessel, Drachenkopf, Dill, Dost, Eibisch, Eichblattsalat, Eisbergsalat, Endivie, Engelswurz, Erdbeere, Estragon, Faserpflanzen, Feldsalat, Fenchel, Goldrute, Grünerbse, Grünkohl, Hopfen, 
    Johanniskraut, Kohlrabi, Kopfsalat, Kornblume, Kümmel, Lollo, Liebstöckel, Majoran, Mangold, Mutterkraut, Nachtkerze, Ölfrüchte, Petersilie, Pfefferminze, Radicchio, Radies, Rettich, Romana, 
    Rote Rübe, Salbei, Schafgarbe, Schnittlauch, Spinat, Spitzwegerich, Stangenbohne, Tabak, Thymian, Zitronenmelisse, Zwiebel</t>
  </si>
  <si>
    <t>Obst-, Gemüse-, Duft-, Gewürz- und Heilpflanzen</t>
  </si>
  <si>
    <t>Getreidestroh (z.B. zu Erdbeeren)</t>
  </si>
  <si>
    <r>
      <t xml:space="preserve">Ackergras, Futterleguminosen, Bockshorn-, Schabziger-, Steinklee, einschl. Gemenge und Vermehrung </t>
    </r>
    <r>
      <rPr>
        <b/>
        <vertAlign val="superscript"/>
        <sz val="9"/>
        <rFont val="Arial"/>
        <family val="2"/>
      </rPr>
      <t>1)</t>
    </r>
  </si>
  <si>
    <t xml:space="preserve">1)  Doppelnutzung: Winterung mit anschließender Zweitnutzung (z. B. Grünroggen oder Getreide-Ganzpflanzensilage vor Mais oder Sudangras), Ackerfutter u.ä. im Ansaatjahr (außer bei Frühjahrs-
     blanksaat), Zwischenfrüchte   </t>
  </si>
  <si>
    <t>Dr. Robert Beck, Rudolf  Rippel
Bayerische Landesanstalt für Landwirtschaft
Institut für Ökologischen Landbau, Bodenkultur und Ressourcenschutz
Tel.: 08161/71-3705      Fax: 08161/71-3618</t>
  </si>
  <si>
    <t xml:space="preserve">(1) VDLUFA, April 2014: Standpunkt "Humusbilanzierung" </t>
  </si>
  <si>
    <r>
      <t xml:space="preserve"> &gt;  geben Sie zunächst den Namen des Betriebs, die Betriebsnummer, die Größe der zu bewertenden Ackerfläche und 
     davon die Fläche mit Doppelnutzung</t>
    </r>
    <r>
      <rPr>
        <b/>
        <vertAlign val="superscript"/>
        <sz val="8"/>
        <rFont val="Arial"/>
        <family val="2"/>
      </rPr>
      <t>1)</t>
    </r>
    <r>
      <rPr>
        <b/>
        <sz val="8"/>
        <rFont val="Arial"/>
        <family val="2"/>
      </rPr>
      <t xml:space="preserve"> und das Jahr der Betrachtung in die vorgesehenen Felder ein
 &gt;  geben Sie dann die jeweilige Anbaufläche der Früchte an, die Sie im betreffenden Jahr auf den relevanten Flächen angebaut haben (Spalte a) und - soweit Nebenprodukte (Rübenblatt, 
     Stroh, Gründüngung) auf der Fläche verblieben sind - die betroffene Fläche (Spalte d) sowie jeweils den geschätzten mittleren Ertrag des Haupternteprodukts (Spalte e)
 &gt;  Gemenge werden wie die im Gemenge dominierende Fruchtart behandelt </t>
    </r>
  </si>
  <si>
    <t>ökologisch bewirtschaftet? 
"ja" - "nein"</t>
  </si>
  <si>
    <t>erwartetes Ertragsniveau im Hauptnutzungsjahr
 &gt; 0,5 t FM/ha? "ja" - "nein"</t>
  </si>
  <si>
    <t>über 80% Bodendeckung erreicht?     "ja" - "nein"</t>
  </si>
  <si>
    <r>
      <rPr>
        <b/>
        <u val="single"/>
        <sz val="8"/>
        <rFont val="Arial"/>
        <family val="2"/>
      </rPr>
      <t>Stoppelsaat:</t>
    </r>
    <r>
      <rPr>
        <b/>
        <sz val="8"/>
        <rFont val="Arial"/>
        <family val="2"/>
      </rPr>
      <t xml:space="preserve"> Wintergetreide, z.B. Grünroggen (Einarbeiten oder Abfahren bis Ende Ährenschieben)</t>
    </r>
  </si>
  <si>
    <t>Klasse</t>
  </si>
  <si>
    <t>A / konv</t>
  </si>
  <si>
    <t>Bilanz sehr niedrig: mittelfristig ungünstige Beeinflussung von Bodenfunktionen und Ertragsleistung möglich</t>
  </si>
  <si>
    <t xml:space="preserve">bei standorttypischem oder niedrigerem Humusgehalt: weniger humuszehrende Früchte anbauen und/oder Zufuhr organischer Dünger unter Berücksichtigung des Nährstoffvergleichs erhöhen </t>
  </si>
  <si>
    <t>A / öko</t>
  </si>
  <si>
    <t>Bilanz sehr niedrig: ungünstige Beeinflussung von Bodenfunktionen und Ertragsleistung ist zu erwarten</t>
  </si>
  <si>
    <t xml:space="preserve">weniger humuszehrende Früchte anbauen und/oder Zufuhr organischer Dünger unter Berücksichtigung des Nährstoffvergleichs erhöhen </t>
  </si>
  <si>
    <t>B / konv</t>
  </si>
  <si>
    <t>Bilanz niedrig: mittelfristig tolerierbar, insbesondere auf humusreichen Standorten</t>
  </si>
  <si>
    <t>bei niedrigerem als dem standorttypischen Humusgehalt: weniger humuszehrende Früchte anbauen und/oder Zufuhr organischer Dünger unter Berücksichtigung des Nährstoffvergleichs erhöhen</t>
  </si>
  <si>
    <t>B / öko</t>
  </si>
  <si>
    <t>Bilanz niedrig: kurzfristig tolerierbar, insbesondere auf humusreichen Standorten</t>
  </si>
  <si>
    <t>C</t>
  </si>
  <si>
    <t>Bilanz ausgeglichen: optimale Ertragssicherheit bei geringem Stickstoffverlust</t>
  </si>
  <si>
    <t>empfehlenswert bei standorttypischem Humusgehalt</t>
  </si>
  <si>
    <t>D</t>
  </si>
  <si>
    <t xml:space="preserve">Bilanz hoch: mittelfristig tolerierbar, insbesondere auf humusarmen Standorten </t>
  </si>
  <si>
    <t>bei höherem als dem standorttypischen Humusgehalt: Zufuhr an organischer Substanz reduzieren</t>
  </si>
  <si>
    <t>E</t>
  </si>
  <si>
    <t xml:space="preserve">Bilanz sehr hoch: erhöhtes Risiko für Stickstoffverluste und verminderte Stickstoffeffizienz </t>
  </si>
  <si>
    <t>auf Einhaltung des zulässigen N-Überschusses achten (Düngeverordnung); bei höherem als dem standorttypischen Humusgehalt: Zufuhr von organischer Substanz reduzieren</t>
  </si>
  <si>
    <t>Bilanz *</t>
  </si>
  <si>
    <t>Bewertung *</t>
  </si>
  <si>
    <t>Empfehlung *</t>
  </si>
  <si>
    <t xml:space="preserve">Humusbilanz (Betrieb/Jahr) </t>
  </si>
  <si>
    <r>
      <rPr>
        <b/>
        <u val="single"/>
        <sz val="12"/>
        <rFont val="Calibri"/>
        <family val="2"/>
      </rPr>
      <t>Anleitung</t>
    </r>
    <r>
      <rPr>
        <u val="single"/>
        <sz val="12"/>
        <rFont val="Calibri"/>
        <family val="2"/>
      </rPr>
      <t>:</t>
    </r>
    <r>
      <rPr>
        <sz val="12"/>
        <rFont val="Calibri"/>
        <family val="2"/>
      </rPr>
      <t xml:space="preserve"> 
Füllen Sie die weißen Felder der Arbeitsblätter 1 und 2 aus. Die grau hinterlegten Felder müssen Sie nicht beachten, bei Bedarf können Sie damit aber die Berechnung nachvollziehen. Beachten Sie die weiteren Erläuterungen auf den einzelnen Arbeitsblättern.
Achten Sie darauf, dass die Flächenangaben für die einzelnen Früchte in der Summe der Gesamtfläche entspricht. Das Programm zeigt unabhängig von der Eingabe immer 2 Dezimalstellen an, rechnet aber mit  dem eingegebenem Wert. Um Fehler zu vermeiden, wird empfohlen, die Eingaben einheitlich mit gleicher Anzahl an Dezimalstellen durchzuführen. 
</t>
    </r>
    <r>
      <rPr>
        <b/>
        <sz val="12"/>
        <rFont val="Calibri"/>
        <family val="2"/>
      </rPr>
      <t>1. Humuswirkung der Früchte</t>
    </r>
    <r>
      <rPr>
        <sz val="12"/>
        <rFont val="Calibri"/>
        <family val="2"/>
      </rPr>
      <t xml:space="preserve">: Die Humusfaktoren für Zucker- und Futterrüben, Getreide einschließlich Körnermais, Öl- und Zwischenfrüchte enthalten nicht die Humuswirkung der Koppelprodukte (Stroh, Blätter, usw.). Bei den restlichen Fruchtarten ist die Humusleistung der Koppelprodukte in der Anbauwirkung bereits berücksichtigt.
</t>
    </r>
    <r>
      <rPr>
        <b/>
        <sz val="12"/>
        <rFont val="Calibri"/>
        <family val="2"/>
      </rPr>
      <t>2. Zufuhr von org.  Material</t>
    </r>
    <r>
      <rPr>
        <sz val="12"/>
        <rFont val="Calibri"/>
        <family val="2"/>
      </rPr>
      <t xml:space="preserve">: Die Humuswirkung der im Betrachtungszeitraum ausgebrachten organischen Dünger wird hier berücksichtigt. 
</t>
    </r>
    <r>
      <rPr>
        <b/>
        <sz val="12"/>
        <rFont val="Calibri"/>
        <family val="2"/>
      </rPr>
      <t>3. Ergebnisse</t>
    </r>
    <r>
      <rPr>
        <sz val="12"/>
        <rFont val="Calibri"/>
        <family val="2"/>
      </rPr>
      <t xml:space="preserve">: Hier werden alle für die Bilanzierung wesentlichen Merkmale zusammengefasst und das Ergebnis der Bilanzierung ausgegeben und bewertet. Drucken Sie das Blatt für Ihre Unterlagen aus. </t>
    </r>
  </si>
  <si>
    <r>
      <t xml:space="preserve">(2) VDLUFA, 2010: Schlussbericht zum Forschungsvorhaben "Humusbilanzierung landwirtschaftlicher 
      Böden - </t>
    </r>
    <r>
      <rPr>
        <sz val="11"/>
        <rFont val="Calibri"/>
        <family val="2"/>
      </rPr>
      <t xml:space="preserve"> </t>
    </r>
    <r>
      <rPr>
        <sz val="12"/>
        <rFont val="Calibri"/>
        <family val="2"/>
      </rPr>
      <t xml:space="preserve">Einflussfaktoren und deren Auswirkungen" </t>
    </r>
  </si>
  <si>
    <r>
      <t>tragen Sie den gemessenen oder geschätzten mittleren 
Trockenmassegehalt (%) und die insgesamt auf die 
Ackerflächen ausgebrachte Menge der organischen Dün-
ger (t) ein; für flüssige Substrate (bis ca. 15 % TS) können die Mengenangaben auch in m</t>
    </r>
    <r>
      <rPr>
        <b/>
        <vertAlign val="superscript"/>
        <sz val="10"/>
        <rFont val="Calibri"/>
        <family val="2"/>
      </rPr>
      <t>3</t>
    </r>
    <r>
      <rPr>
        <b/>
        <sz val="10"/>
        <rFont val="Calibri"/>
        <family val="2"/>
      </rPr>
      <t xml:space="preserve"> erfolgen </t>
    </r>
  </si>
  <si>
    <t>Bewertungsgrenzen
HÄ / (ha * Jahr)</t>
  </si>
  <si>
    <t>Bewertungsgrenzen</t>
  </si>
  <si>
    <t>A</t>
  </si>
  <si>
    <t>&lt; -200</t>
  </si>
  <si>
    <t>Bilanz sehr niedrig</t>
  </si>
  <si>
    <t>B</t>
  </si>
  <si>
    <t>Bilanz niedrig</t>
  </si>
  <si>
    <t>Bilanz ausgeglichen</t>
  </si>
  <si>
    <t>Bilanz hoch</t>
  </si>
  <si>
    <t>Bilanz sehr hoch</t>
  </si>
  <si>
    <t xml:space="preserve">  HÄ / ha</t>
  </si>
  <si>
    <t>*  Bei dieser einjährigen Berechnung ist die Bilanz, ihre Bewertung und die Empfehlung nur 
   zutreffend, wenn die betrachteten Haupt- und Zwischenfrüchte weitgehend der tatsächli-
   chen Fruchtfolge entsprechen!</t>
  </si>
  <si>
    <t xml:space="preserve">Die Wirkung der Früchte, ihrer Nebenprodukte und der zugeführten sonstigen organischen Substanz auf den Humushaushalt wird in Humus-Äquivalenten (HÄ) ausgedrückt (1 HÄ = 1 kg Humus-C = 1 kg organischer Kohlenstoff). </t>
  </si>
  <si>
    <t>Die Faktoren für die Humusbilanz werden laufend an den verfügbaren Kenntnisstand angepasst. Verwenden Sie deshalb immer eine aktuelle Version dieses Programms. 
Für Körnerleguminosen zeichnet sich ab, dass deren Wert für die Humusnachlieferung derzeit wahrscheinlich überschätzt wird. Entsprechende Änderungen folgen nach Vorliegen wissenschaftlich belegter Untersuchungen.</t>
  </si>
  <si>
    <r>
      <t>Im Idealfall wird für eine Humusbilanz die gesamte Fruchtfolge eines Betriebs betrachtet, also ein Zeitraum über mehrere Jahre. Hierfür ist die Bilanz "</t>
    </r>
    <r>
      <rPr>
        <b/>
        <sz val="12"/>
        <rFont val="Calibri"/>
        <family val="2"/>
      </rPr>
      <t>Fruchtfolge/Schlag</t>
    </r>
    <r>
      <rPr>
        <sz val="12"/>
        <rFont val="Calibri"/>
        <family val="2"/>
      </rPr>
      <t xml:space="preserve">" zu verwenden. 
Die Betriebsleiter landwirtschaftlicher Betriebe müssen bei der Fruchtartenwahl laufend auf eine Vielzahl von Außenwirkungen reagieren, z.B. auf sich ändernde Markterfordernisse, auf neue Bedingungen der Agrar-Förderung, auf eine neuorientierte Betriebsausrichtung, auf zunehmende Anforderungen der guten fachlichen Praxis, auf aktuelle Wetterereignisse und Auswirkungen der Klimaänderung, usw.. Starre Fruchtfolgen über viele Jahre sind deshalb heute eher die Ausnahme. Die Betrachtung des aktuellen oder gerade vorüber gegangenen Jahres wird außerdem durch eine problemlose Verfügbarkeit der für eine Humusbilanz notwendigen Daten erleichtert. Deshalb wird hier die Bilanzierung für alle Ackerflächen eines Betriebs in einem Jahr angeboten. </t>
    </r>
    <r>
      <rPr>
        <b/>
        <sz val="12"/>
        <rFont val="Calibri"/>
        <family val="2"/>
      </rPr>
      <t>Sie gibt an, was im betrachteten Jahr zur Erhaltung des Humusgehalts getan wurde.</t>
    </r>
    <r>
      <rPr>
        <sz val="12"/>
        <rFont val="Calibri"/>
        <family val="2"/>
      </rPr>
      <t xml:space="preserve"> Über mehrere Jahre gesehen ist die Bilanz umso aussagekräftiger, je mehr der Anbau auf den verschiedenen Flächen des Betriebs in dem betrachteten Jahr der langjährigen Fruchtfolge entspricht.</t>
    </r>
  </si>
  <si>
    <t>Die vorliegende Humusbilanz-Methode für die Beratung landwirtschaftlicher Betriebe in Bayern beruht auf der VDLUFA-Methode (1), wobei hier die "Mittleren Werte" für die konventionelle und die "Oberen Werte" für die ökologische Bewirtschaftung Verwendung finden. Daneben gingen u. a. auch die Ergebnisse des Schlussberichts zum Forschungsvorhaben "Humusbilanzierung landwirtschaftlicher Böden - Einflussfaktoren und deren Auswirkungen" (2) der VDLUFA in das Programm ein.</t>
  </si>
  <si>
    <t>Humusbilanz "Betrieb/Jahr"</t>
  </si>
  <si>
    <t>- 75 bis 100</t>
  </si>
  <si>
    <t>101 bis 300</t>
  </si>
  <si>
    <t>&gt; 300</t>
  </si>
  <si>
    <r>
      <t>Stand: 09</t>
    </r>
    <r>
      <rPr>
        <b/>
        <sz val="12"/>
        <color indexed="60"/>
        <rFont val="Calibri"/>
        <family val="2"/>
      </rPr>
      <t>/2015</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</si>
</sst>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76">
    <font>
      <sz val="10"/>
      <name val="Arial"/>
      <family val="0"/>
    </font>
    <font>
      <sz val="11"/>
      <color indexed="8"/>
      <name val="Calibri"/>
      <family val="2"/>
    </font>
    <font>
      <b/>
      <sz val="10"/>
      <name val="Arial"/>
      <family val="2"/>
    </font>
    <font>
      <b/>
      <sz val="11"/>
      <name val="Arial"/>
      <family val="2"/>
    </font>
    <font>
      <sz val="8"/>
      <name val="Arial"/>
      <family val="2"/>
    </font>
    <font>
      <b/>
      <sz val="8"/>
      <name val="Arial"/>
      <family val="2"/>
    </font>
    <font>
      <b/>
      <sz val="9"/>
      <name val="Arial"/>
      <family val="2"/>
    </font>
    <font>
      <sz val="11"/>
      <name val="Arial"/>
      <family val="2"/>
    </font>
    <font>
      <b/>
      <vertAlign val="superscript"/>
      <sz val="8"/>
      <name val="Arial"/>
      <family val="2"/>
    </font>
    <font>
      <sz val="14"/>
      <name val="Arial"/>
      <family val="2"/>
    </font>
    <font>
      <sz val="11"/>
      <name val="Calibri"/>
      <family val="2"/>
    </font>
    <font>
      <b/>
      <sz val="10"/>
      <name val="Calibri"/>
      <family val="2"/>
    </font>
    <font>
      <b/>
      <vertAlign val="superscript"/>
      <sz val="10"/>
      <name val="Calibri"/>
      <family val="2"/>
    </font>
    <font>
      <b/>
      <vertAlign val="superscript"/>
      <sz val="9"/>
      <name val="Arial"/>
      <family val="2"/>
    </font>
    <font>
      <b/>
      <u val="single"/>
      <sz val="8"/>
      <name val="Arial"/>
      <family val="2"/>
    </font>
    <font>
      <b/>
      <vertAlign val="superscript"/>
      <sz val="10"/>
      <name val="Arial"/>
      <family val="2"/>
    </font>
    <font>
      <sz val="12"/>
      <name val="Calibri"/>
      <family val="2"/>
    </font>
    <font>
      <u val="single"/>
      <sz val="12"/>
      <name val="Calibri"/>
      <family val="2"/>
    </font>
    <font>
      <b/>
      <sz val="12"/>
      <name val="Calibri"/>
      <family val="2"/>
    </font>
    <font>
      <b/>
      <u val="single"/>
      <sz val="12"/>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name val="Calibri"/>
      <family val="2"/>
    </font>
    <font>
      <sz val="8"/>
      <color indexed="9"/>
      <name val="Arial"/>
      <family val="2"/>
    </font>
    <font>
      <b/>
      <sz val="10"/>
      <color indexed="9"/>
      <name val="Calibri"/>
      <family val="2"/>
    </font>
    <font>
      <sz val="10"/>
      <color indexed="8"/>
      <name val="Arial"/>
      <family val="2"/>
    </font>
    <font>
      <sz val="10"/>
      <color indexed="9"/>
      <name val="Calibri"/>
      <family val="2"/>
    </font>
    <font>
      <b/>
      <sz val="16"/>
      <name val="Calibri"/>
      <family val="2"/>
    </font>
    <font>
      <sz val="10"/>
      <name val="Calibri"/>
      <family val="2"/>
    </font>
    <font>
      <b/>
      <sz val="14"/>
      <name val="Calibri"/>
      <family val="2"/>
    </font>
    <font>
      <sz val="10"/>
      <color indexed="9"/>
      <name val="Arial"/>
      <family val="2"/>
    </font>
    <font>
      <b/>
      <sz val="12"/>
      <color indexed="60"/>
      <name val="Calibri"/>
      <family val="2"/>
    </font>
    <font>
      <b/>
      <sz val="10"/>
      <color indexed="10"/>
      <name val="Arial"/>
      <family val="2"/>
    </font>
    <font>
      <sz val="16"/>
      <name val="Calibri"/>
      <family val="2"/>
    </font>
    <font>
      <sz val="24"/>
      <name val="Calibri"/>
      <family val="2"/>
    </font>
    <font>
      <sz val="14"/>
      <name val="Calibri"/>
      <family val="2"/>
    </font>
    <font>
      <b/>
      <sz val="12"/>
      <color indexed="6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0"/>
      <name val="Arial"/>
      <family val="2"/>
    </font>
    <font>
      <b/>
      <sz val="10"/>
      <color theme="0"/>
      <name val="Calibri"/>
      <family val="2"/>
    </font>
    <font>
      <sz val="10"/>
      <color rgb="FF000000"/>
      <name val="Arial"/>
      <family val="2"/>
    </font>
    <font>
      <sz val="10"/>
      <color theme="0"/>
      <name val="Calibri"/>
      <family val="2"/>
    </font>
    <font>
      <sz val="10"/>
      <color theme="0"/>
      <name val="Arial"/>
      <family val="2"/>
    </font>
    <font>
      <b/>
      <sz val="12"/>
      <color rgb="FFC00000"/>
      <name val="Calibri"/>
      <family val="2"/>
    </font>
    <font>
      <b/>
      <sz val="10"/>
      <color rgb="FFFF0000"/>
      <name val="Arial"/>
      <family val="2"/>
    </font>
    <font>
      <b/>
      <sz val="12"/>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49998000264167786"/>
        <bgColor indexed="64"/>
      </patternFill>
    </fill>
    <fill>
      <patternFill patternType="solid">
        <fgColor indexed="9"/>
        <bgColor indexed="64"/>
      </patternFill>
    </fill>
    <fill>
      <patternFill patternType="solid">
        <fgColor theme="3" tint="0.7999799847602844"/>
        <bgColor indexed="64"/>
      </patternFill>
    </fill>
    <fill>
      <patternFill patternType="solid">
        <fgColor indexed="43"/>
        <bgColor indexed="64"/>
      </patternFill>
    </fill>
    <fill>
      <patternFill patternType="solid">
        <fgColor indexed="55"/>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top/>
      <bottom style="medium"/>
    </border>
    <border>
      <left style="medium"/>
      <right style="medium"/>
      <top/>
      <bottom style="medium"/>
    </border>
    <border>
      <left/>
      <right style="medium"/>
      <top style="medium"/>
      <bottom style="thin"/>
    </border>
    <border>
      <left/>
      <right/>
      <top style="medium"/>
      <bottom style="thin"/>
    </border>
    <border>
      <left style="medium"/>
      <right style="medium"/>
      <top style="medium"/>
      <bottom style="thin"/>
    </border>
    <border>
      <left style="medium"/>
      <right/>
      <top style="medium"/>
      <bottom style="thin"/>
    </border>
    <border>
      <left style="medium"/>
      <right style="medium"/>
      <top/>
      <bottom/>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medium"/>
      <right style="medium"/>
      <top style="thin"/>
      <bottom style="medium"/>
    </border>
    <border>
      <left style="medium"/>
      <right style="thin"/>
      <top style="medium"/>
      <bottom style="thin"/>
    </border>
    <border>
      <left style="thin"/>
      <right/>
      <top style="medium"/>
      <bottom style="thin"/>
    </border>
    <border>
      <left style="medium"/>
      <right style="thin"/>
      <top/>
      <bottom style="thin"/>
    </border>
    <border>
      <left style="thin"/>
      <right/>
      <top/>
      <bottom style="thin"/>
    </border>
    <border>
      <left style="medium"/>
      <right style="thin"/>
      <top style="thin"/>
      <bottom/>
    </border>
    <border>
      <left style="thin"/>
      <right/>
      <top style="thin"/>
      <botto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bottom style="thin"/>
    </border>
    <border>
      <left/>
      <right style="medium"/>
      <top style="thin"/>
      <bottom style="thin"/>
    </border>
    <border>
      <left/>
      <right style="medium"/>
      <top style="thin"/>
      <bottom/>
    </border>
    <border>
      <left style="medium"/>
      <right style="medium"/>
      <top style="thin"/>
      <bottom style="thin"/>
    </border>
    <border>
      <left style="medium"/>
      <right style="medium"/>
      <top/>
      <bottom style="thin"/>
    </border>
    <border>
      <left/>
      <right/>
      <top/>
      <bottom style="thin"/>
    </border>
    <border>
      <left/>
      <right style="medium"/>
      <top/>
      <bottom/>
    </border>
    <border>
      <left/>
      <right style="medium"/>
      <top style="thin"/>
      <bottom style="medium"/>
    </border>
    <border>
      <left style="medium"/>
      <right style="medium"/>
      <top style="thin"/>
      <bottom/>
    </border>
    <border>
      <left style="medium"/>
      <right style="medium"/>
      <top style="medium"/>
      <bottom/>
    </border>
    <border>
      <left style="medium"/>
      <right/>
      <top style="medium"/>
      <bottom style="medium"/>
    </border>
    <border>
      <left/>
      <right/>
      <top style="medium"/>
      <bottom style="medium"/>
    </border>
    <border>
      <left/>
      <right style="medium"/>
      <top/>
      <bottom style="medium"/>
    </border>
    <border>
      <left style="medium"/>
      <right/>
      <top style="thin"/>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medium"/>
      <top/>
      <bottom style="thin"/>
    </border>
    <border>
      <left/>
      <right/>
      <top style="thin"/>
      <bottom/>
    </border>
    <border>
      <left/>
      <right/>
      <top style="thin"/>
      <bottom style="medium"/>
    </border>
    <border>
      <left/>
      <right/>
      <top style="medium"/>
      <bottom/>
    </border>
    <border>
      <left style="medium"/>
      <right/>
      <top/>
      <bottom style="medium"/>
    </border>
    <border>
      <left style="medium"/>
      <right/>
      <top/>
      <bottom style="thin"/>
    </border>
    <border>
      <left style="medium"/>
      <right/>
      <top/>
      <bottom/>
    </border>
    <border>
      <left style="medium"/>
      <right/>
      <top style="thin"/>
      <bottom style="medium"/>
    </border>
    <border>
      <left/>
      <right/>
      <top style="thin"/>
      <bottom style="thin"/>
    </border>
    <border>
      <left/>
      <right style="thin"/>
      <top style="thin"/>
      <bottom style="thin"/>
    </border>
    <border>
      <left style="thin"/>
      <right style="medium"/>
      <top style="thin"/>
      <bottom>
        <color indexed="63"/>
      </bottom>
    </border>
    <border>
      <left style="thin"/>
      <right style="thin"/>
      <top style="thin"/>
      <bottom>
        <color indexed="63"/>
      </bottom>
    </border>
    <border>
      <left/>
      <right style="thin"/>
      <top/>
      <bottom style="thin"/>
    </border>
    <border>
      <left/>
      <right style="medium"/>
      <top style="medium"/>
      <bottom style="medium"/>
    </border>
    <border>
      <left style="medium"/>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51" fillId="0" borderId="0">
      <alignment/>
      <protection/>
    </xf>
    <xf numFmtId="0" fontId="51" fillId="0" borderId="0">
      <alignment/>
      <protection/>
    </xf>
    <xf numFmtId="0" fontId="51"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360">
    <xf numFmtId="0" fontId="0" fillId="0" borderId="0" xfId="0" applyAlignment="1">
      <alignment/>
    </xf>
    <xf numFmtId="0" fontId="4" fillId="0" borderId="0" xfId="51" applyFont="1" applyFill="1" applyAlignment="1" applyProtection="1">
      <alignment horizontal="center" vertical="center" wrapText="1"/>
      <protection/>
    </xf>
    <xf numFmtId="0" fontId="4" fillId="0" borderId="0" xfId="51" applyFont="1" applyAlignment="1" applyProtection="1">
      <alignment vertical="center" wrapText="1"/>
      <protection/>
    </xf>
    <xf numFmtId="0" fontId="4" fillId="0" borderId="0" xfId="51" applyFont="1" applyAlignment="1" applyProtection="1">
      <alignment horizontal="center" vertical="center" wrapText="1"/>
      <protection/>
    </xf>
    <xf numFmtId="0" fontId="5" fillId="0" borderId="0" xfId="51" applyFont="1" applyFill="1" applyBorder="1" applyAlignment="1" applyProtection="1">
      <alignment horizontal="center" vertical="center" wrapText="1"/>
      <protection/>
    </xf>
    <xf numFmtId="0" fontId="4" fillId="0" borderId="0" xfId="51" applyFont="1" applyFill="1" applyBorder="1" applyAlignment="1" applyProtection="1">
      <alignment vertical="center" wrapText="1"/>
      <protection/>
    </xf>
    <xf numFmtId="0" fontId="4" fillId="0" borderId="0" xfId="51" applyFont="1" applyBorder="1" applyAlignment="1" applyProtection="1">
      <alignment vertical="center" wrapText="1"/>
      <protection/>
    </xf>
    <xf numFmtId="0" fontId="5" fillId="0" borderId="0" xfId="51" applyFont="1" applyAlignment="1" applyProtection="1">
      <alignment horizontal="center" vertical="center" wrapText="1"/>
      <protection/>
    </xf>
    <xf numFmtId="0" fontId="5" fillId="0" borderId="0" xfId="51" applyFont="1" applyAlignment="1" applyProtection="1">
      <alignment vertical="center" wrapText="1"/>
      <protection/>
    </xf>
    <xf numFmtId="0" fontId="4" fillId="33" borderId="10" xfId="51" applyFont="1" applyFill="1" applyBorder="1" applyAlignment="1" applyProtection="1">
      <alignment horizontal="center" vertical="center" wrapText="1"/>
      <protection/>
    </xf>
    <xf numFmtId="0" fontId="5" fillId="33" borderId="0" xfId="51" applyFont="1" applyFill="1" applyBorder="1" applyAlignment="1" applyProtection="1">
      <alignment horizontal="center" vertical="center" wrapText="1"/>
      <protection/>
    </xf>
    <xf numFmtId="0" fontId="5" fillId="33" borderId="10" xfId="51" applyFont="1" applyFill="1" applyBorder="1" applyAlignment="1" applyProtection="1">
      <alignment horizontal="center" vertical="center" wrapText="1"/>
      <protection/>
    </xf>
    <xf numFmtId="0" fontId="5" fillId="33" borderId="11" xfId="51" applyFont="1" applyFill="1" applyBorder="1" applyAlignment="1" applyProtection="1">
      <alignment horizontal="center" vertical="center" wrapText="1"/>
      <protection/>
    </xf>
    <xf numFmtId="0" fontId="5" fillId="33" borderId="12" xfId="51" applyFont="1" applyFill="1" applyBorder="1" applyAlignment="1" applyProtection="1">
      <alignment horizontal="center" vertical="center" wrapText="1"/>
      <protection/>
    </xf>
    <xf numFmtId="0" fontId="5" fillId="34" borderId="13" xfId="51" applyFont="1" applyFill="1" applyBorder="1" applyAlignment="1" applyProtection="1">
      <alignment vertical="center" wrapText="1"/>
      <protection/>
    </xf>
    <xf numFmtId="0" fontId="5" fillId="34" borderId="14" xfId="51" applyFont="1" applyFill="1" applyBorder="1" applyAlignment="1" applyProtection="1">
      <alignment vertical="center" wrapText="1"/>
      <protection/>
    </xf>
    <xf numFmtId="0" fontId="5" fillId="34" borderId="15" xfId="51" applyFont="1" applyFill="1" applyBorder="1" applyAlignment="1" applyProtection="1">
      <alignment vertical="center" wrapText="1"/>
      <protection/>
    </xf>
    <xf numFmtId="0" fontId="5" fillId="34" borderId="14" xfId="51" applyFont="1" applyFill="1" applyBorder="1" applyAlignment="1" applyProtection="1">
      <alignment horizontal="center" vertical="center" wrapText="1"/>
      <protection/>
    </xf>
    <xf numFmtId="0" fontId="5" fillId="34" borderId="16" xfId="51" applyFont="1" applyFill="1" applyBorder="1" applyAlignment="1" applyProtection="1">
      <alignment vertical="center" wrapText="1"/>
      <protection/>
    </xf>
    <xf numFmtId="0" fontId="5" fillId="34" borderId="15" xfId="51" applyFont="1" applyFill="1" applyBorder="1" applyAlignment="1" applyProtection="1">
      <alignment horizontal="center" vertical="center" wrapText="1"/>
      <protection/>
    </xf>
    <xf numFmtId="0" fontId="4" fillId="33" borderId="17" xfId="51" applyFont="1" applyFill="1" applyBorder="1" applyAlignment="1" applyProtection="1">
      <alignment horizontal="center" vertical="center" wrapText="1"/>
      <protection/>
    </xf>
    <xf numFmtId="0" fontId="36" fillId="0" borderId="0" xfId="0" applyFont="1" applyFill="1" applyBorder="1" applyAlignment="1">
      <alignment horizontal="center" wrapText="1"/>
    </xf>
    <xf numFmtId="0" fontId="36" fillId="0" borderId="0" xfId="0" applyFont="1" applyFill="1" applyBorder="1" applyAlignment="1">
      <alignment horizontal="center"/>
    </xf>
    <xf numFmtId="0" fontId="36" fillId="0" borderId="0" xfId="0" applyFont="1" applyBorder="1" applyAlignment="1">
      <alignment horizontal="center"/>
    </xf>
    <xf numFmtId="0" fontId="11" fillId="0" borderId="0" xfId="0" applyFont="1" applyAlignment="1" applyProtection="1">
      <alignment/>
      <protection/>
    </xf>
    <xf numFmtId="0" fontId="11" fillId="33" borderId="18"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protection/>
    </xf>
    <xf numFmtId="0" fontId="11" fillId="33" borderId="21" xfId="0" applyFont="1" applyFill="1" applyBorder="1" applyAlignment="1" applyProtection="1">
      <alignment horizontal="center"/>
      <protection/>
    </xf>
    <xf numFmtId="0" fontId="11" fillId="33" borderId="22" xfId="0" applyFont="1" applyFill="1" applyBorder="1" applyAlignment="1" applyProtection="1">
      <alignment horizontal="center" vertical="center" wrapText="1"/>
      <protection/>
    </xf>
    <xf numFmtId="0" fontId="11" fillId="33" borderId="23" xfId="0" applyFont="1" applyFill="1" applyBorder="1" applyAlignment="1" applyProtection="1">
      <alignment vertical="center"/>
      <protection/>
    </xf>
    <xf numFmtId="0" fontId="11" fillId="33" borderId="24" xfId="0" applyFont="1" applyFill="1" applyBorder="1" applyAlignment="1" applyProtection="1">
      <alignment vertical="center"/>
      <protection/>
    </xf>
    <xf numFmtId="0" fontId="11" fillId="33" borderId="25" xfId="0" applyFont="1" applyFill="1" applyBorder="1" applyAlignment="1" applyProtection="1">
      <alignment horizontal="center" vertical="center"/>
      <protection/>
    </xf>
    <xf numFmtId="0" fontId="11" fillId="33" borderId="26" xfId="0" applyFont="1" applyFill="1" applyBorder="1" applyAlignment="1" applyProtection="1">
      <alignment horizontal="center" vertical="center"/>
      <protection/>
    </xf>
    <xf numFmtId="0" fontId="11" fillId="33" borderId="18" xfId="0" applyFont="1" applyFill="1" applyBorder="1" applyAlignment="1" applyProtection="1">
      <alignment vertical="center"/>
      <protection/>
    </xf>
    <xf numFmtId="0" fontId="11" fillId="33" borderId="19" xfId="0" applyFont="1" applyFill="1" applyBorder="1" applyAlignment="1" applyProtection="1">
      <alignment vertical="center"/>
      <protection/>
    </xf>
    <xf numFmtId="0" fontId="11" fillId="33" borderId="18"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0" fontId="11" fillId="33" borderId="20" xfId="0" applyFont="1" applyFill="1" applyBorder="1" applyAlignment="1" applyProtection="1">
      <alignment vertical="center"/>
      <protection/>
    </xf>
    <xf numFmtId="0" fontId="11" fillId="33" borderId="21" xfId="0" applyFont="1" applyFill="1" applyBorder="1" applyAlignment="1" applyProtection="1">
      <alignment vertical="center"/>
      <protection/>
    </xf>
    <xf numFmtId="0" fontId="11" fillId="33" borderId="27"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25" xfId="0" applyFont="1" applyFill="1" applyBorder="1" applyAlignment="1" applyProtection="1">
      <alignment vertical="center"/>
      <protection/>
    </xf>
    <xf numFmtId="0" fontId="11" fillId="33" borderId="26" xfId="0" applyFont="1" applyFill="1" applyBorder="1" applyAlignment="1" applyProtection="1">
      <alignment vertical="center"/>
      <protection/>
    </xf>
    <xf numFmtId="0" fontId="11" fillId="33" borderId="26" xfId="0" applyFont="1" applyFill="1" applyBorder="1" applyAlignment="1" applyProtection="1" quotePrefix="1">
      <alignment horizontal="center" vertical="center"/>
      <protection/>
    </xf>
    <xf numFmtId="0" fontId="11" fillId="33" borderId="27" xfId="0" applyFont="1" applyFill="1" applyBorder="1" applyAlignment="1" applyProtection="1">
      <alignment vertical="center"/>
      <protection/>
    </xf>
    <xf numFmtId="0" fontId="11" fillId="33" borderId="28" xfId="0" applyFont="1" applyFill="1" applyBorder="1" applyAlignment="1" applyProtection="1">
      <alignment vertical="center"/>
      <protection/>
    </xf>
    <xf numFmtId="0" fontId="11" fillId="33" borderId="28" xfId="0" applyFont="1" applyFill="1" applyBorder="1" applyAlignment="1" applyProtection="1" quotePrefix="1">
      <alignment horizontal="center" vertical="center"/>
      <protection/>
    </xf>
    <xf numFmtId="0" fontId="11" fillId="0" borderId="0" xfId="0" applyFont="1" applyAlignment="1" applyProtection="1">
      <alignment horizontal="center"/>
      <protection/>
    </xf>
    <xf numFmtId="0" fontId="11" fillId="33" borderId="29" xfId="0" applyFont="1" applyFill="1" applyBorder="1" applyAlignment="1" applyProtection="1">
      <alignment vertical="center"/>
      <protection/>
    </xf>
    <xf numFmtId="0" fontId="11" fillId="33" borderId="30" xfId="0" applyFont="1" applyFill="1" applyBorder="1" applyAlignment="1" applyProtection="1">
      <alignment vertical="center"/>
      <protection/>
    </xf>
    <xf numFmtId="0" fontId="11" fillId="33" borderId="31" xfId="0" applyFont="1" applyFill="1" applyBorder="1" applyAlignment="1" applyProtection="1">
      <alignment vertical="center"/>
      <protection/>
    </xf>
    <xf numFmtId="3" fontId="5" fillId="34" borderId="15" xfId="51" applyNumberFormat="1" applyFont="1" applyFill="1" applyBorder="1" applyAlignment="1" applyProtection="1">
      <alignment vertical="center" wrapText="1"/>
      <protection/>
    </xf>
    <xf numFmtId="3" fontId="5" fillId="34" borderId="14" xfId="51" applyNumberFormat="1" applyFont="1" applyFill="1" applyBorder="1" applyAlignment="1" applyProtection="1">
      <alignment vertical="center" wrapText="1"/>
      <protection/>
    </xf>
    <xf numFmtId="3" fontId="5" fillId="34" borderId="16" xfId="51" applyNumberFormat="1" applyFont="1" applyFill="1" applyBorder="1" applyAlignment="1" applyProtection="1">
      <alignment vertical="center" wrapText="1"/>
      <protection/>
    </xf>
    <xf numFmtId="3" fontId="5" fillId="34" borderId="15" xfId="51" applyNumberFormat="1" applyFont="1" applyFill="1" applyBorder="1" applyAlignment="1" applyProtection="1">
      <alignment horizontal="center" vertical="center" wrapText="1"/>
      <protection/>
    </xf>
    <xf numFmtId="3" fontId="5" fillId="34" borderId="13" xfId="51" applyNumberFormat="1" applyFont="1" applyFill="1" applyBorder="1" applyAlignment="1" applyProtection="1">
      <alignment horizontal="center" vertical="center" wrapText="1"/>
      <protection/>
    </xf>
    <xf numFmtId="164" fontId="11" fillId="0" borderId="32" xfId="0" applyNumberFormat="1" applyFont="1" applyBorder="1" applyAlignment="1" applyProtection="1">
      <alignment horizontal="center" vertical="center"/>
      <protection locked="0"/>
    </xf>
    <xf numFmtId="164" fontId="11" fillId="0" borderId="33" xfId="0" applyNumberFormat="1" applyFont="1" applyBorder="1" applyAlignment="1" applyProtection="1">
      <alignment horizontal="center" vertical="center"/>
      <protection locked="0"/>
    </xf>
    <xf numFmtId="164" fontId="11" fillId="0" borderId="34" xfId="0" applyNumberFormat="1" applyFont="1" applyBorder="1" applyAlignment="1" applyProtection="1">
      <alignment horizontal="center" vertical="center"/>
      <protection locked="0"/>
    </xf>
    <xf numFmtId="164" fontId="11" fillId="0" borderId="15" xfId="0" applyNumberFormat="1" applyFont="1" applyBorder="1" applyAlignment="1" applyProtection="1">
      <alignment horizontal="center" vertical="center"/>
      <protection locked="0"/>
    </xf>
    <xf numFmtId="164" fontId="11" fillId="0" borderId="35" xfId="0" applyNumberFormat="1" applyFont="1" applyBorder="1" applyAlignment="1" applyProtection="1">
      <alignment horizontal="center" vertical="center"/>
      <protection locked="0"/>
    </xf>
    <xf numFmtId="164" fontId="11" fillId="0" borderId="22" xfId="0" applyNumberFormat="1" applyFont="1" applyBorder="1" applyAlignment="1" applyProtection="1">
      <alignment horizontal="center" vertical="center"/>
      <protection locked="0"/>
    </xf>
    <xf numFmtId="0" fontId="6" fillId="33" borderId="17" xfId="51" applyFont="1" applyFill="1" applyBorder="1" applyAlignment="1" applyProtection="1">
      <alignment vertical="center" wrapText="1"/>
      <protection/>
    </xf>
    <xf numFmtId="3" fontId="5" fillId="35" borderId="36" xfId="51" applyNumberFormat="1" applyFont="1" applyFill="1" applyBorder="1" applyAlignment="1" applyProtection="1">
      <alignment horizontal="center" vertical="center"/>
      <protection locked="0"/>
    </xf>
    <xf numFmtId="3" fontId="5" fillId="35" borderId="17" xfId="51" applyNumberFormat="1" applyFont="1" applyFill="1" applyBorder="1" applyAlignment="1" applyProtection="1">
      <alignment horizontal="center" vertical="center"/>
      <protection locked="0"/>
    </xf>
    <xf numFmtId="1" fontId="11" fillId="33" borderId="28" xfId="0" applyNumberFormat="1" applyFont="1" applyFill="1" applyBorder="1" applyAlignment="1" applyProtection="1">
      <alignment horizontal="center" vertical="center"/>
      <protection/>
    </xf>
    <xf numFmtId="1" fontId="11" fillId="33" borderId="24" xfId="0" applyNumberFormat="1" applyFont="1" applyFill="1" applyBorder="1" applyAlignment="1" applyProtection="1">
      <alignment horizontal="center" vertical="center"/>
      <protection/>
    </xf>
    <xf numFmtId="0" fontId="11" fillId="33" borderId="12" xfId="0" applyFont="1" applyFill="1" applyBorder="1" applyAlignment="1" applyProtection="1">
      <alignment horizontal="center" vertical="center" wrapText="1"/>
      <protection/>
    </xf>
    <xf numFmtId="0" fontId="11" fillId="35" borderId="36" xfId="0" applyFont="1" applyFill="1" applyBorder="1" applyAlignment="1" applyProtection="1">
      <alignment horizontal="center" vertical="center"/>
      <protection locked="0"/>
    </xf>
    <xf numFmtId="4" fontId="5" fillId="35" borderId="37" xfId="51" applyNumberFormat="1" applyFont="1" applyFill="1" applyBorder="1" applyAlignment="1" applyProtection="1">
      <alignment horizontal="center" vertical="center"/>
      <protection locked="0"/>
    </xf>
    <xf numFmtId="4" fontId="5" fillId="35" borderId="0" xfId="51" applyNumberFormat="1" applyFont="1" applyFill="1" applyBorder="1" applyAlignment="1" applyProtection="1">
      <alignment horizontal="center" vertical="center"/>
      <protection locked="0"/>
    </xf>
    <xf numFmtId="4" fontId="5" fillId="34" borderId="14" xfId="51" applyNumberFormat="1" applyFont="1" applyFill="1" applyBorder="1" applyAlignment="1" applyProtection="1">
      <alignment vertical="center" wrapText="1"/>
      <protection/>
    </xf>
    <xf numFmtId="4" fontId="5" fillId="0" borderId="32" xfId="51" applyNumberFormat="1" applyFont="1" applyFill="1" applyBorder="1" applyAlignment="1" applyProtection="1">
      <alignment horizontal="center" vertical="center" wrapText="1"/>
      <protection locked="0"/>
    </xf>
    <xf numFmtId="4" fontId="5" fillId="0" borderId="38" xfId="51" applyNumberFormat="1" applyFont="1" applyFill="1" applyBorder="1" applyAlignment="1" applyProtection="1">
      <alignment horizontal="center" vertical="center" wrapText="1"/>
      <protection locked="0"/>
    </xf>
    <xf numFmtId="4" fontId="5" fillId="0" borderId="22" xfId="51" applyNumberFormat="1" applyFont="1" applyFill="1" applyBorder="1" applyAlignment="1" applyProtection="1">
      <alignment horizontal="center" vertical="center" wrapText="1"/>
      <protection locked="0"/>
    </xf>
    <xf numFmtId="4" fontId="5" fillId="34" borderId="15" xfId="51" applyNumberFormat="1" applyFont="1" applyFill="1" applyBorder="1" applyAlignment="1" applyProtection="1">
      <alignment vertical="center" wrapText="1"/>
      <protection/>
    </xf>
    <xf numFmtId="4" fontId="5" fillId="0" borderId="36" xfId="51" applyNumberFormat="1" applyFont="1" applyFill="1" applyBorder="1" applyAlignment="1" applyProtection="1">
      <alignment horizontal="center" vertical="center" wrapText="1"/>
      <protection locked="0"/>
    </xf>
    <xf numFmtId="4" fontId="5" fillId="0" borderId="35" xfId="51" applyNumberFormat="1" applyFont="1" applyFill="1" applyBorder="1" applyAlignment="1" applyProtection="1">
      <alignment horizontal="center" vertical="center" wrapText="1"/>
      <protection locked="0"/>
    </xf>
    <xf numFmtId="4" fontId="5" fillId="0" borderId="12" xfId="51" applyNumberFormat="1" applyFont="1" applyFill="1" applyBorder="1" applyAlignment="1" applyProtection="1">
      <alignment horizontal="center" vertical="center" wrapText="1"/>
      <protection locked="0"/>
    </xf>
    <xf numFmtId="4" fontId="5" fillId="0" borderId="33" xfId="51" applyNumberFormat="1" applyFont="1" applyFill="1" applyBorder="1" applyAlignment="1" applyProtection="1">
      <alignment horizontal="center" vertical="center" wrapText="1"/>
      <protection locked="0"/>
    </xf>
    <xf numFmtId="4" fontId="5" fillId="0" borderId="34" xfId="51" applyNumberFormat="1" applyFont="1" applyFill="1" applyBorder="1" applyAlignment="1" applyProtection="1">
      <alignment horizontal="center" vertical="center" wrapText="1"/>
      <protection locked="0"/>
    </xf>
    <xf numFmtId="4" fontId="5" fillId="0" borderId="39" xfId="51" applyNumberFormat="1" applyFont="1" applyFill="1" applyBorder="1" applyAlignment="1" applyProtection="1">
      <alignment horizontal="center" vertical="center" wrapText="1"/>
      <protection locked="0"/>
    </xf>
    <xf numFmtId="4" fontId="5" fillId="0" borderId="17" xfId="51" applyNumberFormat="1" applyFont="1" applyFill="1" applyBorder="1" applyAlignment="1" applyProtection="1">
      <alignment horizontal="center" vertical="center" wrapText="1"/>
      <protection locked="0"/>
    </xf>
    <xf numFmtId="4" fontId="5" fillId="0" borderId="40" xfId="51" applyNumberFormat="1" applyFont="1" applyFill="1" applyBorder="1" applyAlignment="1" applyProtection="1">
      <alignment horizontal="center" vertical="center" wrapText="1"/>
      <protection locked="0"/>
    </xf>
    <xf numFmtId="4" fontId="5" fillId="35" borderId="36" xfId="51" applyNumberFormat="1" applyFont="1" applyFill="1" applyBorder="1" applyAlignment="1" applyProtection="1">
      <alignment horizontal="center" vertical="center" wrapText="1"/>
      <protection locked="0"/>
    </xf>
    <xf numFmtId="0" fontId="68" fillId="0" borderId="0" xfId="51" applyFont="1" applyAlignment="1" applyProtection="1">
      <alignment vertical="center" wrapText="1"/>
      <protection/>
    </xf>
    <xf numFmtId="0" fontId="69" fillId="0" borderId="0" xfId="0" applyFont="1" applyAlignment="1" applyProtection="1">
      <alignment/>
      <protection/>
    </xf>
    <xf numFmtId="0" fontId="4" fillId="0" borderId="0" xfId="51" applyFont="1" applyBorder="1" applyAlignment="1" applyProtection="1">
      <alignment horizontal="center" vertical="center" wrapText="1"/>
      <protection/>
    </xf>
    <xf numFmtId="0" fontId="11" fillId="35" borderId="17" xfId="0" applyFont="1" applyFill="1" applyBorder="1" applyAlignment="1" applyProtection="1">
      <alignment horizontal="center" vertical="center"/>
      <protection locked="0"/>
    </xf>
    <xf numFmtId="0" fontId="11" fillId="35" borderId="15" xfId="0" applyFont="1" applyFill="1" applyBorder="1" applyAlignment="1" applyProtection="1">
      <alignment horizontal="center" vertical="center"/>
      <protection locked="0"/>
    </xf>
    <xf numFmtId="0" fontId="9" fillId="33" borderId="17" xfId="51" applyFont="1" applyFill="1" applyBorder="1" applyAlignment="1" applyProtection="1">
      <alignment vertical="center" wrapText="1"/>
      <protection/>
    </xf>
    <xf numFmtId="4" fontId="5" fillId="34" borderId="16" xfId="51" applyNumberFormat="1" applyFont="1" applyFill="1" applyBorder="1" applyAlignment="1" applyProtection="1">
      <alignment vertical="center" wrapText="1"/>
      <protection/>
    </xf>
    <xf numFmtId="0" fontId="9" fillId="33" borderId="41" xfId="51" applyFont="1" applyFill="1" applyBorder="1" applyAlignment="1" applyProtection="1">
      <alignment vertical="center" wrapText="1"/>
      <protection/>
    </xf>
    <xf numFmtId="0" fontId="6" fillId="33" borderId="17" xfId="51" applyFont="1" applyFill="1" applyBorder="1" applyAlignment="1" applyProtection="1">
      <alignment horizontal="center" vertical="center" wrapText="1"/>
      <protection/>
    </xf>
    <xf numFmtId="4" fontId="5" fillId="34" borderId="14" xfId="51" applyNumberFormat="1" applyFont="1" applyFill="1" applyBorder="1" applyAlignment="1" applyProtection="1">
      <alignment horizontal="center" vertical="center" wrapText="1"/>
      <protection/>
    </xf>
    <xf numFmtId="0" fontId="70" fillId="0" borderId="0" xfId="0" applyFont="1" applyAlignment="1">
      <alignment horizontal="center" readingOrder="1"/>
    </xf>
    <xf numFmtId="0" fontId="6" fillId="36" borderId="42" xfId="51" applyFont="1" applyFill="1" applyBorder="1" applyAlignment="1" applyProtection="1">
      <alignment horizontal="right" vertical="center" wrapText="1"/>
      <protection/>
    </xf>
    <xf numFmtId="0" fontId="6" fillId="36" borderId="43" xfId="51" applyFont="1" applyFill="1" applyBorder="1" applyAlignment="1" applyProtection="1">
      <alignment horizontal="right" vertical="center" wrapText="1"/>
      <protection/>
    </xf>
    <xf numFmtId="0" fontId="2" fillId="36" borderId="43" xfId="51" applyFont="1" applyFill="1" applyBorder="1" applyAlignment="1" applyProtection="1">
      <alignment horizontal="center" vertical="center" wrapText="1"/>
      <protection/>
    </xf>
    <xf numFmtId="0" fontId="6" fillId="36" borderId="43" xfId="51" applyFont="1" applyFill="1" applyBorder="1" applyAlignment="1" applyProtection="1">
      <alignment horizontal="center" vertical="center" wrapText="1"/>
      <protection/>
    </xf>
    <xf numFmtId="0" fontId="4" fillId="33" borderId="44" xfId="51" applyFont="1" applyFill="1" applyBorder="1" applyAlignment="1" applyProtection="1">
      <alignment horizontal="left" vertical="center" wrapText="1"/>
      <protection/>
    </xf>
    <xf numFmtId="0" fontId="6" fillId="33" borderId="38" xfId="51" applyFont="1" applyFill="1" applyBorder="1" applyAlignment="1" applyProtection="1">
      <alignment vertical="center" wrapText="1"/>
      <protection/>
    </xf>
    <xf numFmtId="0" fontId="5" fillId="33" borderId="45" xfId="51" applyFont="1" applyFill="1" applyBorder="1" applyAlignment="1" applyProtection="1">
      <alignment horizontal="left" vertical="center" wrapText="1"/>
      <protection/>
    </xf>
    <xf numFmtId="0" fontId="5" fillId="33" borderId="33" xfId="51" applyFont="1" applyFill="1" applyBorder="1" applyAlignment="1" applyProtection="1">
      <alignment horizontal="left" vertical="center" wrapText="1"/>
      <protection/>
    </xf>
    <xf numFmtId="0" fontId="6" fillId="33" borderId="17" xfId="51" applyFont="1" applyFill="1" applyBorder="1" applyAlignment="1" applyProtection="1">
      <alignment horizontal="center" vertical="center" wrapText="1"/>
      <protection/>
    </xf>
    <xf numFmtId="0" fontId="71" fillId="0" borderId="0" xfId="51" applyFont="1" applyAlignment="1" applyProtection="1">
      <alignment vertical="center" wrapText="1"/>
      <protection/>
    </xf>
    <xf numFmtId="0" fontId="68" fillId="0" borderId="0" xfId="51" applyFont="1" applyAlignment="1" applyProtection="1">
      <alignment horizontal="center" vertical="center" wrapText="1"/>
      <protection/>
    </xf>
    <xf numFmtId="0" fontId="5" fillId="33" borderId="44" xfId="51" applyFont="1" applyFill="1" applyBorder="1" applyAlignment="1" applyProtection="1">
      <alignment horizontal="center" vertical="center" wrapText="1"/>
      <protection/>
    </xf>
    <xf numFmtId="164" fontId="11" fillId="0" borderId="36" xfId="0" applyNumberFormat="1" applyFont="1" applyBorder="1" applyAlignment="1" applyProtection="1">
      <alignment horizontal="center" vertical="center"/>
      <protection locked="0"/>
    </xf>
    <xf numFmtId="0" fontId="11" fillId="33" borderId="46" xfId="0" applyFont="1" applyFill="1" applyBorder="1" applyAlignment="1" applyProtection="1">
      <alignment horizontal="center" vertical="center"/>
      <protection/>
    </xf>
    <xf numFmtId="0" fontId="11" fillId="33" borderId="47" xfId="0" applyFont="1" applyFill="1" applyBorder="1" applyAlignment="1" applyProtection="1" quotePrefix="1">
      <alignment horizontal="center" vertical="center"/>
      <protection/>
    </xf>
    <xf numFmtId="0" fontId="11" fillId="33" borderId="48" xfId="0" applyFont="1" applyFill="1" applyBorder="1" applyAlignment="1" applyProtection="1">
      <alignment horizontal="center" vertical="center"/>
      <protection/>
    </xf>
    <xf numFmtId="0" fontId="11" fillId="33" borderId="48" xfId="0" applyFont="1" applyFill="1" applyBorder="1" applyAlignment="1" applyProtection="1" quotePrefix="1">
      <alignment horizontal="center" vertical="center"/>
      <protection/>
    </xf>
    <xf numFmtId="0" fontId="11" fillId="35" borderId="13" xfId="0" applyFont="1" applyFill="1" applyBorder="1" applyAlignment="1" applyProtection="1">
      <alignment horizontal="center" vertical="center"/>
      <protection locked="0"/>
    </xf>
    <xf numFmtId="0" fontId="11" fillId="35" borderId="32" xfId="0" applyFont="1" applyFill="1" applyBorder="1" applyAlignment="1" applyProtection="1">
      <alignment horizontal="center" vertical="center"/>
      <protection locked="0"/>
    </xf>
    <xf numFmtId="0" fontId="11" fillId="35" borderId="44" xfId="0" applyFont="1" applyFill="1" applyBorder="1" applyAlignment="1" applyProtection="1">
      <alignment horizontal="center" vertical="center"/>
      <protection locked="0"/>
    </xf>
    <xf numFmtId="1" fontId="11" fillId="33" borderId="29" xfId="0" applyNumberFormat="1" applyFont="1" applyFill="1" applyBorder="1" applyAlignment="1" applyProtection="1">
      <alignment horizontal="center" vertical="center"/>
      <protection/>
    </xf>
    <xf numFmtId="1" fontId="11" fillId="33" borderId="30" xfId="0" applyNumberFormat="1" applyFont="1" applyFill="1" applyBorder="1" applyAlignment="1" applyProtection="1">
      <alignment horizontal="center" vertical="center"/>
      <protection/>
    </xf>
    <xf numFmtId="0" fontId="11" fillId="33" borderId="30" xfId="0" applyFont="1" applyFill="1" applyBorder="1" applyAlignment="1" applyProtection="1" quotePrefix="1">
      <alignment horizontal="center" vertical="center"/>
      <protection/>
    </xf>
    <xf numFmtId="0" fontId="11" fillId="33" borderId="31" xfId="0" applyFont="1" applyFill="1" applyBorder="1" applyAlignment="1" applyProtection="1">
      <alignment horizontal="center" vertical="center"/>
      <protection/>
    </xf>
    <xf numFmtId="0" fontId="11" fillId="33" borderId="13" xfId="0" applyFont="1" applyFill="1" applyBorder="1" applyAlignment="1" applyProtection="1">
      <alignment vertical="center"/>
      <protection/>
    </xf>
    <xf numFmtId="0" fontId="11" fillId="33" borderId="33" xfId="0" applyFont="1" applyFill="1" applyBorder="1" applyAlignment="1" applyProtection="1">
      <alignment vertical="center"/>
      <protection/>
    </xf>
    <xf numFmtId="0" fontId="11" fillId="33" borderId="39" xfId="0" applyFont="1" applyFill="1" applyBorder="1" applyAlignment="1" applyProtection="1">
      <alignment vertical="center"/>
      <protection/>
    </xf>
    <xf numFmtId="0" fontId="11" fillId="33" borderId="49" xfId="0" applyFont="1" applyFill="1" applyBorder="1" applyAlignment="1" applyProtection="1" quotePrefix="1">
      <alignment horizontal="center" vertical="center"/>
      <protection/>
    </xf>
    <xf numFmtId="0" fontId="11" fillId="35" borderId="29" xfId="0" applyFont="1" applyFill="1" applyBorder="1" applyAlignment="1" applyProtection="1">
      <alignment horizontal="center" vertical="center"/>
      <protection locked="0"/>
    </xf>
    <xf numFmtId="0" fontId="11" fillId="35" borderId="31" xfId="0" applyFont="1" applyFill="1" applyBorder="1" applyAlignment="1" applyProtection="1">
      <alignment horizontal="center" vertical="center"/>
      <protection locked="0"/>
    </xf>
    <xf numFmtId="0" fontId="11" fillId="35" borderId="50" xfId="0" applyFont="1" applyFill="1" applyBorder="1" applyAlignment="1" applyProtection="1">
      <alignment horizontal="center" vertical="center"/>
      <protection locked="0"/>
    </xf>
    <xf numFmtId="0" fontId="11" fillId="35" borderId="30" xfId="0" applyFont="1" applyFill="1" applyBorder="1" applyAlignment="1" applyProtection="1">
      <alignment horizontal="center" vertical="center"/>
      <protection locked="0"/>
    </xf>
    <xf numFmtId="164" fontId="11" fillId="0" borderId="14" xfId="0" applyNumberFormat="1" applyFont="1" applyBorder="1" applyAlignment="1" applyProtection="1">
      <alignment horizontal="center" vertical="center"/>
      <protection locked="0"/>
    </xf>
    <xf numFmtId="164" fontId="11" fillId="0" borderId="51" xfId="0" applyNumberFormat="1" applyFont="1" applyBorder="1" applyAlignment="1" applyProtection="1">
      <alignment horizontal="center" vertical="center"/>
      <protection locked="0"/>
    </xf>
    <xf numFmtId="164" fontId="11" fillId="0" borderId="52" xfId="0" applyNumberFormat="1" applyFont="1" applyBorder="1" applyAlignment="1" applyProtection="1">
      <alignment horizontal="center" vertical="center"/>
      <protection locked="0"/>
    </xf>
    <xf numFmtId="3" fontId="5" fillId="34" borderId="14" xfId="51" applyNumberFormat="1" applyFont="1" applyFill="1" applyBorder="1" applyAlignment="1" applyProtection="1">
      <alignment horizontal="center" vertical="center" wrapText="1"/>
      <protection/>
    </xf>
    <xf numFmtId="3" fontId="5" fillId="34" borderId="13" xfId="51" applyNumberFormat="1" applyFont="1" applyFill="1" applyBorder="1" applyAlignment="1" applyProtection="1">
      <alignment horizontal="center" vertical="center" wrapText="1"/>
      <protection/>
    </xf>
    <xf numFmtId="0" fontId="5" fillId="34" borderId="12" xfId="51" applyFont="1" applyFill="1" applyBorder="1" applyAlignment="1" applyProtection="1">
      <alignment horizontal="center" vertical="center" wrapText="1"/>
      <protection/>
    </xf>
    <xf numFmtId="0" fontId="5" fillId="34" borderId="11" xfId="51" applyFont="1" applyFill="1" applyBorder="1" applyAlignment="1" applyProtection="1">
      <alignment horizontal="center" vertical="center" wrapText="1"/>
      <protection/>
    </xf>
    <xf numFmtId="0" fontId="5" fillId="34" borderId="0" xfId="51" applyFont="1" applyFill="1" applyBorder="1" applyAlignment="1" applyProtection="1">
      <alignment horizontal="center" vertical="center" wrapText="1"/>
      <protection/>
    </xf>
    <xf numFmtId="0" fontId="5" fillId="34" borderId="17" xfId="51" applyFont="1" applyFill="1" applyBorder="1" applyAlignment="1" applyProtection="1">
      <alignment horizontal="center" vertical="center" wrapText="1"/>
      <protection/>
    </xf>
    <xf numFmtId="3" fontId="5" fillId="34" borderId="37" xfId="51" applyNumberFormat="1" applyFont="1" applyFill="1" applyBorder="1" applyAlignment="1" applyProtection="1">
      <alignment horizontal="center" vertical="center"/>
      <protection/>
    </xf>
    <xf numFmtId="3" fontId="5" fillId="34" borderId="36" xfId="51" applyNumberFormat="1" applyFont="1" applyFill="1" applyBorder="1" applyAlignment="1" applyProtection="1">
      <alignment horizontal="center" vertical="center"/>
      <protection/>
    </xf>
    <xf numFmtId="3" fontId="5" fillId="34" borderId="12" xfId="51" applyNumberFormat="1" applyFont="1" applyFill="1" applyBorder="1" applyAlignment="1" applyProtection="1">
      <alignment horizontal="center" vertical="center"/>
      <protection/>
    </xf>
    <xf numFmtId="3" fontId="5" fillId="34" borderId="35" xfId="51" applyNumberFormat="1" applyFont="1" applyFill="1" applyBorder="1" applyAlignment="1" applyProtection="1">
      <alignment horizontal="center" vertical="center"/>
      <protection/>
    </xf>
    <xf numFmtId="3" fontId="5" fillId="34" borderId="40" xfId="51" applyNumberFormat="1" applyFont="1" applyFill="1" applyBorder="1" applyAlignment="1" applyProtection="1">
      <alignment horizontal="center" vertical="center"/>
      <protection/>
    </xf>
    <xf numFmtId="3" fontId="5" fillId="34" borderId="32" xfId="51" applyNumberFormat="1" applyFont="1" applyFill="1" applyBorder="1" applyAlignment="1" applyProtection="1">
      <alignment horizontal="center" vertical="center" wrapText="1"/>
      <protection/>
    </xf>
    <xf numFmtId="3" fontId="5" fillId="34" borderId="17" xfId="51" applyNumberFormat="1" applyFont="1" applyFill="1" applyBorder="1" applyAlignment="1" applyProtection="1">
      <alignment horizontal="center" vertical="center"/>
      <protection/>
    </xf>
    <xf numFmtId="3" fontId="6" fillId="34" borderId="53" xfId="51" applyNumberFormat="1" applyFont="1" applyFill="1" applyBorder="1" applyAlignment="1" applyProtection="1">
      <alignment horizontal="left" vertical="center" wrapText="1"/>
      <protection/>
    </xf>
    <xf numFmtId="3" fontId="5" fillId="34" borderId="41" xfId="51" applyNumberFormat="1" applyFont="1" applyFill="1" applyBorder="1" applyAlignment="1" applyProtection="1">
      <alignment horizontal="center" vertical="center" wrapText="1"/>
      <protection/>
    </xf>
    <xf numFmtId="4" fontId="5" fillId="34" borderId="41" xfId="51" applyNumberFormat="1" applyFont="1" applyFill="1" applyBorder="1" applyAlignment="1" applyProtection="1">
      <alignment horizontal="center" vertical="center" wrapText="1"/>
      <protection/>
    </xf>
    <xf numFmtId="3" fontId="5" fillId="34" borderId="53" xfId="51" applyNumberFormat="1" applyFont="1" applyFill="1" applyBorder="1" applyAlignment="1" applyProtection="1">
      <alignment horizontal="center" vertical="center" wrapText="1"/>
      <protection/>
    </xf>
    <xf numFmtId="3" fontId="5" fillId="34" borderId="10" xfId="51" applyNumberFormat="1" applyFont="1" applyFill="1" applyBorder="1" applyAlignment="1" applyProtection="1">
      <alignment horizontal="center" vertical="center" wrapText="1"/>
      <protection/>
    </xf>
    <xf numFmtId="4" fontId="5" fillId="34" borderId="36" xfId="51" applyNumberFormat="1" applyFont="1" applyFill="1" applyBorder="1" applyAlignment="1" applyProtection="1">
      <alignment horizontal="center" vertical="center"/>
      <protection/>
    </xf>
    <xf numFmtId="3" fontId="5" fillId="34" borderId="36" xfId="51" applyNumberFormat="1" applyFont="1" applyFill="1" applyBorder="1" applyAlignment="1" applyProtection="1">
      <alignment horizontal="center" vertical="center" wrapText="1"/>
      <protection/>
    </xf>
    <xf numFmtId="4" fontId="5" fillId="34" borderId="17" xfId="51" applyNumberFormat="1" applyFont="1" applyFill="1" applyBorder="1" applyAlignment="1" applyProtection="1">
      <alignment horizontal="center" vertical="center"/>
      <protection/>
    </xf>
    <xf numFmtId="3" fontId="5" fillId="34" borderId="12" xfId="51" applyNumberFormat="1" applyFont="1" applyFill="1" applyBorder="1" applyAlignment="1" applyProtection="1">
      <alignment horizontal="center" vertical="center" wrapText="1"/>
      <protection/>
    </xf>
    <xf numFmtId="3" fontId="5" fillId="34" borderId="54" xfId="51" applyNumberFormat="1" applyFont="1" applyFill="1" applyBorder="1" applyAlignment="1" applyProtection="1">
      <alignment horizontal="center" vertical="center"/>
      <protection/>
    </xf>
    <xf numFmtId="3" fontId="5" fillId="34" borderId="37" xfId="51" applyNumberFormat="1" applyFont="1" applyFill="1" applyBorder="1" applyAlignment="1" applyProtection="1">
      <alignment horizontal="center" vertical="center" wrapText="1"/>
      <protection/>
    </xf>
    <xf numFmtId="3" fontId="5" fillId="34" borderId="55" xfId="51" applyNumberFormat="1" applyFont="1" applyFill="1" applyBorder="1" applyAlignment="1" applyProtection="1">
      <alignment horizontal="center" vertical="center"/>
      <protection/>
    </xf>
    <xf numFmtId="3" fontId="5" fillId="34" borderId="56" xfId="51" applyNumberFormat="1" applyFont="1" applyFill="1" applyBorder="1" applyAlignment="1" applyProtection="1">
      <alignment horizontal="center" vertical="center"/>
      <protection/>
    </xf>
    <xf numFmtId="164" fontId="5" fillId="34" borderId="36" xfId="51" applyNumberFormat="1" applyFont="1" applyFill="1" applyBorder="1" applyAlignment="1" applyProtection="1">
      <alignment horizontal="center" vertical="center"/>
      <protection/>
    </xf>
    <xf numFmtId="4" fontId="5" fillId="34" borderId="12" xfId="51" applyNumberFormat="1" applyFont="1" applyFill="1" applyBorder="1" applyAlignment="1" applyProtection="1">
      <alignment horizontal="center" vertical="center"/>
      <protection/>
    </xf>
    <xf numFmtId="4" fontId="5" fillId="34" borderId="40" xfId="51" applyNumberFormat="1" applyFont="1" applyFill="1" applyBorder="1" applyAlignment="1" applyProtection="1">
      <alignment horizontal="center" vertical="center" wrapText="1"/>
      <protection/>
    </xf>
    <xf numFmtId="3" fontId="5" fillId="34" borderId="40" xfId="51" applyNumberFormat="1" applyFont="1" applyFill="1" applyBorder="1" applyAlignment="1" applyProtection="1">
      <alignment horizontal="center" vertical="center" wrapText="1"/>
      <protection/>
    </xf>
    <xf numFmtId="3" fontId="5" fillId="34" borderId="0" xfId="51" applyNumberFormat="1" applyFont="1" applyFill="1" applyBorder="1" applyAlignment="1" applyProtection="1">
      <alignment horizontal="center" vertical="center" wrapText="1"/>
      <protection/>
    </xf>
    <xf numFmtId="3" fontId="5" fillId="34" borderId="56" xfId="51" applyNumberFormat="1" applyFont="1" applyFill="1" applyBorder="1" applyAlignment="1" applyProtection="1">
      <alignment horizontal="center" vertical="center" wrapText="1"/>
      <protection/>
    </xf>
    <xf numFmtId="3" fontId="5" fillId="34" borderId="17" xfId="51" applyNumberFormat="1" applyFont="1" applyFill="1" applyBorder="1" applyAlignment="1" applyProtection="1">
      <alignment horizontal="center" vertical="center" wrapText="1"/>
      <protection/>
    </xf>
    <xf numFmtId="0" fontId="5" fillId="34" borderId="10" xfId="51" applyFont="1" applyFill="1" applyBorder="1" applyAlignment="1" applyProtection="1">
      <alignment horizontal="center" vertical="center" wrapText="1"/>
      <protection/>
    </xf>
    <xf numFmtId="0" fontId="5" fillId="34" borderId="42" xfId="51" applyFont="1" applyFill="1" applyBorder="1" applyAlignment="1" applyProtection="1">
      <alignment horizontal="center" vertical="center" wrapText="1"/>
      <protection/>
    </xf>
    <xf numFmtId="0" fontId="5" fillId="34" borderId="54" xfId="51" applyFont="1" applyFill="1" applyBorder="1" applyAlignment="1" applyProtection="1">
      <alignment horizontal="center" vertical="center" wrapText="1"/>
      <protection/>
    </xf>
    <xf numFmtId="0" fontId="5" fillId="34" borderId="56" xfId="51" applyFont="1" applyFill="1" applyBorder="1" applyAlignment="1" applyProtection="1">
      <alignment horizontal="center" vertical="center" wrapText="1"/>
      <protection/>
    </xf>
    <xf numFmtId="164" fontId="5" fillId="34" borderId="35" xfId="51" applyNumberFormat="1" applyFont="1" applyFill="1" applyBorder="1" applyAlignment="1" applyProtection="1">
      <alignment horizontal="center" vertical="center" wrapText="1"/>
      <protection/>
    </xf>
    <xf numFmtId="164" fontId="5" fillId="34" borderId="55" xfId="51" applyNumberFormat="1" applyFont="1" applyFill="1" applyBorder="1" applyAlignment="1" applyProtection="1">
      <alignment horizontal="center" vertical="center" wrapText="1"/>
      <protection/>
    </xf>
    <xf numFmtId="164" fontId="5" fillId="34" borderId="40" xfId="51" applyNumberFormat="1" applyFont="1" applyFill="1" applyBorder="1" applyAlignment="1" applyProtection="1">
      <alignment horizontal="center" vertical="center" wrapText="1"/>
      <protection/>
    </xf>
    <xf numFmtId="164" fontId="5" fillId="34" borderId="56" xfId="51" applyNumberFormat="1" applyFont="1" applyFill="1" applyBorder="1" applyAlignment="1" applyProtection="1">
      <alignment horizontal="center" vertical="center" wrapText="1"/>
      <protection/>
    </xf>
    <xf numFmtId="3" fontId="5" fillId="34" borderId="22" xfId="51" applyNumberFormat="1" applyFont="1" applyFill="1" applyBorder="1" applyAlignment="1" applyProtection="1">
      <alignment horizontal="center" vertical="center"/>
      <protection/>
    </xf>
    <xf numFmtId="3" fontId="5" fillId="34" borderId="22" xfId="51" applyNumberFormat="1" applyFont="1" applyFill="1" applyBorder="1" applyAlignment="1" applyProtection="1">
      <alignment horizontal="center" vertical="center" wrapText="1"/>
      <protection/>
    </xf>
    <xf numFmtId="3" fontId="5" fillId="34" borderId="57" xfId="51" applyNumberFormat="1" applyFont="1" applyFill="1" applyBorder="1" applyAlignment="1" applyProtection="1">
      <alignment horizontal="center" vertical="center"/>
      <protection/>
    </xf>
    <xf numFmtId="3" fontId="5" fillId="34" borderId="55" xfId="51" applyNumberFormat="1" applyFont="1" applyFill="1" applyBorder="1" applyAlignment="1" applyProtection="1">
      <alignment horizontal="center" vertical="center" wrapText="1"/>
      <protection/>
    </xf>
    <xf numFmtId="4" fontId="5" fillId="34" borderId="22" xfId="51" applyNumberFormat="1" applyFont="1" applyFill="1" applyBorder="1" applyAlignment="1" applyProtection="1">
      <alignment horizontal="center" vertical="center"/>
      <protection/>
    </xf>
    <xf numFmtId="4" fontId="5" fillId="34" borderId="32" xfId="51" applyNumberFormat="1" applyFont="1" applyFill="1" applyBorder="1" applyAlignment="1" applyProtection="1">
      <alignment horizontal="center" vertical="center"/>
      <protection/>
    </xf>
    <xf numFmtId="0" fontId="11" fillId="34" borderId="12" xfId="0" applyFont="1" applyFill="1" applyBorder="1" applyAlignment="1" applyProtection="1">
      <alignment horizontal="center" vertical="center" wrapText="1"/>
      <protection/>
    </xf>
    <xf numFmtId="1" fontId="11" fillId="34" borderId="37" xfId="0" applyNumberFormat="1" applyFont="1" applyFill="1" applyBorder="1" applyAlignment="1" applyProtection="1">
      <alignment horizontal="center" vertical="center"/>
      <protection/>
    </xf>
    <xf numFmtId="3" fontId="11" fillId="34" borderId="36" xfId="0" applyNumberFormat="1" applyFont="1" applyFill="1" applyBorder="1" applyAlignment="1" applyProtection="1">
      <alignment horizontal="center" vertical="center"/>
      <protection/>
    </xf>
    <xf numFmtId="1" fontId="11" fillId="34" borderId="58" xfId="0" applyNumberFormat="1" applyFont="1" applyFill="1" applyBorder="1" applyAlignment="1" applyProtection="1">
      <alignment horizontal="center" vertical="center"/>
      <protection/>
    </xf>
    <xf numFmtId="3" fontId="11" fillId="34" borderId="35" xfId="0" applyNumberFormat="1" applyFont="1" applyFill="1" applyBorder="1" applyAlignment="1" applyProtection="1">
      <alignment horizontal="center" vertical="center"/>
      <protection/>
    </xf>
    <xf numFmtId="1" fontId="11" fillId="34" borderId="51" xfId="0" applyNumberFormat="1" applyFont="1" applyFill="1" applyBorder="1" applyAlignment="1" applyProtection="1">
      <alignment horizontal="center" vertical="center"/>
      <protection/>
    </xf>
    <xf numFmtId="3" fontId="11" fillId="34" borderId="40" xfId="0" applyNumberFormat="1" applyFont="1" applyFill="1" applyBorder="1" applyAlignment="1" applyProtection="1">
      <alignment horizontal="center" vertical="center"/>
      <protection/>
    </xf>
    <xf numFmtId="1" fontId="11" fillId="34" borderId="15" xfId="0" applyNumberFormat="1" applyFont="1" applyFill="1" applyBorder="1" applyAlignment="1" applyProtection="1">
      <alignment horizontal="center" vertical="center"/>
      <protection/>
    </xf>
    <xf numFmtId="3" fontId="11" fillId="34" borderId="15" xfId="0" applyNumberFormat="1" applyFont="1" applyFill="1" applyBorder="1" applyAlignment="1" applyProtection="1">
      <alignment horizontal="center" vertical="center"/>
      <protection/>
    </xf>
    <xf numFmtId="1" fontId="11" fillId="34" borderId="36" xfId="0" applyNumberFormat="1" applyFont="1" applyFill="1" applyBorder="1" applyAlignment="1" applyProtection="1">
      <alignment horizontal="center" vertical="center"/>
      <protection/>
    </xf>
    <xf numFmtId="1" fontId="11" fillId="34" borderId="37" xfId="51" applyNumberFormat="1" applyFont="1" applyFill="1" applyBorder="1" applyAlignment="1" applyProtection="1">
      <alignment horizontal="center" vertical="center"/>
      <protection/>
    </xf>
    <xf numFmtId="1" fontId="11" fillId="34" borderId="52" xfId="0" applyNumberFormat="1" applyFont="1" applyFill="1" applyBorder="1" applyAlignment="1" applyProtection="1">
      <alignment horizontal="center" vertical="center"/>
      <protection/>
    </xf>
    <xf numFmtId="3" fontId="11" fillId="34" borderId="22" xfId="0" applyNumberFormat="1" applyFont="1" applyFill="1" applyBorder="1" applyAlignment="1" applyProtection="1">
      <alignment horizontal="center" vertical="center"/>
      <protection/>
    </xf>
    <xf numFmtId="3" fontId="11" fillId="34" borderId="13" xfId="0" applyNumberFormat="1" applyFont="1" applyFill="1" applyBorder="1" applyAlignment="1" applyProtection="1">
      <alignment horizontal="center" vertical="center"/>
      <protection/>
    </xf>
    <xf numFmtId="1" fontId="11" fillId="34" borderId="40" xfId="0" applyNumberFormat="1" applyFont="1" applyFill="1" applyBorder="1" applyAlignment="1" applyProtection="1">
      <alignment horizontal="center" vertical="center"/>
      <protection/>
    </xf>
    <xf numFmtId="3" fontId="11" fillId="34" borderId="34" xfId="0" applyNumberFormat="1" applyFont="1" applyFill="1" applyBorder="1" applyAlignment="1" applyProtection="1">
      <alignment horizontal="center" vertical="center"/>
      <protection/>
    </xf>
    <xf numFmtId="1" fontId="11" fillId="34" borderId="15" xfId="51" applyNumberFormat="1" applyFont="1" applyFill="1" applyBorder="1" applyAlignment="1" applyProtection="1">
      <alignment horizontal="center" vertical="center"/>
      <protection/>
    </xf>
    <xf numFmtId="1" fontId="11" fillId="34" borderId="22" xfId="51" applyNumberFormat="1" applyFont="1" applyFill="1" applyBorder="1" applyAlignment="1" applyProtection="1">
      <alignment horizontal="center" vertical="center"/>
      <protection/>
    </xf>
    <xf numFmtId="1" fontId="11" fillId="34" borderId="35" xfId="0" applyNumberFormat="1" applyFont="1" applyFill="1" applyBorder="1" applyAlignment="1" applyProtection="1">
      <alignment horizontal="center" vertical="center"/>
      <protection/>
    </xf>
    <xf numFmtId="1" fontId="11" fillId="34" borderId="22" xfId="0" applyNumberFormat="1" applyFont="1" applyFill="1" applyBorder="1" applyAlignment="1" applyProtection="1">
      <alignment horizontal="center" vertical="center"/>
      <protection/>
    </xf>
    <xf numFmtId="3" fontId="11" fillId="34" borderId="12" xfId="0" applyNumberFormat="1" applyFont="1" applyFill="1" applyBorder="1" applyAlignment="1" applyProtection="1">
      <alignment horizontal="center" vertical="center"/>
      <protection/>
    </xf>
    <xf numFmtId="0" fontId="11" fillId="34" borderId="12" xfId="0" applyFont="1" applyFill="1" applyBorder="1" applyAlignment="1" applyProtection="1">
      <alignment wrapText="1"/>
      <protection/>
    </xf>
    <xf numFmtId="0" fontId="0" fillId="0" borderId="37" xfId="0"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58" xfId="0" applyBorder="1" applyAlignment="1" applyProtection="1">
      <alignment horizontal="center" vertical="center"/>
      <protection/>
    </xf>
    <xf numFmtId="2" fontId="0" fillId="0" borderId="0" xfId="0" applyNumberFormat="1" applyFont="1" applyAlignment="1" applyProtection="1">
      <alignment horizontal="center" vertical="center"/>
      <protection/>
    </xf>
    <xf numFmtId="0" fontId="7" fillId="0" borderId="0" xfId="0" applyFont="1" applyAlignment="1" applyProtection="1">
      <alignment wrapText="1"/>
      <protection/>
    </xf>
    <xf numFmtId="3" fontId="41" fillId="35" borderId="59" xfId="0" applyNumberFormat="1" applyFont="1" applyFill="1" applyBorder="1" applyAlignment="1" applyProtection="1">
      <alignment horizontal="left" vertical="center"/>
      <protection/>
    </xf>
    <xf numFmtId="3" fontId="41" fillId="35" borderId="58" xfId="0" applyNumberFormat="1" applyFont="1" applyFill="1" applyBorder="1" applyAlignment="1" applyProtection="1">
      <alignment horizontal="left" vertical="center"/>
      <protection/>
    </xf>
    <xf numFmtId="0" fontId="41" fillId="35" borderId="59" xfId="0" applyFont="1" applyFill="1" applyBorder="1" applyAlignment="1" applyProtection="1">
      <alignment vertical="center" wrapText="1"/>
      <protection/>
    </xf>
    <xf numFmtId="0" fontId="0" fillId="0" borderId="51" xfId="0" applyBorder="1" applyAlignment="1" applyProtection="1">
      <alignment horizontal="center" vertical="center"/>
      <protection/>
    </xf>
    <xf numFmtId="0" fontId="11" fillId="33" borderId="60" xfId="0" applyFont="1" applyFill="1" applyBorder="1" applyAlignment="1" applyProtection="1">
      <alignment vertical="center"/>
      <protection/>
    </xf>
    <xf numFmtId="0" fontId="11" fillId="33" borderId="61" xfId="0" applyFont="1" applyFill="1" applyBorder="1" applyAlignment="1" applyProtection="1">
      <alignment horizontal="center" vertical="center"/>
      <protection/>
    </xf>
    <xf numFmtId="164" fontId="11" fillId="0" borderId="40" xfId="0" applyNumberFormat="1" applyFont="1" applyBorder="1" applyAlignment="1" applyProtection="1">
      <alignment horizontal="center" vertical="center"/>
      <protection locked="0"/>
    </xf>
    <xf numFmtId="0" fontId="11" fillId="34" borderId="60" xfId="0" applyFont="1" applyFill="1" applyBorder="1" applyAlignment="1" applyProtection="1">
      <alignment horizontal="center" vertical="center"/>
      <protection/>
    </xf>
    <xf numFmtId="0" fontId="42" fillId="0" borderId="0" xfId="0" applyFont="1" applyFill="1" applyBorder="1" applyAlignment="1">
      <alignment/>
    </xf>
    <xf numFmtId="0" fontId="42" fillId="0" borderId="37" xfId="0" applyFont="1" applyFill="1" applyBorder="1" applyAlignment="1">
      <alignment wrapText="1"/>
    </xf>
    <xf numFmtId="0" fontId="16" fillId="0" borderId="0" xfId="0" applyFont="1" applyFill="1" applyBorder="1" applyAlignment="1">
      <alignment vertical="center" wrapText="1"/>
    </xf>
    <xf numFmtId="0" fontId="16" fillId="0" borderId="58" xfId="0" applyFont="1" applyFill="1" applyBorder="1" applyAlignment="1">
      <alignment vertical="center" wrapText="1"/>
    </xf>
    <xf numFmtId="0" fontId="16" fillId="0" borderId="58" xfId="0" applyNumberFormat="1" applyFont="1" applyFill="1" applyBorder="1" applyAlignment="1">
      <alignment vertical="center" wrapText="1"/>
    </xf>
    <xf numFmtId="0" fontId="16" fillId="0" borderId="51" xfId="0" applyFont="1" applyFill="1" applyBorder="1" applyAlignment="1">
      <alignment vertical="center" wrapText="1"/>
    </xf>
    <xf numFmtId="0" fontId="42" fillId="0" borderId="0" xfId="0" applyFont="1" applyBorder="1" applyAlignment="1">
      <alignment/>
    </xf>
    <xf numFmtId="0" fontId="42" fillId="0" borderId="0" xfId="0" applyFont="1" applyFill="1" applyBorder="1" applyAlignment="1">
      <alignment wrapText="1"/>
    </xf>
    <xf numFmtId="0" fontId="43" fillId="37" borderId="0" xfId="0" applyFont="1" applyFill="1" applyBorder="1" applyAlignment="1">
      <alignment horizontal="left" vertical="center" wrapText="1"/>
    </xf>
    <xf numFmtId="0" fontId="5" fillId="33" borderId="55" xfId="51" applyFont="1" applyFill="1" applyBorder="1" applyAlignment="1" applyProtection="1">
      <alignment horizontal="left" vertical="center" wrapText="1"/>
      <protection/>
    </xf>
    <xf numFmtId="0" fontId="6" fillId="35" borderId="12" xfId="51" applyFont="1" applyFill="1" applyBorder="1" applyAlignment="1" applyProtection="1">
      <alignment horizontal="center" vertical="center" wrapText="1"/>
      <protection locked="0"/>
    </xf>
    <xf numFmtId="0" fontId="6" fillId="34" borderId="37" xfId="51" applyFont="1" applyFill="1" applyBorder="1" applyAlignment="1" applyProtection="1">
      <alignment horizontal="center" vertical="center" wrapText="1"/>
      <protection/>
    </xf>
    <xf numFmtId="0" fontId="5" fillId="33" borderId="56" xfId="51" applyFont="1" applyFill="1" applyBorder="1" applyAlignment="1" applyProtection="1">
      <alignment horizontal="left" vertical="center" wrapText="1"/>
      <protection/>
    </xf>
    <xf numFmtId="3" fontId="6" fillId="35" borderId="10" xfId="51" applyNumberFormat="1" applyFont="1" applyFill="1" applyBorder="1" applyAlignment="1" applyProtection="1">
      <alignment horizontal="center" vertical="center" wrapText="1"/>
      <protection locked="0"/>
    </xf>
    <xf numFmtId="4" fontId="5" fillId="34" borderId="36" xfId="51" applyNumberFormat="1" applyFont="1" applyFill="1" applyBorder="1" applyAlignment="1" applyProtection="1">
      <alignment horizontal="center" vertical="center" wrapText="1"/>
      <protection/>
    </xf>
    <xf numFmtId="0" fontId="72" fillId="0" borderId="0" xfId="0" applyFont="1" applyAlignment="1" applyProtection="1">
      <alignment horizontal="left" vertical="top" wrapText="1"/>
      <protection/>
    </xf>
    <xf numFmtId="0" fontId="72" fillId="0" borderId="0" xfId="0" applyFont="1" applyAlignment="1" applyProtection="1">
      <alignment horizontal="center" vertical="center"/>
      <protection/>
    </xf>
    <xf numFmtId="0" fontId="73" fillId="37" borderId="0" xfId="0" applyFont="1" applyFill="1" applyBorder="1" applyAlignment="1">
      <alignment horizontal="left" vertical="top" wrapText="1"/>
    </xf>
    <xf numFmtId="0" fontId="41" fillId="0" borderId="62" xfId="0" applyFont="1" applyBorder="1" applyAlignment="1" applyProtection="1">
      <alignment horizontal="left" vertical="center" wrapText="1"/>
      <protection/>
    </xf>
    <xf numFmtId="0" fontId="41" fillId="0" borderId="59" xfId="0" applyFont="1" applyBorder="1" applyAlignment="1" applyProtection="1">
      <alignment horizontal="left" vertical="center"/>
      <protection/>
    </xf>
    <xf numFmtId="0" fontId="41" fillId="0" borderId="59" xfId="0" applyFont="1" applyBorder="1" applyAlignment="1" applyProtection="1">
      <alignment horizontal="left" vertical="center" wrapText="1"/>
      <protection/>
    </xf>
    <xf numFmtId="0" fontId="16" fillId="0" borderId="58" xfId="0" applyFont="1" applyFill="1" applyBorder="1" applyAlignment="1">
      <alignment vertical="center" wrapText="1"/>
    </xf>
    <xf numFmtId="49" fontId="36" fillId="35" borderId="46" xfId="0" applyNumberFormat="1" applyFont="1" applyFill="1" applyBorder="1" applyAlignment="1">
      <alignment horizontal="center" vertical="center"/>
    </xf>
    <xf numFmtId="0" fontId="36" fillId="35" borderId="46" xfId="0" applyFont="1" applyFill="1" applyBorder="1" applyAlignment="1">
      <alignment horizontal="center" vertical="center"/>
    </xf>
    <xf numFmtId="0" fontId="10" fillId="35" borderId="46" xfId="0" applyFont="1" applyFill="1" applyBorder="1" applyAlignment="1">
      <alignment horizontal="center" vertical="center"/>
    </xf>
    <xf numFmtId="0" fontId="10" fillId="35" borderId="46" xfId="0" applyFont="1" applyFill="1" applyBorder="1" applyAlignment="1" quotePrefix="1">
      <alignment horizontal="center" vertical="center"/>
    </xf>
    <xf numFmtId="0" fontId="10" fillId="0" borderId="0" xfId="0" applyFont="1" applyAlignment="1">
      <alignment/>
    </xf>
    <xf numFmtId="3" fontId="5" fillId="34" borderId="14" xfId="51" applyNumberFormat="1" applyFont="1" applyFill="1" applyBorder="1" applyAlignment="1" applyProtection="1">
      <alignment horizontal="center" vertical="center" wrapText="1"/>
      <protection/>
    </xf>
    <xf numFmtId="2" fontId="2" fillId="35" borderId="52" xfId="51" applyNumberFormat="1" applyFont="1" applyFill="1" applyBorder="1" applyAlignment="1" applyProtection="1">
      <alignment horizontal="center" vertical="center" wrapText="1"/>
      <protection locked="0"/>
    </xf>
    <xf numFmtId="2" fontId="2" fillId="35" borderId="39" xfId="51" applyNumberFormat="1" applyFont="1" applyFill="1" applyBorder="1" applyAlignment="1" applyProtection="1">
      <alignment horizontal="center" vertical="center" wrapText="1"/>
      <protection locked="0"/>
    </xf>
    <xf numFmtId="0" fontId="5" fillId="33" borderId="57" xfId="51" applyFont="1" applyFill="1" applyBorder="1" applyAlignment="1" applyProtection="1">
      <alignment horizontal="left" vertical="center" wrapText="1"/>
      <protection/>
    </xf>
    <xf numFmtId="0" fontId="5" fillId="33" borderId="39" xfId="51" applyFont="1" applyFill="1" applyBorder="1" applyAlignment="1" applyProtection="1">
      <alignment horizontal="left" vertical="center" wrapText="1"/>
      <protection/>
    </xf>
    <xf numFmtId="0" fontId="5" fillId="33" borderId="45" xfId="51" applyFont="1" applyFill="1" applyBorder="1" applyAlignment="1" applyProtection="1">
      <alignment horizontal="left" vertical="center" wrapText="1"/>
      <protection/>
    </xf>
    <xf numFmtId="0" fontId="5" fillId="33" borderId="33" xfId="51" applyFont="1" applyFill="1" applyBorder="1" applyAlignment="1" applyProtection="1">
      <alignment horizontal="left" vertical="center" wrapText="1"/>
      <protection/>
    </xf>
    <xf numFmtId="0" fontId="6" fillId="34" borderId="16" xfId="51" applyFont="1" applyFill="1" applyBorder="1" applyAlignment="1" applyProtection="1">
      <alignment horizontal="left" vertical="center" wrapText="1"/>
      <protection/>
    </xf>
    <xf numFmtId="0" fontId="6" fillId="34" borderId="14" xfId="51" applyFont="1" applyFill="1" applyBorder="1" applyAlignment="1" applyProtection="1">
      <alignment horizontal="left" vertical="center" wrapText="1"/>
      <protection/>
    </xf>
    <xf numFmtId="0" fontId="6" fillId="34" borderId="13" xfId="51" applyFont="1" applyFill="1" applyBorder="1" applyAlignment="1" applyProtection="1">
      <alignment horizontal="left" vertical="center" wrapText="1"/>
      <protection/>
    </xf>
    <xf numFmtId="0" fontId="5" fillId="33" borderId="55" xfId="0" applyFont="1" applyFill="1" applyBorder="1" applyAlignment="1" applyProtection="1">
      <alignment horizontal="left" vertical="center" wrapText="1"/>
      <protection/>
    </xf>
    <xf numFmtId="0" fontId="5" fillId="33" borderId="32" xfId="0" applyFont="1" applyFill="1" applyBorder="1" applyAlignment="1" applyProtection="1">
      <alignment horizontal="left" vertical="center" wrapText="1"/>
      <protection/>
    </xf>
    <xf numFmtId="0" fontId="6" fillId="33" borderId="16" xfId="51" applyFont="1" applyFill="1" applyBorder="1" applyAlignment="1" applyProtection="1">
      <alignment horizontal="center" vertical="center" wrapText="1"/>
      <protection/>
    </xf>
    <xf numFmtId="0" fontId="6" fillId="33" borderId="13" xfId="51" applyFont="1" applyFill="1" applyBorder="1" applyAlignment="1" applyProtection="1">
      <alignment horizontal="center" vertical="center" wrapText="1"/>
      <protection/>
    </xf>
    <xf numFmtId="1" fontId="2" fillId="35" borderId="52" xfId="51" applyNumberFormat="1" applyFont="1" applyFill="1" applyBorder="1" applyAlignment="1" applyProtection="1">
      <alignment horizontal="center" vertical="center" wrapText="1"/>
      <protection locked="0"/>
    </xf>
    <xf numFmtId="1" fontId="2" fillId="35" borderId="39" xfId="51" applyNumberFormat="1" applyFont="1" applyFill="1" applyBorder="1" applyAlignment="1" applyProtection="1">
      <alignment horizontal="center" vertical="center" wrapText="1"/>
      <protection locked="0"/>
    </xf>
    <xf numFmtId="0" fontId="6" fillId="33" borderId="14" xfId="51" applyFont="1" applyFill="1" applyBorder="1" applyAlignment="1" applyProtection="1">
      <alignment horizontal="center" vertical="center" wrapText="1"/>
      <protection/>
    </xf>
    <xf numFmtId="0" fontId="5" fillId="8" borderId="42" xfId="51" applyFont="1" applyFill="1" applyBorder="1" applyAlignment="1" applyProtection="1">
      <alignment horizontal="left" vertical="center" wrapText="1"/>
      <protection/>
    </xf>
    <xf numFmtId="0" fontId="5" fillId="8" borderId="43" xfId="51" applyFont="1" applyFill="1" applyBorder="1" applyAlignment="1" applyProtection="1">
      <alignment horizontal="left" vertical="center" wrapText="1"/>
      <protection/>
    </xf>
    <xf numFmtId="0" fontId="5" fillId="8" borderId="63" xfId="51" applyFont="1" applyFill="1" applyBorder="1" applyAlignment="1" applyProtection="1">
      <alignment horizontal="left" vertical="center" wrapText="1"/>
      <protection/>
    </xf>
    <xf numFmtId="3" fontId="5" fillId="34" borderId="16" xfId="51" applyNumberFormat="1" applyFont="1" applyFill="1" applyBorder="1" applyAlignment="1" applyProtection="1">
      <alignment horizontal="center" vertical="center" wrapText="1"/>
      <protection/>
    </xf>
    <xf numFmtId="3" fontId="5" fillId="34" borderId="14" xfId="51" applyNumberFormat="1" applyFont="1" applyFill="1" applyBorder="1" applyAlignment="1" applyProtection="1">
      <alignment horizontal="center" vertical="center" wrapText="1"/>
      <protection/>
    </xf>
    <xf numFmtId="3" fontId="5" fillId="34" borderId="13" xfId="51" applyNumberFormat="1" applyFont="1" applyFill="1" applyBorder="1" applyAlignment="1" applyProtection="1">
      <alignment horizontal="center" vertical="center" wrapText="1"/>
      <protection/>
    </xf>
    <xf numFmtId="0" fontId="6" fillId="34" borderId="64" xfId="51" applyFont="1" applyFill="1" applyBorder="1" applyAlignment="1" applyProtection="1">
      <alignment horizontal="center" vertical="center" wrapText="1"/>
      <protection/>
    </xf>
    <xf numFmtId="0" fontId="6" fillId="34" borderId="65" xfId="51" applyFont="1" applyFill="1" applyBorder="1" applyAlignment="1" applyProtection="1">
      <alignment horizontal="center" vertical="center" wrapText="1"/>
      <protection/>
    </xf>
    <xf numFmtId="0" fontId="6" fillId="33" borderId="17" xfId="51" applyFont="1" applyFill="1" applyBorder="1" applyAlignment="1" applyProtection="1">
      <alignment horizontal="center" vertical="center" wrapText="1"/>
      <protection/>
    </xf>
    <xf numFmtId="0" fontId="0" fillId="0" borderId="13" xfId="0" applyBorder="1" applyAlignment="1">
      <alignment/>
    </xf>
    <xf numFmtId="0" fontId="9" fillId="33" borderId="41" xfId="51" applyFont="1" applyFill="1" applyBorder="1" applyAlignment="1" applyProtection="1">
      <alignment horizontal="center" vertical="center" wrapText="1"/>
      <protection/>
    </xf>
    <xf numFmtId="0" fontId="9" fillId="33" borderId="17" xfId="51" applyFont="1" applyFill="1" applyBorder="1" applyAlignment="1" applyProtection="1">
      <alignment horizontal="center" vertical="center" wrapText="1"/>
      <protection/>
    </xf>
    <xf numFmtId="0" fontId="5" fillId="38" borderId="64" xfId="51" applyFont="1" applyFill="1" applyBorder="1" applyAlignment="1" applyProtection="1">
      <alignment horizontal="left" vertical="center" wrapText="1"/>
      <protection/>
    </xf>
    <xf numFmtId="0" fontId="5" fillId="38" borderId="53" xfId="51" applyFont="1" applyFill="1" applyBorder="1" applyAlignment="1" applyProtection="1">
      <alignment horizontal="left" vertical="center" wrapText="1"/>
      <protection/>
    </xf>
    <xf numFmtId="0" fontId="5" fillId="38" borderId="54" xfId="51" applyFont="1" applyFill="1" applyBorder="1" applyAlignment="1" applyProtection="1">
      <alignment horizontal="left" vertical="center" wrapText="1"/>
      <protection/>
    </xf>
    <xf numFmtId="0" fontId="5" fillId="38" borderId="11" xfId="51" applyFont="1" applyFill="1" applyBorder="1" applyAlignment="1" applyProtection="1">
      <alignment horizontal="left" vertical="center" wrapText="1"/>
      <protection/>
    </xf>
    <xf numFmtId="0" fontId="3" fillId="39" borderId="42" xfId="51" applyFont="1" applyFill="1" applyBorder="1" applyAlignment="1" applyProtection="1">
      <alignment horizontal="center" vertical="center" wrapText="1"/>
      <protection/>
    </xf>
    <xf numFmtId="0" fontId="3" fillId="39" borderId="43" xfId="51" applyFont="1" applyFill="1" applyBorder="1" applyAlignment="1" applyProtection="1">
      <alignment horizontal="center" vertical="center" wrapText="1"/>
      <protection/>
    </xf>
    <xf numFmtId="0" fontId="3" fillId="33" borderId="64" xfId="51" applyFont="1" applyFill="1" applyBorder="1" applyAlignment="1" applyProtection="1">
      <alignment horizontal="center" vertical="center" wrapText="1"/>
      <protection/>
    </xf>
    <xf numFmtId="0" fontId="3" fillId="33" borderId="65" xfId="51" applyFont="1" applyFill="1" applyBorder="1" applyAlignment="1" applyProtection="1">
      <alignment horizontal="center" vertical="center" wrapText="1"/>
      <protection/>
    </xf>
    <xf numFmtId="0" fontId="3" fillId="33" borderId="56" xfId="51" applyFont="1" applyFill="1" applyBorder="1" applyAlignment="1" applyProtection="1">
      <alignment horizontal="center" vertical="center" wrapText="1"/>
      <protection/>
    </xf>
    <xf numFmtId="0" fontId="3" fillId="33" borderId="38" xfId="51" applyFont="1" applyFill="1" applyBorder="1" applyAlignment="1" applyProtection="1">
      <alignment horizontal="center" vertical="center" wrapText="1"/>
      <protection/>
    </xf>
    <xf numFmtId="0" fontId="3" fillId="33" borderId="54" xfId="51" applyFont="1" applyFill="1" applyBorder="1" applyAlignment="1" applyProtection="1">
      <alignment horizontal="center" vertical="center" wrapText="1"/>
      <protection/>
    </xf>
    <xf numFmtId="0" fontId="3" fillId="33" borderId="44" xfId="51" applyFont="1" applyFill="1" applyBorder="1" applyAlignment="1" applyProtection="1">
      <alignment horizontal="center" vertical="center" wrapText="1"/>
      <protection/>
    </xf>
    <xf numFmtId="0" fontId="6" fillId="33" borderId="38" xfId="51" applyFont="1" applyFill="1" applyBorder="1" applyAlignment="1" applyProtection="1">
      <alignment horizontal="center" vertical="center" wrapText="1"/>
      <protection/>
    </xf>
    <xf numFmtId="0" fontId="74" fillId="33" borderId="41" xfId="51" applyFont="1" applyFill="1" applyBorder="1" applyAlignment="1" applyProtection="1">
      <alignment horizontal="center" vertical="center" wrapText="1"/>
      <protection/>
    </xf>
    <xf numFmtId="0" fontId="74" fillId="33" borderId="17" xfId="51" applyFont="1" applyFill="1" applyBorder="1" applyAlignment="1" applyProtection="1">
      <alignment horizontal="center" vertical="center" wrapText="1"/>
      <protection/>
    </xf>
    <xf numFmtId="0" fontId="74" fillId="33" borderId="12" xfId="51" applyFont="1" applyFill="1" applyBorder="1" applyAlignment="1" applyProtection="1">
      <alignment horizontal="center" vertical="center" wrapText="1"/>
      <protection/>
    </xf>
    <xf numFmtId="0" fontId="5" fillId="33" borderId="15" xfId="51" applyFont="1" applyFill="1" applyBorder="1" applyAlignment="1" applyProtection="1">
      <alignment horizontal="center" vertical="center" wrapText="1"/>
      <protection/>
    </xf>
    <xf numFmtId="0" fontId="5" fillId="33" borderId="22" xfId="51" applyFont="1" applyFill="1" applyBorder="1" applyAlignment="1" applyProtection="1">
      <alignment horizontal="center" vertical="center" wrapText="1"/>
      <protection/>
    </xf>
    <xf numFmtId="0" fontId="2" fillId="35" borderId="57" xfId="51" applyFont="1" applyFill="1" applyBorder="1" applyAlignment="1" applyProtection="1">
      <alignment horizontal="center" vertical="center" wrapText="1"/>
      <protection locked="0"/>
    </xf>
    <xf numFmtId="0" fontId="2" fillId="35" borderId="39" xfId="51" applyFont="1" applyFill="1" applyBorder="1" applyAlignment="1" applyProtection="1">
      <alignment horizontal="center" vertical="center" wrapText="1"/>
      <protection locked="0"/>
    </xf>
    <xf numFmtId="0" fontId="5" fillId="33" borderId="42" xfId="51" applyFont="1" applyFill="1" applyBorder="1" applyAlignment="1" applyProtection="1">
      <alignment horizontal="right" vertical="center" wrapText="1"/>
      <protection/>
    </xf>
    <xf numFmtId="0" fontId="5" fillId="33" borderId="63" xfId="51" applyFont="1" applyFill="1" applyBorder="1" applyAlignment="1" applyProtection="1">
      <alignment horizontal="right" vertical="center" wrapText="1"/>
      <protection/>
    </xf>
    <xf numFmtId="2" fontId="2" fillId="35" borderId="57" xfId="51" applyNumberFormat="1" applyFont="1" applyFill="1" applyBorder="1" applyAlignment="1" applyProtection="1">
      <alignment horizontal="center" vertical="center" wrapText="1"/>
      <protection locked="0"/>
    </xf>
    <xf numFmtId="0" fontId="5" fillId="8" borderId="42" xfId="51" applyFont="1" applyFill="1" applyBorder="1" applyAlignment="1" applyProtection="1">
      <alignment horizontal="left" vertical="top" wrapText="1"/>
      <protection/>
    </xf>
    <xf numFmtId="0" fontId="5" fillId="8" borderId="43" xfId="51" applyFont="1" applyFill="1" applyBorder="1" applyAlignment="1" applyProtection="1">
      <alignment horizontal="left" vertical="top" wrapText="1"/>
      <protection/>
    </xf>
    <xf numFmtId="0" fontId="5" fillId="8" borderId="63" xfId="51" applyFont="1" applyFill="1" applyBorder="1" applyAlignment="1" applyProtection="1">
      <alignment horizontal="left" vertical="top" wrapText="1"/>
      <protection/>
    </xf>
    <xf numFmtId="0" fontId="5" fillId="34" borderId="64" xfId="51" applyFont="1" applyFill="1" applyBorder="1" applyAlignment="1" applyProtection="1">
      <alignment horizontal="center" vertical="center" wrapText="1"/>
      <protection/>
    </xf>
    <xf numFmtId="0" fontId="5" fillId="34" borderId="65" xfId="51" applyFont="1" applyFill="1" applyBorder="1" applyAlignment="1" applyProtection="1">
      <alignment horizontal="center" vertical="center" wrapText="1"/>
      <protection/>
    </xf>
    <xf numFmtId="0" fontId="5" fillId="34" borderId="54" xfId="51" applyFont="1" applyFill="1" applyBorder="1" applyAlignment="1" applyProtection="1">
      <alignment horizontal="center" vertical="center" wrapText="1"/>
      <protection/>
    </xf>
    <xf numFmtId="0" fontId="5" fillId="34" borderId="44" xfId="51" applyFont="1" applyFill="1" applyBorder="1" applyAlignment="1" applyProtection="1">
      <alignment horizontal="center" vertical="center" wrapText="1"/>
      <protection/>
    </xf>
    <xf numFmtId="0" fontId="5" fillId="34" borderId="15" xfId="51" applyFont="1" applyFill="1" applyBorder="1" applyAlignment="1" applyProtection="1">
      <alignment horizontal="center" vertical="center" wrapText="1"/>
      <protection/>
    </xf>
    <xf numFmtId="0" fontId="5" fillId="34" borderId="35" xfId="51" applyFont="1" applyFill="1" applyBorder="1" applyAlignment="1" applyProtection="1">
      <alignment horizontal="center" vertical="center" wrapText="1"/>
      <protection/>
    </xf>
    <xf numFmtId="0" fontId="5" fillId="34" borderId="22" xfId="51" applyFont="1" applyFill="1" applyBorder="1" applyAlignment="1" applyProtection="1">
      <alignment horizontal="center" vertical="center" wrapText="1"/>
      <protection/>
    </xf>
    <xf numFmtId="0" fontId="5" fillId="34" borderId="14" xfId="51" applyFont="1" applyFill="1" applyBorder="1" applyAlignment="1" applyProtection="1">
      <alignment horizontal="center" vertical="center" wrapText="1"/>
      <protection/>
    </xf>
    <xf numFmtId="0" fontId="5" fillId="34" borderId="52" xfId="51" applyFont="1" applyFill="1" applyBorder="1" applyAlignment="1" applyProtection="1">
      <alignment horizontal="center" vertical="center" wrapText="1"/>
      <protection/>
    </xf>
    <xf numFmtId="0" fontId="5" fillId="34" borderId="42" xfId="51" applyFont="1" applyFill="1" applyBorder="1" applyAlignment="1" applyProtection="1">
      <alignment horizontal="center" vertical="center" wrapText="1"/>
      <protection/>
    </xf>
    <xf numFmtId="0" fontId="5" fillId="40" borderId="43" xfId="51" applyFont="1" applyFill="1" applyBorder="1" applyAlignment="1" applyProtection="1">
      <alignment horizontal="center" vertical="center" wrapText="1"/>
      <protection/>
    </xf>
    <xf numFmtId="0" fontId="5" fillId="40" borderId="63" xfId="51" applyFont="1" applyFill="1" applyBorder="1" applyAlignment="1" applyProtection="1">
      <alignment horizontal="center" vertical="center" wrapText="1"/>
      <protection/>
    </xf>
    <xf numFmtId="0" fontId="5" fillId="33" borderId="16" xfId="51" applyFont="1" applyFill="1" applyBorder="1" applyAlignment="1" applyProtection="1">
      <alignment horizontal="center" vertical="center" wrapText="1"/>
      <protection/>
    </xf>
    <xf numFmtId="0" fontId="5" fillId="33" borderId="57" xfId="51" applyFont="1" applyFill="1" applyBorder="1" applyAlignment="1" applyProtection="1">
      <alignment horizontal="center" vertical="center" wrapText="1"/>
      <protection/>
    </xf>
    <xf numFmtId="0" fontId="5" fillId="33" borderId="41" xfId="51" applyFont="1" applyFill="1" applyBorder="1" applyAlignment="1" applyProtection="1">
      <alignment horizontal="center" vertical="center" wrapText="1"/>
      <protection/>
    </xf>
    <xf numFmtId="0" fontId="5" fillId="33" borderId="17" xfId="51" applyFont="1" applyFill="1" applyBorder="1" applyAlignment="1" applyProtection="1">
      <alignment horizontal="center" vertical="center" wrapText="1"/>
      <protection/>
    </xf>
    <xf numFmtId="0" fontId="36" fillId="39" borderId="64" xfId="0" applyFont="1" applyFill="1" applyBorder="1" applyAlignment="1" applyProtection="1">
      <alignment horizontal="center" vertical="center"/>
      <protection/>
    </xf>
    <xf numFmtId="0" fontId="36" fillId="39" borderId="53" xfId="0" applyFont="1" applyFill="1" applyBorder="1" applyAlignment="1" applyProtection="1">
      <alignment horizontal="center" vertical="center"/>
      <protection/>
    </xf>
    <xf numFmtId="0" fontId="36" fillId="39" borderId="65" xfId="0" applyFont="1" applyFill="1" applyBorder="1" applyAlignment="1" applyProtection="1">
      <alignment horizontal="center" vertical="center"/>
      <protection/>
    </xf>
    <xf numFmtId="0" fontId="11" fillId="38" borderId="64" xfId="51" applyFont="1" applyFill="1" applyBorder="1" applyAlignment="1" applyProtection="1">
      <alignment horizontal="left" vertical="center" wrapText="1"/>
      <protection/>
    </xf>
    <xf numFmtId="0" fontId="11" fillId="38" borderId="53" xfId="51" applyFont="1" applyFill="1" applyBorder="1" applyAlignment="1" applyProtection="1">
      <alignment horizontal="left" vertical="center" wrapText="1"/>
      <protection/>
    </xf>
    <xf numFmtId="0" fontId="11" fillId="38" borderId="56" xfId="51" applyFont="1" applyFill="1" applyBorder="1" applyAlignment="1" applyProtection="1">
      <alignment horizontal="left" vertical="center" wrapText="1"/>
      <protection/>
    </xf>
    <xf numFmtId="0" fontId="11" fillId="38" borderId="0" xfId="51" applyFont="1" applyFill="1" applyBorder="1" applyAlignment="1" applyProtection="1">
      <alignment horizontal="left" vertical="center" wrapText="1"/>
      <protection/>
    </xf>
    <xf numFmtId="0" fontId="11" fillId="38" borderId="54" xfId="51" applyFont="1" applyFill="1" applyBorder="1" applyAlignment="1" applyProtection="1">
      <alignment horizontal="left" vertical="center" wrapText="1"/>
      <protection/>
    </xf>
    <xf numFmtId="0" fontId="11" fillId="38" borderId="11" xfId="51" applyFont="1" applyFill="1" applyBorder="1" applyAlignment="1" applyProtection="1">
      <alignment horizontal="left" vertical="center" wrapText="1"/>
      <protection/>
    </xf>
    <xf numFmtId="0" fontId="11" fillId="33" borderId="17"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41"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protection/>
    </xf>
    <xf numFmtId="0" fontId="11" fillId="33" borderId="12" xfId="0" applyFont="1" applyFill="1" applyBorder="1" applyAlignment="1" applyProtection="1">
      <alignment horizontal="center" vertical="center"/>
      <protection/>
    </xf>
    <xf numFmtId="0" fontId="11" fillId="33" borderId="38" xfId="0" applyFont="1" applyFill="1" applyBorder="1" applyAlignment="1" applyProtection="1">
      <alignment horizontal="center" vertical="center" wrapText="1"/>
      <protection/>
    </xf>
    <xf numFmtId="0" fontId="11" fillId="33" borderId="44" xfId="0" applyFont="1" applyFill="1" applyBorder="1" applyAlignment="1" applyProtection="1">
      <alignment horizontal="center" vertical="center" wrapText="1"/>
      <protection/>
    </xf>
    <xf numFmtId="0" fontId="11" fillId="33" borderId="66" xfId="0" applyFont="1" applyFill="1" applyBorder="1" applyAlignment="1" applyProtection="1">
      <alignment horizontal="center" vertical="center" wrapText="1"/>
      <protection/>
    </xf>
    <xf numFmtId="0" fontId="11" fillId="33" borderId="67" xfId="0" applyFont="1" applyFill="1" applyBorder="1" applyAlignment="1" applyProtection="1">
      <alignment horizontal="center" vertical="center" wrapText="1"/>
      <protection/>
    </xf>
    <xf numFmtId="0" fontId="11" fillId="33" borderId="68"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0" fontId="11" fillId="33" borderId="26" xfId="0" applyFont="1" applyFill="1" applyBorder="1" applyAlignment="1" applyProtection="1">
      <alignment horizontal="center" vertical="center" wrapText="1"/>
      <protection/>
    </xf>
    <xf numFmtId="0" fontId="11" fillId="34" borderId="54" xfId="0" applyFont="1" applyFill="1" applyBorder="1" applyAlignment="1" applyProtection="1">
      <alignment horizontal="center" vertical="center"/>
      <protection/>
    </xf>
    <xf numFmtId="0" fontId="11" fillId="34" borderId="11" xfId="0" applyFont="1" applyFill="1" applyBorder="1" applyAlignment="1" applyProtection="1">
      <alignment horizontal="center" vertical="center"/>
      <protection/>
    </xf>
    <xf numFmtId="0" fontId="11" fillId="34" borderId="44" xfId="0" applyFont="1" applyFill="1" applyBorder="1" applyAlignment="1" applyProtection="1">
      <alignment horizontal="center" vertical="center"/>
      <protection/>
    </xf>
    <xf numFmtId="0" fontId="11" fillId="34" borderId="41" xfId="0" applyFont="1" applyFill="1" applyBorder="1" applyAlignment="1" applyProtection="1">
      <alignment horizontal="center" vertical="center" wrapText="1"/>
      <protection/>
    </xf>
    <xf numFmtId="0" fontId="11" fillId="34" borderId="17"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xf>
    <xf numFmtId="0" fontId="11" fillId="33" borderId="36" xfId="0" applyFont="1" applyFill="1" applyBorder="1" applyAlignment="1" applyProtection="1">
      <alignment horizontal="center" vertical="center" wrapText="1"/>
      <protection/>
    </xf>
    <xf numFmtId="0" fontId="11" fillId="33" borderId="35" xfId="0" applyFont="1" applyFill="1" applyBorder="1" applyAlignment="1" applyProtection="1">
      <alignment horizontal="center" vertical="center" wrapText="1"/>
      <protection/>
    </xf>
    <xf numFmtId="0" fontId="48" fillId="0" borderId="37" xfId="0" applyFont="1" applyBorder="1" applyAlignment="1" applyProtection="1">
      <alignment horizontal="left" vertical="center" wrapText="1"/>
      <protection/>
    </xf>
    <xf numFmtId="0" fontId="47" fillId="0" borderId="37" xfId="0" applyFont="1" applyBorder="1" applyAlignment="1" applyProtection="1">
      <alignment horizontal="left" vertical="center"/>
      <protection/>
    </xf>
    <xf numFmtId="0" fontId="49" fillId="35" borderId="19" xfId="0" applyFont="1" applyFill="1" applyBorder="1" applyAlignment="1">
      <alignment horizontal="center" vertical="center" wrapText="1"/>
    </xf>
    <xf numFmtId="0" fontId="49" fillId="35" borderId="58" xfId="0" applyFont="1" applyFill="1" applyBorder="1" applyAlignment="1">
      <alignment horizontal="center" vertical="center" wrapText="1"/>
    </xf>
    <xf numFmtId="0" fontId="75" fillId="0" borderId="58" xfId="0" applyFont="1" applyBorder="1" applyAlignment="1" applyProtection="1">
      <alignment horizontal="left" vertical="center" wrapText="1"/>
      <protection/>
    </xf>
    <xf numFmtId="0" fontId="10" fillId="0" borderId="58" xfId="0" applyNumberFormat="1" applyFont="1" applyBorder="1" applyAlignment="1" applyProtection="1">
      <alignment horizontal="center" vertical="center" wrapText="1"/>
      <protection/>
    </xf>
    <xf numFmtId="3" fontId="41" fillId="35" borderId="19" xfId="0" applyNumberFormat="1" applyFont="1" applyFill="1" applyBorder="1" applyAlignment="1" applyProtection="1">
      <alignment horizontal="right" vertical="center"/>
      <protection/>
    </xf>
    <xf numFmtId="3" fontId="41" fillId="35" borderId="58" xfId="0" applyNumberFormat="1" applyFont="1" applyFill="1" applyBorder="1" applyAlignment="1" applyProtection="1">
      <alignment horizontal="right" vertical="center"/>
      <protection/>
    </xf>
    <xf numFmtId="0" fontId="47" fillId="0" borderId="19" xfId="0" applyNumberFormat="1" applyFont="1" applyBorder="1" applyAlignment="1" applyProtection="1">
      <alignment horizontal="left" vertical="center" wrapText="1"/>
      <protection/>
    </xf>
    <xf numFmtId="0" fontId="47" fillId="0" borderId="58" xfId="0" applyNumberFormat="1" applyFont="1" applyBorder="1" applyAlignment="1" applyProtection="1">
      <alignment horizontal="left" vertical="center" wrapText="1"/>
      <protection/>
    </xf>
    <xf numFmtId="1" fontId="47" fillId="0" borderId="19" xfId="0" applyNumberFormat="1" applyFont="1" applyBorder="1" applyAlignment="1" applyProtection="1">
      <alignment horizontal="center" vertical="center"/>
      <protection/>
    </xf>
    <xf numFmtId="1" fontId="47" fillId="0" borderId="58" xfId="0" applyNumberFormat="1" applyFont="1" applyBorder="1" applyAlignment="1" applyProtection="1">
      <alignment horizontal="center" vertical="center"/>
      <protection/>
    </xf>
    <xf numFmtId="2" fontId="47" fillId="0" borderId="19" xfId="0" applyNumberFormat="1" applyFont="1" applyBorder="1" applyAlignment="1" applyProtection="1">
      <alignment horizontal="center" vertical="center"/>
      <protection/>
    </xf>
    <xf numFmtId="2" fontId="47" fillId="0" borderId="58" xfId="0" applyNumberFormat="1" applyFont="1" applyBorder="1" applyAlignment="1" applyProtection="1">
      <alignment horizontal="center" vertical="center"/>
      <protection/>
    </xf>
    <xf numFmtId="0" fontId="7" fillId="35" borderId="46" xfId="0" applyFont="1" applyFill="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3 2" xfId="53"/>
    <cellStyle name="Standard 3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27">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ont>
        <color auto="1"/>
      </font>
      <fill>
        <patternFill>
          <bgColor theme="5" tint="0.3999499976634979"/>
        </patternFill>
      </fill>
    </dxf>
    <dxf>
      <font>
        <color auto="1"/>
      </font>
      <fill>
        <patternFill>
          <bgColor theme="5" tint="0.3999499976634979"/>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ont>
        <color rgb="FF9C0006"/>
      </font>
      <fill>
        <patternFill>
          <bgColor rgb="FFFFC7CE"/>
        </patternFill>
      </fill>
    </dxf>
    <dxf>
      <fill>
        <patternFill>
          <bgColor theme="5" tint="0.5999600291252136"/>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PageLayoutView="0" workbookViewId="0" topLeftCell="A1">
      <selection activeCell="A4" sqref="A4"/>
    </sheetView>
  </sheetViews>
  <sheetFormatPr defaultColWidth="11.421875" defaultRowHeight="12.75"/>
  <cols>
    <col min="1" max="1" width="100.28125" style="225" customWidth="1"/>
    <col min="2" max="3" width="11.421875" style="218" customWidth="1"/>
    <col min="4" max="16384" width="11.421875" style="224" customWidth="1"/>
  </cols>
  <sheetData>
    <row r="1" ht="6" customHeight="1"/>
    <row r="2" ht="18.75">
      <c r="A2" s="226" t="s">
        <v>190</v>
      </c>
    </row>
    <row r="3" ht="15.75">
      <c r="A3" s="235" t="s">
        <v>194</v>
      </c>
    </row>
    <row r="4" ht="39.75" customHeight="1">
      <c r="A4" s="219"/>
    </row>
    <row r="5" spans="1:4" s="218" customFormat="1" ht="87.75" customHeight="1">
      <c r="A5" s="239" t="s">
        <v>189</v>
      </c>
      <c r="D5" s="224"/>
    </row>
    <row r="6" spans="1:5" s="218" customFormat="1" ht="209.25" customHeight="1">
      <c r="A6" s="239" t="s">
        <v>188</v>
      </c>
      <c r="D6" s="224"/>
      <c r="E6" s="244"/>
    </row>
    <row r="7" spans="1:4" s="218" customFormat="1" ht="48.75" customHeight="1">
      <c r="A7" s="239" t="s">
        <v>186</v>
      </c>
      <c r="D7" s="224"/>
    </row>
    <row r="8" spans="1:4" s="218" customFormat="1" ht="81" customHeight="1">
      <c r="A8" s="220" t="s">
        <v>187</v>
      </c>
      <c r="D8" s="224"/>
    </row>
    <row r="9" spans="1:4" s="218" customFormat="1" ht="258.75" customHeight="1">
      <c r="A9" s="221" t="s">
        <v>171</v>
      </c>
      <c r="D9" s="224"/>
    </row>
    <row r="10" spans="1:4" s="218" customFormat="1" ht="66.75" customHeight="1">
      <c r="A10" s="222" t="s">
        <v>139</v>
      </c>
      <c r="D10" s="224"/>
    </row>
    <row r="11" spans="1:4" s="218" customFormat="1" ht="24.75" customHeight="1">
      <c r="A11" s="223" t="s">
        <v>140</v>
      </c>
      <c r="D11" s="224"/>
    </row>
    <row r="12" spans="1:4" s="218" customFormat="1" ht="36.75" customHeight="1">
      <c r="A12" s="220" t="s">
        <v>172</v>
      </c>
      <c r="D12" s="224"/>
    </row>
    <row r="21" spans="1:4" ht="15">
      <c r="A21" s="21"/>
      <c r="B21" s="22"/>
      <c r="C21" s="22"/>
      <c r="D21" s="23"/>
    </row>
  </sheetData>
  <sheetProtection selectLockedCells="1"/>
  <printOptions/>
  <pageMargins left="0.9055118110236221" right="0.9055118110236221" top="0.7480314960629921" bottom="0.7480314960629921" header="0.31496062992125984" footer="0.31496062992125984"/>
  <pageSetup fitToHeight="1" fitToWidth="1" horizontalDpi="600" verticalDpi="600" orientation="portrait" paperSize="9" scale="83" r:id="rId3"/>
  <legacyDrawing r:id="rId2"/>
  <oleObjects>
    <oleObject progId="" shapeId="292996" r:id="rId1"/>
  </oleObjects>
</worksheet>
</file>

<file path=xl/worksheets/sheet2.xml><?xml version="1.0" encoding="utf-8"?>
<worksheet xmlns="http://schemas.openxmlformats.org/spreadsheetml/2006/main" xmlns:r="http://schemas.openxmlformats.org/officeDocument/2006/relationships">
  <sheetPr>
    <pageSetUpPr fitToPage="1"/>
  </sheetPr>
  <dimension ref="A1:R75"/>
  <sheetViews>
    <sheetView zoomScalePageLayoutView="0" workbookViewId="0" topLeftCell="A1">
      <selection activeCell="F52" sqref="F52"/>
    </sheetView>
  </sheetViews>
  <sheetFormatPr defaultColWidth="11.421875" defaultRowHeight="12.75"/>
  <cols>
    <col min="1" max="1" width="40.8515625" style="8" customWidth="1"/>
    <col min="2" max="2" width="8.28125" style="8" customWidth="1"/>
    <col min="3" max="3" width="10.140625" style="3" customWidth="1"/>
    <col min="4" max="5" width="8.8515625" style="3" customWidth="1"/>
    <col min="6" max="6" width="11.57421875" style="3" customWidth="1"/>
    <col min="7" max="7" width="10.140625" style="3" customWidth="1"/>
    <col min="8" max="8" width="10.57421875" style="3" customWidth="1"/>
    <col min="9" max="9" width="10.28125" style="3" customWidth="1"/>
    <col min="10" max="10" width="9.28125" style="3" customWidth="1"/>
    <col min="11" max="11" width="9.140625" style="3" customWidth="1"/>
    <col min="12" max="12" width="14.57421875" style="3" customWidth="1"/>
    <col min="13" max="13" width="20.421875" style="3" customWidth="1"/>
    <col min="14" max="14" width="21.421875" style="108" customWidth="1"/>
    <col min="15" max="15" width="18.7109375" style="3" customWidth="1"/>
    <col min="16" max="16" width="13.00390625" style="1" customWidth="1"/>
    <col min="17" max="17" width="13.28125" style="2" customWidth="1"/>
    <col min="18" max="18" width="11.421875" style="2" customWidth="1"/>
    <col min="19" max="19" width="23.28125" style="2" customWidth="1"/>
    <col min="20" max="16384" width="11.421875" style="2" customWidth="1"/>
  </cols>
  <sheetData>
    <row r="1" spans="1:16" ht="32.25" customHeight="1" thickBot="1">
      <c r="A1" s="278" t="s">
        <v>55</v>
      </c>
      <c r="B1" s="279"/>
      <c r="C1" s="279"/>
      <c r="D1" s="279"/>
      <c r="E1" s="279"/>
      <c r="F1" s="279"/>
      <c r="G1" s="279"/>
      <c r="H1" s="279"/>
      <c r="I1" s="279"/>
      <c r="J1" s="279"/>
      <c r="K1" s="279"/>
      <c r="L1" s="279"/>
      <c r="M1" s="272" t="s">
        <v>80</v>
      </c>
      <c r="P1" s="2"/>
    </row>
    <row r="2" spans="1:16" ht="27" customHeight="1">
      <c r="A2" s="274" t="s">
        <v>141</v>
      </c>
      <c r="B2" s="275"/>
      <c r="C2" s="275"/>
      <c r="D2" s="275"/>
      <c r="E2" s="275"/>
      <c r="F2" s="275"/>
      <c r="G2" s="275"/>
      <c r="H2" s="275"/>
      <c r="I2" s="275"/>
      <c r="J2" s="275"/>
      <c r="K2" s="275"/>
      <c r="L2" s="275"/>
      <c r="M2" s="273"/>
      <c r="P2" s="2"/>
    </row>
    <row r="3" spans="1:16" ht="35.25" customHeight="1" thickBot="1">
      <c r="A3" s="276"/>
      <c r="B3" s="277"/>
      <c r="C3" s="277"/>
      <c r="D3" s="277"/>
      <c r="E3" s="277"/>
      <c r="F3" s="277"/>
      <c r="G3" s="277"/>
      <c r="H3" s="277"/>
      <c r="I3" s="277"/>
      <c r="J3" s="277"/>
      <c r="K3" s="277"/>
      <c r="L3" s="277"/>
      <c r="M3" s="273"/>
      <c r="P3" s="2"/>
    </row>
    <row r="4" spans="1:16" ht="24.75" customHeight="1">
      <c r="A4" s="257" t="s">
        <v>91</v>
      </c>
      <c r="B4" s="258"/>
      <c r="C4" s="257" t="s">
        <v>84</v>
      </c>
      <c r="D4" s="258"/>
      <c r="E4" s="257" t="s">
        <v>98</v>
      </c>
      <c r="F4" s="261"/>
      <c r="G4" s="258"/>
      <c r="H4" s="257" t="s">
        <v>142</v>
      </c>
      <c r="I4" s="261"/>
      <c r="J4" s="258"/>
      <c r="K4" s="257" t="s">
        <v>85</v>
      </c>
      <c r="L4" s="258"/>
      <c r="M4" s="287" t="str">
        <f>IF(OR(C5="",E5="",H5="",K5=""),"Füllen Sie zunächst die weißen Felder 
im Kopfbereich der Tabelle aus!","")</f>
        <v>Füllen Sie zunächst die weißen Felder 
im Kopfbereich der Tabelle aus!</v>
      </c>
      <c r="N4" s="108">
        <f>IF(M4="",0,1)</f>
        <v>1</v>
      </c>
      <c r="P4" s="2"/>
    </row>
    <row r="5" spans="1:16" ht="20.25" customHeight="1" thickBot="1">
      <c r="A5" s="292"/>
      <c r="B5" s="293"/>
      <c r="C5" s="296"/>
      <c r="D5" s="247"/>
      <c r="E5" s="246"/>
      <c r="F5" s="246"/>
      <c r="G5" s="247"/>
      <c r="H5" s="246"/>
      <c r="I5" s="246"/>
      <c r="J5" s="247"/>
      <c r="K5" s="259"/>
      <c r="L5" s="260"/>
      <c r="M5" s="288"/>
      <c r="P5" s="2"/>
    </row>
    <row r="6" spans="1:16" ht="3.75" customHeight="1" thickBot="1">
      <c r="A6" s="98"/>
      <c r="B6" s="99"/>
      <c r="C6" s="100"/>
      <c r="D6" s="100"/>
      <c r="E6" s="100"/>
      <c r="F6" s="100"/>
      <c r="G6" s="99"/>
      <c r="H6" s="99"/>
      <c r="I6" s="101"/>
      <c r="J6" s="99"/>
      <c r="K6" s="99"/>
      <c r="L6" s="99"/>
      <c r="M6" s="288"/>
      <c r="P6" s="2"/>
    </row>
    <row r="7" spans="1:16" ht="13.5" customHeight="1" thickBot="1">
      <c r="A7" s="294" t="s">
        <v>37</v>
      </c>
      <c r="B7" s="295"/>
      <c r="C7" s="109" t="s">
        <v>56</v>
      </c>
      <c r="D7" s="135" t="s">
        <v>57</v>
      </c>
      <c r="E7" s="136" t="s">
        <v>58</v>
      </c>
      <c r="F7" s="13" t="s">
        <v>59</v>
      </c>
      <c r="G7" s="11" t="s">
        <v>60</v>
      </c>
      <c r="H7" s="136" t="s">
        <v>61</v>
      </c>
      <c r="I7" s="135" t="s">
        <v>62</v>
      </c>
      <c r="J7" s="136" t="s">
        <v>65</v>
      </c>
      <c r="K7" s="166" t="s">
        <v>63</v>
      </c>
      <c r="L7" s="167" t="s">
        <v>66</v>
      </c>
      <c r="M7" s="289"/>
      <c r="O7" s="2"/>
      <c r="P7" s="2"/>
    </row>
    <row r="8" spans="1:16" ht="15.75" customHeight="1">
      <c r="A8" s="280" t="s">
        <v>54</v>
      </c>
      <c r="B8" s="281"/>
      <c r="C8" s="314" t="s">
        <v>99</v>
      </c>
      <c r="D8" s="300" t="s">
        <v>72</v>
      </c>
      <c r="E8" s="301"/>
      <c r="F8" s="290" t="s">
        <v>40</v>
      </c>
      <c r="G8" s="312" t="s">
        <v>39</v>
      </c>
      <c r="H8" s="304" t="s">
        <v>33</v>
      </c>
      <c r="I8" s="304" t="s">
        <v>38</v>
      </c>
      <c r="J8" s="300" t="s">
        <v>73</v>
      </c>
      <c r="K8" s="301"/>
      <c r="L8" s="307" t="s">
        <v>105</v>
      </c>
      <c r="M8" s="94"/>
      <c r="O8" s="2"/>
      <c r="P8" s="2"/>
    </row>
    <row r="9" spans="1:14" s="3" customFormat="1" ht="32.25" customHeight="1" thickBot="1">
      <c r="A9" s="282"/>
      <c r="B9" s="283"/>
      <c r="C9" s="315"/>
      <c r="D9" s="302"/>
      <c r="E9" s="303"/>
      <c r="F9" s="291"/>
      <c r="G9" s="313"/>
      <c r="H9" s="305"/>
      <c r="I9" s="306"/>
      <c r="J9" s="302"/>
      <c r="K9" s="303"/>
      <c r="L9" s="308"/>
      <c r="M9" s="92"/>
      <c r="N9" s="108">
        <f>IF(M12="",0,1)</f>
        <v>0</v>
      </c>
    </row>
    <row r="10" spans="1:16" ht="16.5" customHeight="1" thickBot="1">
      <c r="A10" s="284"/>
      <c r="B10" s="285"/>
      <c r="C10" s="11" t="s">
        <v>86</v>
      </c>
      <c r="D10" s="135" t="s">
        <v>64</v>
      </c>
      <c r="E10" s="135" t="s">
        <v>87</v>
      </c>
      <c r="F10" s="13" t="s">
        <v>86</v>
      </c>
      <c r="G10" s="12" t="s">
        <v>31</v>
      </c>
      <c r="H10" s="306"/>
      <c r="I10" s="135" t="s">
        <v>118</v>
      </c>
      <c r="J10" s="168" t="s">
        <v>106</v>
      </c>
      <c r="K10" s="135" t="s">
        <v>87</v>
      </c>
      <c r="L10" s="135" t="s">
        <v>87</v>
      </c>
      <c r="M10" s="92"/>
      <c r="O10" s="2"/>
      <c r="P10" s="2"/>
    </row>
    <row r="11" spans="1:16" ht="16.5" customHeight="1" thickBot="1">
      <c r="A11" s="294" t="s">
        <v>67</v>
      </c>
      <c r="B11" s="295"/>
      <c r="C11" s="9"/>
      <c r="D11" s="137"/>
      <c r="E11" s="138" t="s">
        <v>68</v>
      </c>
      <c r="F11" s="10"/>
      <c r="G11" s="11"/>
      <c r="H11" s="166"/>
      <c r="I11" s="17" t="s">
        <v>71</v>
      </c>
      <c r="J11" s="169"/>
      <c r="K11" s="138" t="s">
        <v>69</v>
      </c>
      <c r="L11" s="137" t="s">
        <v>70</v>
      </c>
      <c r="M11" s="92"/>
      <c r="O11" s="2"/>
      <c r="P11" s="2"/>
    </row>
    <row r="12" spans="1:16" ht="15" customHeight="1">
      <c r="A12" s="252" t="s">
        <v>47</v>
      </c>
      <c r="B12" s="254"/>
      <c r="C12" s="14"/>
      <c r="D12" s="15"/>
      <c r="E12" s="16"/>
      <c r="F12" s="15"/>
      <c r="G12" s="16"/>
      <c r="H12" s="16"/>
      <c r="I12" s="17"/>
      <c r="J12" s="18"/>
      <c r="K12" s="19"/>
      <c r="L12" s="17"/>
      <c r="M12" s="270">
        <f>IF(OR(F13&gt;C13,F14&gt;C14),"Einarbeitungsfläche (Spalte d) ist größer als Anbaufläche (Spalte a)!","")</f>
      </c>
      <c r="O12" s="2"/>
      <c r="P12" s="2"/>
    </row>
    <row r="13" spans="1:16" ht="15" customHeight="1">
      <c r="A13" s="250" t="s">
        <v>82</v>
      </c>
      <c r="B13" s="251"/>
      <c r="C13" s="74"/>
      <c r="D13" s="139">
        <f>IF(H$5="ja",-1840,-1300)</f>
        <v>-1300</v>
      </c>
      <c r="E13" s="140">
        <f>IF(C13="","",C13*D13)</f>
      </c>
      <c r="F13" s="71"/>
      <c r="G13" s="65"/>
      <c r="H13" s="170">
        <v>0.4</v>
      </c>
      <c r="I13" s="156">
        <f>IF(F13="","",G13*F13*H13)</f>
      </c>
      <c r="J13" s="171">
        <v>1</v>
      </c>
      <c r="K13" s="152">
        <f>IF(I13="","",I13*J13)</f>
      </c>
      <c r="L13" s="156">
        <f>IF(C13="","",SUM(E13+IF(K13="",0,K13)))</f>
      </c>
      <c r="M13" s="270"/>
      <c r="N13" s="108">
        <f>IF(M17="",0,1)</f>
        <v>0</v>
      </c>
      <c r="O13" s="2"/>
      <c r="P13" s="2"/>
    </row>
    <row r="14" spans="1:16" ht="15" customHeight="1">
      <c r="A14" s="250" t="s">
        <v>28</v>
      </c>
      <c r="B14" s="251"/>
      <c r="C14" s="75"/>
      <c r="D14" s="139">
        <f>IF(H$5="ja",-1840,-1300)</f>
        <v>-1300</v>
      </c>
      <c r="E14" s="140">
        <f>IF(C14="","",C14*D14)</f>
      </c>
      <c r="F14" s="72"/>
      <c r="G14" s="66"/>
      <c r="H14" s="172">
        <v>0.7</v>
      </c>
      <c r="I14" s="156">
        <f>IF(F14="","",G14*F14*H14)</f>
      </c>
      <c r="J14" s="173">
        <v>1.3</v>
      </c>
      <c r="K14" s="152">
        <f>IF(I14="","",I14*J14)</f>
      </c>
      <c r="L14" s="156">
        <f>IF(C14="","",SUM(E14+IF(K14="",0,K14)))</f>
      </c>
      <c r="M14" s="270"/>
      <c r="P14" s="2"/>
    </row>
    <row r="15" spans="1:16" ht="15" customHeight="1" thickBot="1">
      <c r="A15" s="248" t="s">
        <v>0</v>
      </c>
      <c r="B15" s="249"/>
      <c r="C15" s="76"/>
      <c r="D15" s="139">
        <f>IF(H$5="ja",-1240,-1000)</f>
        <v>-1000</v>
      </c>
      <c r="E15" s="140">
        <f>IF(C15="","",C15*D15)</f>
      </c>
      <c r="F15" s="178" t="s">
        <v>36</v>
      </c>
      <c r="G15" s="174" t="s">
        <v>36</v>
      </c>
      <c r="H15" s="174" t="s">
        <v>36</v>
      </c>
      <c r="I15" s="175" t="s">
        <v>36</v>
      </c>
      <c r="J15" s="176" t="s">
        <v>36</v>
      </c>
      <c r="K15" s="152" t="s">
        <v>36</v>
      </c>
      <c r="L15" s="156">
        <f>IF(C15="","",E15)</f>
      </c>
      <c r="M15" s="270"/>
      <c r="O15" s="2"/>
      <c r="P15" s="2"/>
    </row>
    <row r="16" spans="1:18" ht="15" customHeight="1">
      <c r="A16" s="252" t="s">
        <v>34</v>
      </c>
      <c r="B16" s="254"/>
      <c r="C16" s="77"/>
      <c r="D16" s="54"/>
      <c r="E16" s="53"/>
      <c r="F16" s="73"/>
      <c r="G16" s="53"/>
      <c r="H16" s="53"/>
      <c r="I16" s="133"/>
      <c r="J16" s="55"/>
      <c r="K16" s="56"/>
      <c r="L16" s="133"/>
      <c r="M16" s="20"/>
      <c r="O16" s="2"/>
      <c r="P16" s="2"/>
      <c r="R16" s="3"/>
    </row>
    <row r="17" spans="1:16" ht="15" customHeight="1">
      <c r="A17" s="250" t="s">
        <v>19</v>
      </c>
      <c r="B17" s="251"/>
      <c r="C17" s="78"/>
      <c r="D17" s="139">
        <f>IF(H$5="ja",-1040,-800)</f>
        <v>-800</v>
      </c>
      <c r="E17" s="140">
        <f>IF(C17="","",C17*D17)</f>
      </c>
      <c r="F17" s="71"/>
      <c r="G17" s="65"/>
      <c r="H17" s="170">
        <v>1</v>
      </c>
      <c r="I17" s="156">
        <f>IF(F17="","",G17*F17*H17)</f>
      </c>
      <c r="J17" s="177">
        <v>7</v>
      </c>
      <c r="K17" s="152">
        <f>IF(I17="","",I17*J17)</f>
      </c>
      <c r="L17" s="156">
        <f>IF(C17="","",SUM(E17+IF(K17="",0,K17)))</f>
      </c>
      <c r="M17" s="270">
        <f>IF(OR(F17&gt;C17),"Einarbeitungsfläche (Spalte d) ist größer als Anbaufläche (Spalte a)!","")</f>
      </c>
      <c r="N17" s="108">
        <f>IF(M21="",0,1)</f>
        <v>0</v>
      </c>
      <c r="O17" s="2"/>
      <c r="P17" s="2"/>
    </row>
    <row r="18" spans="1:16" ht="15" customHeight="1">
      <c r="A18" s="250" t="s">
        <v>29</v>
      </c>
      <c r="B18" s="251"/>
      <c r="C18" s="79"/>
      <c r="D18" s="139">
        <f>IF(H$5="ja",-1040,-800)</f>
        <v>-800</v>
      </c>
      <c r="E18" s="140">
        <f>IF(C18="","",C18*D18)</f>
      </c>
      <c r="F18" s="179" t="s">
        <v>36</v>
      </c>
      <c r="G18" s="140" t="s">
        <v>36</v>
      </c>
      <c r="H18" s="142" t="s">
        <v>36</v>
      </c>
      <c r="I18" s="156" t="s">
        <v>36</v>
      </c>
      <c r="J18" s="157" t="s">
        <v>36</v>
      </c>
      <c r="K18" s="140" t="s">
        <v>36</v>
      </c>
      <c r="L18" s="156">
        <f>IF(C18="","",E18)</f>
      </c>
      <c r="M18" s="270"/>
      <c r="O18" s="2"/>
      <c r="P18" s="2"/>
    </row>
    <row r="19" spans="1:16" ht="15" customHeight="1" thickBot="1">
      <c r="A19" s="248" t="s">
        <v>35</v>
      </c>
      <c r="B19" s="249"/>
      <c r="C19" s="80"/>
      <c r="D19" s="139">
        <f>IF(H$5="ja",-1040,-800)</f>
        <v>-800</v>
      </c>
      <c r="E19" s="140">
        <f>IF(C19="","",C19*D19)</f>
      </c>
      <c r="F19" s="179" t="s">
        <v>36</v>
      </c>
      <c r="G19" s="141" t="s">
        <v>36</v>
      </c>
      <c r="H19" s="174" t="s">
        <v>36</v>
      </c>
      <c r="I19" s="156" t="s">
        <v>36</v>
      </c>
      <c r="J19" s="176" t="s">
        <v>36</v>
      </c>
      <c r="K19" s="145" t="s">
        <v>36</v>
      </c>
      <c r="L19" s="156">
        <f>IF(C19="","",E19)</f>
      </c>
      <c r="M19" s="270"/>
      <c r="O19" s="2"/>
      <c r="P19" s="2"/>
    </row>
    <row r="20" spans="1:18" ht="15" customHeight="1">
      <c r="A20" s="252" t="s">
        <v>30</v>
      </c>
      <c r="B20" s="254"/>
      <c r="C20" s="77"/>
      <c r="D20" s="54"/>
      <c r="E20" s="53"/>
      <c r="F20" s="73"/>
      <c r="G20" s="53"/>
      <c r="H20" s="53"/>
      <c r="I20" s="133"/>
      <c r="J20" s="55"/>
      <c r="K20" s="56"/>
      <c r="L20" s="133"/>
      <c r="M20" s="64"/>
      <c r="O20" s="2"/>
      <c r="P20" s="2"/>
      <c r="R20" s="3"/>
    </row>
    <row r="21" spans="1:16" ht="15" customHeight="1">
      <c r="A21" s="250" t="s">
        <v>17</v>
      </c>
      <c r="B21" s="251"/>
      <c r="C21" s="74"/>
      <c r="D21" s="139">
        <f aca="true" t="shared" si="0" ref="D21:D30">IF(H$5="ja",-520,-400)</f>
        <v>-400</v>
      </c>
      <c r="E21" s="140">
        <f aca="true" t="shared" si="1" ref="E21:E30">IF(C21="","",C21*D21)</f>
      </c>
      <c r="F21" s="71"/>
      <c r="G21" s="65"/>
      <c r="H21" s="170">
        <v>0.7</v>
      </c>
      <c r="I21" s="156">
        <f aca="true" t="shared" si="2" ref="I21:I29">IF(F21="","",G21*F21*H21)</f>
      </c>
      <c r="J21" s="177">
        <v>7</v>
      </c>
      <c r="K21" s="152">
        <f aca="true" t="shared" si="3" ref="K21:K29">IF(I21="","",I21*J21)</f>
      </c>
      <c r="L21" s="156">
        <f aca="true" t="shared" si="4" ref="L21:L29">IF(C21="","",SUM(E21+IF(K21="",0,K21)))</f>
      </c>
      <c r="M21" s="270">
        <f>IF(OR(F21&gt;C21,F23&gt;C23,F24&gt;C24,F22&gt;C22),"Einarbeitungsfläche (Spalte d) ist größer als Anbaufläche (Spalte a)!","")</f>
      </c>
      <c r="N21" s="108">
        <f>IF(M26="",0,1)</f>
        <v>0</v>
      </c>
      <c r="O21" s="2"/>
      <c r="P21" s="2"/>
    </row>
    <row r="22" spans="1:16" ht="15" customHeight="1">
      <c r="A22" s="250" t="s">
        <v>21</v>
      </c>
      <c r="B22" s="251"/>
      <c r="C22" s="81"/>
      <c r="D22" s="139">
        <f t="shared" si="0"/>
        <v>-400</v>
      </c>
      <c r="E22" s="140">
        <f t="shared" si="1"/>
      </c>
      <c r="F22" s="71"/>
      <c r="G22" s="65"/>
      <c r="H22" s="170">
        <v>0.8</v>
      </c>
      <c r="I22" s="156">
        <f t="shared" si="2"/>
      </c>
      <c r="J22" s="177">
        <v>7</v>
      </c>
      <c r="K22" s="152">
        <f t="shared" si="3"/>
      </c>
      <c r="L22" s="156">
        <f t="shared" si="4"/>
      </c>
      <c r="M22" s="270"/>
      <c r="O22" s="2"/>
      <c r="P22" s="2"/>
    </row>
    <row r="23" spans="1:16" ht="15" customHeight="1">
      <c r="A23" s="250" t="s">
        <v>18</v>
      </c>
      <c r="B23" s="251"/>
      <c r="C23" s="81"/>
      <c r="D23" s="139">
        <f t="shared" si="0"/>
        <v>-400</v>
      </c>
      <c r="E23" s="140">
        <f t="shared" si="1"/>
      </c>
      <c r="F23" s="71"/>
      <c r="G23" s="65"/>
      <c r="H23" s="170">
        <v>1.1</v>
      </c>
      <c r="I23" s="156">
        <f t="shared" si="2"/>
      </c>
      <c r="J23" s="177">
        <v>7</v>
      </c>
      <c r="K23" s="152">
        <f t="shared" si="3"/>
      </c>
      <c r="L23" s="156">
        <f t="shared" si="4"/>
      </c>
      <c r="M23" s="270"/>
      <c r="O23" s="2"/>
      <c r="P23" s="2"/>
    </row>
    <row r="24" spans="1:16" ht="15" customHeight="1">
      <c r="A24" s="250" t="s">
        <v>101</v>
      </c>
      <c r="B24" s="251"/>
      <c r="C24" s="81"/>
      <c r="D24" s="139">
        <f t="shared" si="0"/>
        <v>-400</v>
      </c>
      <c r="E24" s="140">
        <f t="shared" si="1"/>
      </c>
      <c r="F24" s="71"/>
      <c r="G24" s="65"/>
      <c r="H24" s="170">
        <v>0.8</v>
      </c>
      <c r="I24" s="156">
        <f t="shared" si="2"/>
      </c>
      <c r="J24" s="177">
        <v>7</v>
      </c>
      <c r="K24" s="152">
        <f t="shared" si="3"/>
      </c>
      <c r="L24" s="156">
        <f t="shared" si="4"/>
      </c>
      <c r="M24" s="270"/>
      <c r="O24" s="2"/>
      <c r="P24" s="2"/>
    </row>
    <row r="25" spans="1:16" ht="15" customHeight="1">
      <c r="A25" s="104" t="s">
        <v>109</v>
      </c>
      <c r="B25" s="105"/>
      <c r="C25" s="81"/>
      <c r="D25" s="139">
        <f t="shared" si="0"/>
        <v>-400</v>
      </c>
      <c r="E25" s="140">
        <f t="shared" si="1"/>
      </c>
      <c r="F25" s="71"/>
      <c r="G25" s="65"/>
      <c r="H25" s="170">
        <v>0.8</v>
      </c>
      <c r="I25" s="156">
        <f t="shared" si="2"/>
      </c>
      <c r="J25" s="177">
        <v>7</v>
      </c>
      <c r="K25" s="152">
        <f t="shared" si="3"/>
      </c>
      <c r="L25" s="156">
        <f t="shared" si="4"/>
      </c>
      <c r="M25" s="106"/>
      <c r="O25" s="2"/>
      <c r="P25" s="2"/>
    </row>
    <row r="26" spans="1:16" ht="15" customHeight="1">
      <c r="A26" s="250" t="s">
        <v>24</v>
      </c>
      <c r="B26" s="251"/>
      <c r="C26" s="81"/>
      <c r="D26" s="139">
        <f t="shared" si="0"/>
        <v>-400</v>
      </c>
      <c r="E26" s="140">
        <f t="shared" si="1"/>
      </c>
      <c r="F26" s="71"/>
      <c r="G26" s="65"/>
      <c r="H26" s="170">
        <v>0.7</v>
      </c>
      <c r="I26" s="156">
        <f t="shared" si="2"/>
      </c>
      <c r="J26" s="177">
        <v>7</v>
      </c>
      <c r="K26" s="152">
        <f t="shared" si="3"/>
      </c>
      <c r="L26" s="156">
        <f t="shared" si="4"/>
      </c>
      <c r="M26" s="270">
        <f>IF(OR(F26&gt;C26,F28&gt;C28,F29&gt;C29,F27&gt;C27),"Einarbeitungsfläche (Spalte d) ist größer als Anbaufläche (Spalte a)!","")</f>
      </c>
      <c r="O26" s="2"/>
      <c r="P26" s="2"/>
    </row>
    <row r="27" spans="1:16" ht="15" customHeight="1">
      <c r="A27" s="250" t="s">
        <v>26</v>
      </c>
      <c r="B27" s="251"/>
      <c r="C27" s="81"/>
      <c r="D27" s="139">
        <f t="shared" si="0"/>
        <v>-400</v>
      </c>
      <c r="E27" s="140">
        <f t="shared" si="1"/>
      </c>
      <c r="F27" s="71"/>
      <c r="G27" s="65"/>
      <c r="H27" s="170">
        <v>0.9</v>
      </c>
      <c r="I27" s="156">
        <f t="shared" si="2"/>
      </c>
      <c r="J27" s="177">
        <v>7</v>
      </c>
      <c r="K27" s="152">
        <f t="shared" si="3"/>
      </c>
      <c r="L27" s="156">
        <f t="shared" si="4"/>
      </c>
      <c r="M27" s="270"/>
      <c r="O27" s="2"/>
      <c r="P27" s="2"/>
    </row>
    <row r="28" spans="1:16" ht="15" customHeight="1">
      <c r="A28" s="250" t="s">
        <v>27</v>
      </c>
      <c r="B28" s="251"/>
      <c r="C28" s="81"/>
      <c r="D28" s="139">
        <f t="shared" si="0"/>
        <v>-400</v>
      </c>
      <c r="E28" s="140">
        <f t="shared" si="1"/>
      </c>
      <c r="F28" s="71"/>
      <c r="G28" s="65"/>
      <c r="H28" s="170">
        <v>0.9</v>
      </c>
      <c r="I28" s="156">
        <f t="shared" si="2"/>
      </c>
      <c r="J28" s="177">
        <v>7</v>
      </c>
      <c r="K28" s="152">
        <f t="shared" si="3"/>
      </c>
      <c r="L28" s="156">
        <f t="shared" si="4"/>
      </c>
      <c r="M28" s="270"/>
      <c r="N28" s="108">
        <f>IF(M32="",0,1)</f>
        <v>0</v>
      </c>
      <c r="O28" s="2"/>
      <c r="P28" s="2"/>
    </row>
    <row r="29" spans="1:16" ht="15" customHeight="1">
      <c r="A29" s="250" t="s">
        <v>25</v>
      </c>
      <c r="B29" s="251"/>
      <c r="C29" s="82"/>
      <c r="D29" s="139">
        <f t="shared" si="0"/>
        <v>-400</v>
      </c>
      <c r="E29" s="140">
        <f t="shared" si="1"/>
      </c>
      <c r="F29" s="71"/>
      <c r="G29" s="65"/>
      <c r="H29" s="170">
        <v>0.8</v>
      </c>
      <c r="I29" s="156">
        <f t="shared" si="2"/>
      </c>
      <c r="J29" s="177">
        <v>7</v>
      </c>
      <c r="K29" s="152">
        <f t="shared" si="3"/>
      </c>
      <c r="L29" s="156">
        <f t="shared" si="4"/>
      </c>
      <c r="M29" s="270"/>
      <c r="O29" s="2"/>
      <c r="P29" s="2"/>
    </row>
    <row r="30" spans="1:16" ht="15" customHeight="1" thickBot="1">
      <c r="A30" s="248" t="s">
        <v>121</v>
      </c>
      <c r="B30" s="249"/>
      <c r="C30" s="83"/>
      <c r="D30" s="139">
        <f t="shared" si="0"/>
        <v>-400</v>
      </c>
      <c r="E30" s="140">
        <f t="shared" si="1"/>
      </c>
      <c r="F30" s="161" t="s">
        <v>36</v>
      </c>
      <c r="G30" s="162" t="s">
        <v>36</v>
      </c>
      <c r="H30" s="162" t="s">
        <v>36</v>
      </c>
      <c r="I30" s="163" t="s">
        <v>36</v>
      </c>
      <c r="J30" s="164" t="s">
        <v>36</v>
      </c>
      <c r="K30" s="165" t="s">
        <v>36</v>
      </c>
      <c r="L30" s="156">
        <f>IF(C30="","",E30)</f>
      </c>
      <c r="M30" s="64"/>
      <c r="O30" s="2"/>
      <c r="P30" s="2"/>
    </row>
    <row r="31" spans="1:16" ht="15" customHeight="1">
      <c r="A31" s="252" t="s">
        <v>102</v>
      </c>
      <c r="B31" s="254"/>
      <c r="C31" s="53"/>
      <c r="D31" s="53"/>
      <c r="E31" s="73"/>
      <c r="F31" s="96"/>
      <c r="G31" s="53"/>
      <c r="H31" s="55"/>
      <c r="I31" s="56"/>
      <c r="J31" s="57"/>
      <c r="K31" s="57"/>
      <c r="L31" s="93"/>
      <c r="M31" s="95"/>
      <c r="O31" s="2"/>
      <c r="P31" s="2"/>
    </row>
    <row r="32" spans="1:16" ht="15" customHeight="1">
      <c r="A32" s="250" t="s">
        <v>20</v>
      </c>
      <c r="B32" s="251"/>
      <c r="C32" s="81"/>
      <c r="D32" s="139">
        <f>IF(H$5="ja",-520,-400)</f>
        <v>-400</v>
      </c>
      <c r="E32" s="140">
        <f>IF(C32="","",C32*D32)</f>
      </c>
      <c r="F32" s="71"/>
      <c r="G32" s="65"/>
      <c r="H32" s="170">
        <v>1.5</v>
      </c>
      <c r="I32" s="156">
        <f>IF(F32="","",G32*F32*H32)</f>
      </c>
      <c r="J32" s="177">
        <v>7</v>
      </c>
      <c r="K32" s="152">
        <f>IF(I32="","",I32*J32)</f>
      </c>
      <c r="L32" s="156">
        <f>IF(C32="","",SUM(E32+IF(K32="",0,K32)))</f>
      </c>
      <c r="M32" s="270">
        <f>IF(OR(F32&gt;C32,F34&gt;C34,F35&gt;C35,F33&gt;C33),"Einarbeitungsfläche (Spalte d) ist größer als Anbaufläche (Spalte a)!","")</f>
      </c>
      <c r="O32" s="2"/>
      <c r="P32" s="2"/>
    </row>
    <row r="33" spans="1:16" ht="15" customHeight="1">
      <c r="A33" s="250" t="s">
        <v>22</v>
      </c>
      <c r="B33" s="251"/>
      <c r="C33" s="81"/>
      <c r="D33" s="139">
        <f>IF(H$5="ja",-520,-400)</f>
        <v>-400</v>
      </c>
      <c r="E33" s="140">
        <f>IF(C33="","",C33*D33)</f>
      </c>
      <c r="F33" s="71"/>
      <c r="G33" s="65"/>
      <c r="H33" s="170">
        <v>1.7</v>
      </c>
      <c r="I33" s="156">
        <f>IF(F33="","",G33*F33*H33)</f>
      </c>
      <c r="J33" s="177">
        <v>7</v>
      </c>
      <c r="K33" s="152">
        <f>IF(I33="","",I33*J33)</f>
      </c>
      <c r="L33" s="156">
        <f>IF(C33="","",SUM(E33+IF(K33="",0,K33)))</f>
      </c>
      <c r="M33" s="270"/>
      <c r="O33" s="2"/>
      <c r="P33" s="2"/>
    </row>
    <row r="34" spans="1:18" ht="15" customHeight="1">
      <c r="A34" s="250" t="s">
        <v>23</v>
      </c>
      <c r="B34" s="251"/>
      <c r="C34" s="81"/>
      <c r="D34" s="139">
        <f>IF(H$5="ja",-520,-400)</f>
        <v>-400</v>
      </c>
      <c r="E34" s="140">
        <f>IF(C34="","",C34*D34)</f>
      </c>
      <c r="F34" s="71"/>
      <c r="G34" s="65"/>
      <c r="H34" s="170">
        <v>2</v>
      </c>
      <c r="I34" s="156">
        <f>IF(F34="","",G34*F34*H34)</f>
      </c>
      <c r="J34" s="177">
        <v>7</v>
      </c>
      <c r="K34" s="152">
        <f>IF(I34="","",I34*J34)</f>
      </c>
      <c r="L34" s="156">
        <f>IF(C34="","",SUM(E34+IF(K34="",0,K34)))</f>
      </c>
      <c r="M34" s="270"/>
      <c r="O34" s="2"/>
      <c r="P34" s="2"/>
      <c r="R34" s="3"/>
    </row>
    <row r="35" spans="1:18" ht="15" customHeight="1" thickBot="1">
      <c r="A35" s="250" t="s">
        <v>81</v>
      </c>
      <c r="B35" s="251"/>
      <c r="C35" s="81"/>
      <c r="D35" s="139">
        <f>IF(H$5="ja",-520,-400)</f>
        <v>-400</v>
      </c>
      <c r="E35" s="140">
        <f>IF(C35="","",C35*D35)</f>
      </c>
      <c r="F35" s="71"/>
      <c r="G35" s="65"/>
      <c r="H35" s="170">
        <v>1.7</v>
      </c>
      <c r="I35" s="156">
        <f>IF(F35="","",G35*F35*H35)</f>
      </c>
      <c r="J35" s="177">
        <v>7</v>
      </c>
      <c r="K35" s="152">
        <f>IF(I35="","",I35*J35)</f>
      </c>
      <c r="L35" s="156">
        <f>IF(C35="","",SUM(E35+IF(K35="",0,K35)))</f>
      </c>
      <c r="M35" s="270"/>
      <c r="O35" s="2"/>
      <c r="P35" s="2"/>
      <c r="R35" s="3"/>
    </row>
    <row r="36" spans="1:18" ht="15" customHeight="1">
      <c r="A36" s="252" t="s">
        <v>1</v>
      </c>
      <c r="B36" s="254"/>
      <c r="C36" s="77"/>
      <c r="D36" s="245"/>
      <c r="E36" s="53"/>
      <c r="F36" s="73"/>
      <c r="G36" s="53"/>
      <c r="H36" s="53"/>
      <c r="I36" s="56"/>
      <c r="J36" s="55"/>
      <c r="K36" s="56"/>
      <c r="L36" s="133"/>
      <c r="M36" s="20"/>
      <c r="O36" s="2"/>
      <c r="P36" s="2"/>
      <c r="R36" s="3"/>
    </row>
    <row r="37" spans="1:16" ht="15" customHeight="1" thickBot="1">
      <c r="A37" s="248" t="s">
        <v>48</v>
      </c>
      <c r="B37" s="249"/>
      <c r="C37" s="84"/>
      <c r="D37" s="141">
        <v>160</v>
      </c>
      <c r="E37" s="141">
        <f>IF(C37="","",C37*D37)</f>
      </c>
      <c r="F37" s="160" t="s">
        <v>36</v>
      </c>
      <c r="G37" s="141" t="s">
        <v>36</v>
      </c>
      <c r="H37" s="141" t="s">
        <v>36</v>
      </c>
      <c r="I37" s="141" t="s">
        <v>36</v>
      </c>
      <c r="J37" s="155" t="s">
        <v>36</v>
      </c>
      <c r="K37" s="141" t="s">
        <v>36</v>
      </c>
      <c r="L37" s="156">
        <f>IF(C37="","",E37)</f>
      </c>
      <c r="M37" s="20"/>
      <c r="O37" s="2"/>
      <c r="P37" s="2"/>
    </row>
    <row r="38" spans="1:16" ht="16.5" customHeight="1">
      <c r="A38" s="252" t="s">
        <v>137</v>
      </c>
      <c r="B38" s="253"/>
      <c r="C38" s="253"/>
      <c r="D38" s="253"/>
      <c r="E38" s="253"/>
      <c r="F38" s="254"/>
      <c r="G38" s="53"/>
      <c r="H38" s="53"/>
      <c r="I38" s="133"/>
      <c r="J38" s="55"/>
      <c r="K38" s="56"/>
      <c r="L38" s="133"/>
      <c r="M38" s="20"/>
      <c r="O38" s="2"/>
      <c r="P38" s="2"/>
    </row>
    <row r="39" spans="1:16" ht="22.5" customHeight="1" thickBot="1">
      <c r="A39" s="227" t="s">
        <v>143</v>
      </c>
      <c r="B39" s="228"/>
      <c r="C39" s="229"/>
      <c r="D39" s="229"/>
      <c r="E39" s="229"/>
      <c r="F39" s="229"/>
      <c r="G39" s="229"/>
      <c r="H39" s="229"/>
      <c r="I39" s="229"/>
      <c r="J39" s="229"/>
      <c r="K39" s="229"/>
      <c r="L39" s="229"/>
      <c r="M39" s="20"/>
      <c r="O39" s="2"/>
      <c r="P39" s="2"/>
    </row>
    <row r="40" spans="1:18" ht="15.75" customHeight="1">
      <c r="A40" s="250" t="s">
        <v>2</v>
      </c>
      <c r="B40" s="251"/>
      <c r="C40" s="78"/>
      <c r="D40" s="142">
        <f>IF(B$39="ja",800,600)</f>
        <v>600</v>
      </c>
      <c r="E40" s="140">
        <f>IF(C40="","",C40*D40)</f>
      </c>
      <c r="F40" s="151" t="s">
        <v>36</v>
      </c>
      <c r="G40" s="140" t="s">
        <v>36</v>
      </c>
      <c r="H40" s="140" t="s">
        <v>36</v>
      </c>
      <c r="I40" s="156" t="s">
        <v>36</v>
      </c>
      <c r="J40" s="157" t="s">
        <v>36</v>
      </c>
      <c r="K40" s="140" t="s">
        <v>36</v>
      </c>
      <c r="L40" s="156">
        <f>IF(C40="","",E40)</f>
      </c>
      <c r="M40" s="20"/>
      <c r="O40" s="2"/>
      <c r="P40" s="2"/>
      <c r="R40" s="3"/>
    </row>
    <row r="41" spans="1:18" ht="15" customHeight="1">
      <c r="A41" s="250" t="s">
        <v>100</v>
      </c>
      <c r="B41" s="251"/>
      <c r="C41" s="79"/>
      <c r="D41" s="142">
        <f>IF(B$39="ja",500,400)</f>
        <v>400</v>
      </c>
      <c r="E41" s="140">
        <f>IF(C41="","",C41*D41)</f>
      </c>
      <c r="F41" s="151" t="s">
        <v>36</v>
      </c>
      <c r="G41" s="140" t="s">
        <v>36</v>
      </c>
      <c r="H41" s="140" t="s">
        <v>36</v>
      </c>
      <c r="I41" s="156" t="s">
        <v>36</v>
      </c>
      <c r="J41" s="157" t="s">
        <v>36</v>
      </c>
      <c r="K41" s="140" t="s">
        <v>36</v>
      </c>
      <c r="L41" s="156">
        <f>IF(C41="","",E41)</f>
      </c>
      <c r="M41" s="20"/>
      <c r="O41" s="2"/>
      <c r="P41" s="2"/>
      <c r="R41" s="3"/>
    </row>
    <row r="42" spans="1:16" ht="15" customHeight="1">
      <c r="A42" s="250" t="s">
        <v>122</v>
      </c>
      <c r="B42" s="251"/>
      <c r="C42" s="79"/>
      <c r="D42" s="142">
        <f>IF(B$39="ja",400,300)</f>
        <v>300</v>
      </c>
      <c r="E42" s="140">
        <f>IF(C42="","",C42*D42)</f>
      </c>
      <c r="F42" s="151" t="s">
        <v>36</v>
      </c>
      <c r="G42" s="140" t="s">
        <v>36</v>
      </c>
      <c r="H42" s="140" t="s">
        <v>36</v>
      </c>
      <c r="I42" s="156" t="s">
        <v>36</v>
      </c>
      <c r="J42" s="157" t="s">
        <v>36</v>
      </c>
      <c r="K42" s="140" t="s">
        <v>36</v>
      </c>
      <c r="L42" s="156">
        <f>IF(C42="","",E42)</f>
      </c>
      <c r="M42" s="20"/>
      <c r="O42" s="2"/>
      <c r="P42" s="2"/>
    </row>
    <row r="43" spans="1:18" ht="15" customHeight="1">
      <c r="A43" s="250" t="s">
        <v>123</v>
      </c>
      <c r="B43" s="251"/>
      <c r="C43" s="79"/>
      <c r="D43" s="142">
        <f>IF(B$39="ja",300,200)</f>
        <v>200</v>
      </c>
      <c r="E43" s="140">
        <f>IF(C43="","",C43*D43)</f>
      </c>
      <c r="F43" s="151" t="s">
        <v>36</v>
      </c>
      <c r="G43" s="140" t="s">
        <v>36</v>
      </c>
      <c r="H43" s="140" t="s">
        <v>36</v>
      </c>
      <c r="I43" s="156" t="s">
        <v>36</v>
      </c>
      <c r="J43" s="157" t="s">
        <v>36</v>
      </c>
      <c r="K43" s="140" t="s">
        <v>36</v>
      </c>
      <c r="L43" s="156">
        <f>IF(C43="","",E43)</f>
      </c>
      <c r="M43" s="20"/>
      <c r="O43" s="2"/>
      <c r="P43" s="2"/>
      <c r="R43" s="3"/>
    </row>
    <row r="44" spans="1:18" ht="15" customHeight="1" thickBot="1">
      <c r="A44" s="248" t="s">
        <v>124</v>
      </c>
      <c r="B44" s="249"/>
      <c r="C44" s="85"/>
      <c r="D44" s="174">
        <f>IF(B$39="ja",150,100)</f>
        <v>100</v>
      </c>
      <c r="E44" s="140">
        <f>IF(C44="","",C44*D44)</f>
      </c>
      <c r="F44" s="151" t="s">
        <v>36</v>
      </c>
      <c r="G44" s="140" t="s">
        <v>36</v>
      </c>
      <c r="H44" s="145" t="s">
        <v>36</v>
      </c>
      <c r="I44" s="156" t="s">
        <v>36</v>
      </c>
      <c r="J44" s="158" t="s">
        <v>36</v>
      </c>
      <c r="K44" s="145" t="s">
        <v>36</v>
      </c>
      <c r="L44" s="156">
        <f>IF(C44="","",E44)</f>
      </c>
      <c r="M44" s="20"/>
      <c r="O44" s="2"/>
      <c r="P44" s="2"/>
      <c r="R44" s="3"/>
    </row>
    <row r="45" spans="1:18" ht="15" customHeight="1">
      <c r="A45" s="252" t="s">
        <v>135</v>
      </c>
      <c r="B45" s="254"/>
      <c r="C45" s="77"/>
      <c r="D45" s="54"/>
      <c r="E45" s="53"/>
      <c r="F45" s="73"/>
      <c r="G45" s="53"/>
      <c r="H45" s="53"/>
      <c r="I45" s="133"/>
      <c r="J45" s="55"/>
      <c r="K45" s="56"/>
      <c r="L45" s="133"/>
      <c r="M45" s="20"/>
      <c r="O45" s="2"/>
      <c r="P45" s="2"/>
      <c r="R45" s="3"/>
    </row>
    <row r="46" spans="1:16" ht="37.5" customHeight="1">
      <c r="A46" s="250" t="s">
        <v>78</v>
      </c>
      <c r="B46" s="251"/>
      <c r="C46" s="78"/>
      <c r="D46" s="139">
        <f>IF(H$5="ja",-1240,-1000)</f>
        <v>-1000</v>
      </c>
      <c r="E46" s="140">
        <f>IF(C46="","",C46*D46)</f>
      </c>
      <c r="F46" s="151" t="s">
        <v>36</v>
      </c>
      <c r="G46" s="140" t="s">
        <v>36</v>
      </c>
      <c r="H46" s="140" t="s">
        <v>36</v>
      </c>
      <c r="I46" s="156" t="s">
        <v>36</v>
      </c>
      <c r="J46" s="157" t="s">
        <v>36</v>
      </c>
      <c r="K46" s="140" t="s">
        <v>36</v>
      </c>
      <c r="L46" s="156">
        <f>IF(C46="","",E46)</f>
      </c>
      <c r="M46" s="20"/>
      <c r="O46" s="2"/>
      <c r="P46" s="2"/>
    </row>
    <row r="47" spans="1:18" ht="48" customHeight="1">
      <c r="A47" s="250" t="s">
        <v>79</v>
      </c>
      <c r="B47" s="251"/>
      <c r="C47" s="79"/>
      <c r="D47" s="139">
        <f>IF(H$5="ja",-1040,-800)</f>
        <v>-800</v>
      </c>
      <c r="E47" s="140">
        <f>IF(C47="","",C47*D47)</f>
      </c>
      <c r="F47" s="151" t="s">
        <v>36</v>
      </c>
      <c r="G47" s="140" t="s">
        <v>36</v>
      </c>
      <c r="H47" s="140" t="s">
        <v>36</v>
      </c>
      <c r="I47" s="156" t="s">
        <v>36</v>
      </c>
      <c r="J47" s="157" t="s">
        <v>36</v>
      </c>
      <c r="K47" s="140" t="s">
        <v>36</v>
      </c>
      <c r="L47" s="156">
        <f>IF(C47="","",E47)</f>
      </c>
      <c r="M47" s="20"/>
      <c r="O47" s="2"/>
      <c r="P47" s="2"/>
      <c r="R47" s="3"/>
    </row>
    <row r="48" spans="1:16" ht="23.25" customHeight="1" thickBot="1">
      <c r="A48" s="248" t="s">
        <v>120</v>
      </c>
      <c r="B48" s="249"/>
      <c r="C48" s="79"/>
      <c r="D48" s="139">
        <f>IF(H$5="ja",-520,-400)</f>
        <v>-400</v>
      </c>
      <c r="E48" s="140">
        <f>IF(C48="","",C48*D48)</f>
      </c>
      <c r="F48" s="151" t="s">
        <v>36</v>
      </c>
      <c r="G48" s="140" t="s">
        <v>36</v>
      </c>
      <c r="H48" s="140" t="s">
        <v>36</v>
      </c>
      <c r="I48" s="156" t="s">
        <v>36</v>
      </c>
      <c r="J48" s="157" t="s">
        <v>36</v>
      </c>
      <c r="K48" s="141" t="s">
        <v>36</v>
      </c>
      <c r="L48" s="156">
        <f>IF(C48="","",E48)</f>
      </c>
      <c r="M48" s="20"/>
      <c r="O48" s="2"/>
      <c r="P48" s="2"/>
    </row>
    <row r="49" spans="1:18" ht="16.5" customHeight="1" thickBot="1">
      <c r="A49" s="252" t="s">
        <v>119</v>
      </c>
      <c r="B49" s="271"/>
      <c r="C49" s="77"/>
      <c r="D49" s="54"/>
      <c r="E49" s="53"/>
      <c r="F49" s="73"/>
      <c r="G49" s="265" t="s">
        <v>116</v>
      </c>
      <c r="H49" s="266"/>
      <c r="I49" s="266"/>
      <c r="J49" s="267"/>
      <c r="K49" s="56"/>
      <c r="L49" s="134"/>
      <c r="M49" s="20"/>
      <c r="O49" s="2"/>
      <c r="P49" s="2"/>
      <c r="R49" s="3"/>
    </row>
    <row r="50" spans="1:18" ht="16.5" customHeight="1" thickBot="1">
      <c r="A50" s="230" t="s">
        <v>144</v>
      </c>
      <c r="B50" s="231"/>
      <c r="C50" s="232"/>
      <c r="D50" s="232"/>
      <c r="E50" s="232"/>
      <c r="F50" s="232"/>
      <c r="G50" s="232"/>
      <c r="H50" s="232"/>
      <c r="I50" s="232"/>
      <c r="J50" s="232"/>
      <c r="K50" s="232"/>
      <c r="L50" s="232"/>
      <c r="M50" s="20"/>
      <c r="O50" s="2"/>
      <c r="P50" s="2"/>
      <c r="R50" s="3"/>
    </row>
    <row r="51" spans="1:18" ht="27" customHeight="1">
      <c r="A51" s="255" t="s">
        <v>110</v>
      </c>
      <c r="B51" s="256"/>
      <c r="C51" s="86"/>
      <c r="D51" s="142">
        <f>(IF(B$50="ja",250,170))</f>
        <v>170</v>
      </c>
      <c r="E51" s="144">
        <f aca="true" t="shared" si="5" ref="E51:E57">IF(C51="","",PRODUCT(D51,C51))</f>
      </c>
      <c r="F51" s="71"/>
      <c r="G51" s="142">
        <f>IF(F51="","",IF(B$50="ja",190,130))</f>
      </c>
      <c r="H51" s="140">
        <v>1</v>
      </c>
      <c r="I51" s="156">
        <f aca="true" t="shared" si="6" ref="I51:I57">IF(F51="","",G51*F51*H51)</f>
      </c>
      <c r="J51" s="159">
        <v>0.8</v>
      </c>
      <c r="K51" s="152">
        <f aca="true" t="shared" si="7" ref="K51:K57">IF(I51="","",I51*J51)</f>
      </c>
      <c r="L51" s="156">
        <f aca="true" t="shared" si="8" ref="L51:L57">IF(C51="","",SUM(E51,IF(K51="-",0,K51)))</f>
      </c>
      <c r="M51" s="270">
        <f>IF(OR(F51&gt;C51,F52&gt;C52,F54&gt;C54,F56&gt;C56,F57&gt;C57,F55&gt;C55),"Einarbeitungsfläche (Spalte d) ist größer als Anbaufläche (Spalte a)!","")</f>
      </c>
      <c r="N51" s="108">
        <f>IF(M51="",0,1)</f>
        <v>0</v>
      </c>
      <c r="O51" s="2"/>
      <c r="P51" s="2"/>
      <c r="R51" s="3"/>
    </row>
    <row r="52" spans="1:16" ht="27" customHeight="1">
      <c r="A52" s="250" t="s">
        <v>111</v>
      </c>
      <c r="B52" s="251"/>
      <c r="C52" s="86"/>
      <c r="D52" s="140">
        <f>(IF(B$50="ja",250,170))</f>
        <v>170</v>
      </c>
      <c r="E52" s="144">
        <f t="shared" si="5"/>
      </c>
      <c r="F52" s="71"/>
      <c r="G52" s="140">
        <f>IF(F52="","",IF(B$50="ja",250,175))</f>
      </c>
      <c r="H52" s="140">
        <v>1</v>
      </c>
      <c r="I52" s="156">
        <f t="shared" si="6"/>
      </c>
      <c r="J52" s="159">
        <v>0.8</v>
      </c>
      <c r="K52" s="152">
        <f t="shared" si="7"/>
      </c>
      <c r="L52" s="156">
        <f t="shared" si="8"/>
      </c>
      <c r="M52" s="270"/>
      <c r="O52" s="2"/>
      <c r="P52" s="2"/>
    </row>
    <row r="53" spans="1:16" ht="27" customHeight="1">
      <c r="A53" s="250" t="s">
        <v>145</v>
      </c>
      <c r="B53" s="251"/>
      <c r="C53" s="86"/>
      <c r="D53" s="140">
        <v>-120</v>
      </c>
      <c r="E53" s="144">
        <f t="shared" si="5"/>
      </c>
      <c r="F53" s="71"/>
      <c r="G53" s="140">
        <f>IF(F53="","",IF(B$50="ja",400,280))</f>
      </c>
      <c r="H53" s="140">
        <v>1</v>
      </c>
      <c r="I53" s="156">
        <f t="shared" si="6"/>
      </c>
      <c r="J53" s="159">
        <v>0.8</v>
      </c>
      <c r="K53" s="152">
        <f t="shared" si="7"/>
      </c>
      <c r="L53" s="156">
        <f t="shared" si="8"/>
      </c>
      <c r="M53" s="270"/>
      <c r="O53" s="2"/>
      <c r="P53" s="2"/>
    </row>
    <row r="54" spans="1:18" ht="27" customHeight="1">
      <c r="A54" s="255" t="s">
        <v>112</v>
      </c>
      <c r="B54" s="256"/>
      <c r="C54" s="86"/>
      <c r="D54" s="140">
        <f>IF(B$50="ja",100,70)</f>
        <v>70</v>
      </c>
      <c r="E54" s="144">
        <f t="shared" si="5"/>
      </c>
      <c r="F54" s="71"/>
      <c r="G54" s="140">
        <f>IF(F54="","",IF(B$50="ja",190,130))</f>
      </c>
      <c r="H54" s="140">
        <v>1</v>
      </c>
      <c r="I54" s="156">
        <f t="shared" si="6"/>
      </c>
      <c r="J54" s="159">
        <v>0.8</v>
      </c>
      <c r="K54" s="152">
        <f t="shared" si="7"/>
      </c>
      <c r="L54" s="156">
        <f t="shared" si="8"/>
      </c>
      <c r="M54" s="270"/>
      <c r="O54" s="2"/>
      <c r="P54" s="2"/>
      <c r="R54" s="3"/>
    </row>
    <row r="55" spans="1:16" ht="36" customHeight="1">
      <c r="A55" s="250" t="s">
        <v>113</v>
      </c>
      <c r="B55" s="251"/>
      <c r="C55" s="86"/>
      <c r="D55" s="140">
        <f>IF(B$50="ja",100,70)</f>
        <v>70</v>
      </c>
      <c r="E55" s="144">
        <f t="shared" si="5"/>
      </c>
      <c r="F55" s="71"/>
      <c r="G55" s="140">
        <f>IF(F55="","",IF(B$50="ja",250,175))</f>
      </c>
      <c r="H55" s="140">
        <v>1</v>
      </c>
      <c r="I55" s="156">
        <f t="shared" si="6"/>
      </c>
      <c r="J55" s="159">
        <v>0.8</v>
      </c>
      <c r="K55" s="152">
        <f t="shared" si="7"/>
      </c>
      <c r="L55" s="156">
        <f t="shared" si="8"/>
      </c>
      <c r="M55" s="270"/>
      <c r="O55" s="2"/>
      <c r="P55" s="2"/>
    </row>
    <row r="56" spans="1:16" ht="27" customHeight="1">
      <c r="A56" s="250" t="s">
        <v>114</v>
      </c>
      <c r="B56" s="251"/>
      <c r="C56" s="86"/>
      <c r="D56" s="140">
        <f>IF(B$50="ja",100,70)</f>
        <v>70</v>
      </c>
      <c r="E56" s="144">
        <f t="shared" si="5"/>
      </c>
      <c r="F56" s="71"/>
      <c r="G56" s="140">
        <f>IF(F56="","",IF(B$50="ja",250,175))</f>
      </c>
      <c r="H56" s="140">
        <v>1</v>
      </c>
      <c r="I56" s="156">
        <f t="shared" si="6"/>
      </c>
      <c r="J56" s="159">
        <v>0.8</v>
      </c>
      <c r="K56" s="152">
        <f t="shared" si="7"/>
      </c>
      <c r="L56" s="156">
        <f t="shared" si="8"/>
      </c>
      <c r="M56" s="270"/>
      <c r="O56" s="2"/>
      <c r="P56" s="2"/>
    </row>
    <row r="57" spans="1:16" ht="27" customHeight="1" thickBot="1">
      <c r="A57" s="248" t="s">
        <v>115</v>
      </c>
      <c r="B57" s="249"/>
      <c r="C57" s="86"/>
      <c r="D57" s="140">
        <f>IF(B$50="ja",140,100)</f>
        <v>100</v>
      </c>
      <c r="E57" s="144">
        <f t="shared" si="5"/>
      </c>
      <c r="F57" s="71"/>
      <c r="G57" s="140">
        <f>IF(F57="","",IF(B$50="ja",250,175))</f>
      </c>
      <c r="H57" s="140">
        <v>1</v>
      </c>
      <c r="I57" s="156">
        <f t="shared" si="6"/>
      </c>
      <c r="J57" s="159">
        <v>0.8</v>
      </c>
      <c r="K57" s="152">
        <f t="shared" si="7"/>
      </c>
      <c r="L57" s="156">
        <f t="shared" si="8"/>
      </c>
      <c r="M57" s="270"/>
      <c r="O57" s="2"/>
      <c r="P57" s="2"/>
    </row>
    <row r="58" spans="1:16" ht="20.25" customHeight="1">
      <c r="A58" s="252" t="s">
        <v>83</v>
      </c>
      <c r="B58" s="254"/>
      <c r="C58" s="77"/>
      <c r="D58" s="54"/>
      <c r="E58" s="53"/>
      <c r="F58" s="73"/>
      <c r="G58" s="53"/>
      <c r="H58" s="53"/>
      <c r="I58" s="133"/>
      <c r="J58" s="55"/>
      <c r="K58" s="56"/>
      <c r="L58" s="56"/>
      <c r="M58" s="103"/>
      <c r="O58" s="2"/>
      <c r="P58" s="2"/>
    </row>
    <row r="59" spans="1:18" ht="24" customHeight="1">
      <c r="A59" s="250" t="s">
        <v>104</v>
      </c>
      <c r="B59" s="251"/>
      <c r="C59" s="78"/>
      <c r="D59" s="142">
        <v>180</v>
      </c>
      <c r="E59" s="140">
        <f>IF(C59="","",C59*D59)</f>
      </c>
      <c r="F59" s="151" t="s">
        <v>36</v>
      </c>
      <c r="G59" s="140" t="s">
        <v>36</v>
      </c>
      <c r="H59" s="140" t="s">
        <v>36</v>
      </c>
      <c r="I59" s="140" t="s">
        <v>36</v>
      </c>
      <c r="J59" s="140" t="s">
        <v>36</v>
      </c>
      <c r="K59" s="140" t="s">
        <v>36</v>
      </c>
      <c r="L59" s="152">
        <f>IF(C59="","",E59)</f>
      </c>
      <c r="M59" s="286">
        <f>IF(C63-E5=C5,"","Fehler: genutze Fläche (ohne Doppelnutzung) entspricht nicht der angegebenen Ackerfläche!")</f>
      </c>
      <c r="O59" s="2"/>
      <c r="P59" s="2"/>
      <c r="R59" s="3"/>
    </row>
    <row r="60" spans="1:16" ht="24" customHeight="1">
      <c r="A60" s="250" t="s">
        <v>3</v>
      </c>
      <c r="B60" s="251"/>
      <c r="C60" s="79"/>
      <c r="D60" s="142">
        <v>80</v>
      </c>
      <c r="E60" s="140">
        <f>IF(C60="","",C60*D60)</f>
      </c>
      <c r="F60" s="151" t="s">
        <v>36</v>
      </c>
      <c r="G60" s="140" t="s">
        <v>36</v>
      </c>
      <c r="H60" s="140" t="s">
        <v>36</v>
      </c>
      <c r="I60" s="140" t="s">
        <v>36</v>
      </c>
      <c r="J60" s="140" t="s">
        <v>36</v>
      </c>
      <c r="K60" s="140" t="s">
        <v>36</v>
      </c>
      <c r="L60" s="152">
        <f>IF(C60="","",E60)</f>
      </c>
      <c r="M60" s="286"/>
      <c r="O60" s="2"/>
      <c r="P60" s="2"/>
    </row>
    <row r="61" spans="1:16" ht="24" customHeight="1">
      <c r="A61" s="250" t="s">
        <v>76</v>
      </c>
      <c r="B61" s="251"/>
      <c r="C61" s="79"/>
      <c r="D61" s="142">
        <v>700</v>
      </c>
      <c r="E61" s="140">
        <f>IF(C61="","",C61*D61)</f>
      </c>
      <c r="F61" s="151" t="s">
        <v>36</v>
      </c>
      <c r="G61" s="140" t="s">
        <v>36</v>
      </c>
      <c r="H61" s="140" t="s">
        <v>36</v>
      </c>
      <c r="I61" s="140" t="s">
        <v>36</v>
      </c>
      <c r="J61" s="140" t="s">
        <v>36</v>
      </c>
      <c r="K61" s="140" t="s">
        <v>36</v>
      </c>
      <c r="L61" s="152">
        <f>IF(C61="","",E61)</f>
      </c>
      <c r="M61" s="286"/>
      <c r="O61" s="2"/>
      <c r="P61" s="2"/>
    </row>
    <row r="62" spans="1:16" ht="24" customHeight="1" thickBot="1">
      <c r="A62" s="248" t="s">
        <v>77</v>
      </c>
      <c r="B62" s="249"/>
      <c r="C62" s="85"/>
      <c r="D62" s="143">
        <v>400</v>
      </c>
      <c r="E62" s="145">
        <f>IF(C62="","",C62*D62)</f>
      </c>
      <c r="F62" s="153" t="s">
        <v>36</v>
      </c>
      <c r="G62" s="145" t="s">
        <v>36</v>
      </c>
      <c r="H62" s="145" t="s">
        <v>36</v>
      </c>
      <c r="I62" s="145" t="s">
        <v>36</v>
      </c>
      <c r="J62" s="145" t="s">
        <v>36</v>
      </c>
      <c r="K62" s="145" t="s">
        <v>36</v>
      </c>
      <c r="L62" s="154">
        <f>IF(C62="","",E62)</f>
      </c>
      <c r="M62" s="286"/>
      <c r="O62" s="2"/>
      <c r="P62" s="2"/>
    </row>
    <row r="63" spans="1:16" ht="24" customHeight="1" thickBot="1">
      <c r="A63" s="268" t="s">
        <v>32</v>
      </c>
      <c r="B63" s="269"/>
      <c r="C63" s="148">
        <f>SUM(C59:C62,C51:C57,C46:C48,C40:C44,C37,C21:C35,C17:C19,C13:C15,-F5)</f>
        <v>0</v>
      </c>
      <c r="D63" s="146"/>
      <c r="E63" s="147">
        <f>SUM(E13:E62)</f>
        <v>0</v>
      </c>
      <c r="F63" s="149"/>
      <c r="G63" s="146"/>
      <c r="H63" s="146"/>
      <c r="I63" s="146"/>
      <c r="J63" s="146"/>
      <c r="K63" s="147">
        <f>SUM(K13:K62)</f>
        <v>0</v>
      </c>
      <c r="L63" s="150">
        <f>SUM(L13:L62)</f>
        <v>0</v>
      </c>
      <c r="M63" s="102"/>
      <c r="N63" s="108">
        <f>IF(OR(E5="",C5="",C63=0),0,IF(M59="",0,1))</f>
        <v>0</v>
      </c>
      <c r="P63" s="2"/>
    </row>
    <row r="64" spans="1:16" ht="9.75" customHeight="1" thickBot="1">
      <c r="A64" s="309"/>
      <c r="B64" s="310"/>
      <c r="C64" s="310"/>
      <c r="D64" s="310"/>
      <c r="E64" s="310"/>
      <c r="F64" s="310"/>
      <c r="G64" s="310"/>
      <c r="H64" s="310"/>
      <c r="I64" s="310"/>
      <c r="J64" s="310"/>
      <c r="K64" s="310"/>
      <c r="L64" s="310"/>
      <c r="M64" s="311"/>
      <c r="P64" s="2"/>
    </row>
    <row r="65" spans="1:18" ht="27.75" customHeight="1" thickBot="1">
      <c r="A65" s="262" t="s">
        <v>138</v>
      </c>
      <c r="B65" s="263"/>
      <c r="C65" s="263"/>
      <c r="D65" s="263"/>
      <c r="E65" s="263"/>
      <c r="F65" s="263"/>
      <c r="G65" s="263"/>
      <c r="H65" s="263"/>
      <c r="I65" s="263"/>
      <c r="J65" s="263"/>
      <c r="K65" s="263"/>
      <c r="L65" s="263"/>
      <c r="M65" s="264"/>
      <c r="O65" s="4"/>
      <c r="P65" s="4"/>
      <c r="Q65" s="5"/>
      <c r="R65" s="6"/>
    </row>
    <row r="66" spans="1:15" ht="35.25" customHeight="1" thickBot="1">
      <c r="A66" s="297" t="s">
        <v>134</v>
      </c>
      <c r="B66" s="298"/>
      <c r="C66" s="298"/>
      <c r="D66" s="298"/>
      <c r="E66" s="298"/>
      <c r="F66" s="298"/>
      <c r="G66" s="298"/>
      <c r="H66" s="298"/>
      <c r="I66" s="298"/>
      <c r="J66" s="298"/>
      <c r="K66" s="298"/>
      <c r="L66" s="298"/>
      <c r="M66" s="299"/>
      <c r="O66" s="89"/>
    </row>
    <row r="67" spans="1:16" ht="19.5" customHeight="1">
      <c r="A67" s="7"/>
      <c r="B67" s="7"/>
      <c r="O67" s="1"/>
      <c r="P67" s="2"/>
    </row>
    <row r="68" spans="15:16" ht="15" customHeight="1">
      <c r="O68" s="1"/>
      <c r="P68" s="2"/>
    </row>
    <row r="69" ht="12" customHeight="1"/>
    <row r="71" spans="4:14" ht="11.25">
      <c r="D71" s="1"/>
      <c r="E71" s="1"/>
      <c r="F71" s="1"/>
      <c r="G71" s="2"/>
      <c r="H71" s="2"/>
      <c r="N71" s="87"/>
    </row>
    <row r="72" spans="4:8" ht="11.25">
      <c r="D72" s="1"/>
      <c r="E72" s="1"/>
      <c r="F72" s="1"/>
      <c r="G72" s="2"/>
      <c r="H72" s="2"/>
    </row>
    <row r="73" spans="1:14" s="3" customFormat="1" ht="11.25">
      <c r="A73" s="8"/>
      <c r="B73" s="8"/>
      <c r="D73" s="1"/>
      <c r="E73" s="1"/>
      <c r="F73" s="1"/>
      <c r="G73" s="2"/>
      <c r="H73" s="2"/>
      <c r="I73" s="2"/>
      <c r="J73" s="2"/>
      <c r="K73" s="2"/>
      <c r="L73" s="2"/>
      <c r="M73" s="2"/>
      <c r="N73" s="108"/>
    </row>
    <row r="74" spans="1:14" s="3" customFormat="1" ht="11.25" customHeight="1">
      <c r="A74" s="8"/>
      <c r="B74" s="8"/>
      <c r="N74" s="108"/>
    </row>
    <row r="75" ht="11.25">
      <c r="P75" s="2"/>
    </row>
  </sheetData>
  <sheetProtection password="DB7B" sheet="1" selectLockedCells="1"/>
  <mergeCells count="85">
    <mergeCell ref="A64:M64"/>
    <mergeCell ref="G8:G9"/>
    <mergeCell ref="A12:B12"/>
    <mergeCell ref="M17:M19"/>
    <mergeCell ref="M21:M24"/>
    <mergeCell ref="A17:B17"/>
    <mergeCell ref="A26:B26"/>
    <mergeCell ref="A24:B24"/>
    <mergeCell ref="C8:C9"/>
    <mergeCell ref="A11:B11"/>
    <mergeCell ref="A5:B5"/>
    <mergeCell ref="A7:B7"/>
    <mergeCell ref="C4:D4"/>
    <mergeCell ref="C5:D5"/>
    <mergeCell ref="A66:M66"/>
    <mergeCell ref="J8:K9"/>
    <mergeCell ref="D8:E9"/>
    <mergeCell ref="H8:H10"/>
    <mergeCell ref="I8:I9"/>
    <mergeCell ref="L8:L9"/>
    <mergeCell ref="A30:B30"/>
    <mergeCell ref="A32:B32"/>
    <mergeCell ref="A33:B33"/>
    <mergeCell ref="A34:B34"/>
    <mergeCell ref="M26:M29"/>
    <mergeCell ref="A22:B22"/>
    <mergeCell ref="A23:B23"/>
    <mergeCell ref="A27:B27"/>
    <mergeCell ref="A28:B28"/>
    <mergeCell ref="A19:B19"/>
    <mergeCell ref="A20:B20"/>
    <mergeCell ref="A13:B13"/>
    <mergeCell ref="A21:B21"/>
    <mergeCell ref="M12:M15"/>
    <mergeCell ref="A14:B14"/>
    <mergeCell ref="M59:M62"/>
    <mergeCell ref="A58:B58"/>
    <mergeCell ref="A59:B59"/>
    <mergeCell ref="A60:B60"/>
    <mergeCell ref="A61:B61"/>
    <mergeCell ref="M4:M7"/>
    <mergeCell ref="F8:F9"/>
    <mergeCell ref="A4:B4"/>
    <mergeCell ref="A29:B29"/>
    <mergeCell ref="A15:B15"/>
    <mergeCell ref="A45:B45"/>
    <mergeCell ref="A47:B47"/>
    <mergeCell ref="M1:M3"/>
    <mergeCell ref="A2:L3"/>
    <mergeCell ref="A1:L1"/>
    <mergeCell ref="A8:B10"/>
    <mergeCell ref="A16:B16"/>
    <mergeCell ref="M32:M35"/>
    <mergeCell ref="A36:B36"/>
    <mergeCell ref="A18:B18"/>
    <mergeCell ref="A65:M65"/>
    <mergeCell ref="A31:B31"/>
    <mergeCell ref="G49:J49"/>
    <mergeCell ref="A62:B62"/>
    <mergeCell ref="A63:B63"/>
    <mergeCell ref="A57:B57"/>
    <mergeCell ref="M51:M57"/>
    <mergeCell ref="A49:B49"/>
    <mergeCell ref="A46:B46"/>
    <mergeCell ref="A35:B35"/>
    <mergeCell ref="K4:L4"/>
    <mergeCell ref="K5:L5"/>
    <mergeCell ref="E4:G4"/>
    <mergeCell ref="E5:G5"/>
    <mergeCell ref="H4:J4"/>
    <mergeCell ref="A56:B56"/>
    <mergeCell ref="A54:B54"/>
    <mergeCell ref="A41:B41"/>
    <mergeCell ref="A42:B42"/>
    <mergeCell ref="A43:B43"/>
    <mergeCell ref="H5:J5"/>
    <mergeCell ref="A37:B37"/>
    <mergeCell ref="A40:B40"/>
    <mergeCell ref="A38:F38"/>
    <mergeCell ref="A55:B55"/>
    <mergeCell ref="A53:B53"/>
    <mergeCell ref="A52:B52"/>
    <mergeCell ref="A51:B51"/>
    <mergeCell ref="A48:B48"/>
    <mergeCell ref="A44:B44"/>
  </mergeCells>
  <conditionalFormatting sqref="G34 G13 G21 G32">
    <cfRule type="cellIs" priority="72" dxfId="6" operator="greaterThan" stopIfTrue="1">
      <formula>1500</formula>
    </cfRule>
  </conditionalFormatting>
  <conditionalFormatting sqref="G13">
    <cfRule type="cellIs" priority="71" dxfId="6" operator="greaterThan" stopIfTrue="1">
      <formula>1200</formula>
    </cfRule>
  </conditionalFormatting>
  <conditionalFormatting sqref="G14">
    <cfRule type="cellIs" priority="69" dxfId="6" operator="greaterThan" stopIfTrue="1">
      <formula>1100</formula>
    </cfRule>
  </conditionalFormatting>
  <conditionalFormatting sqref="G17">
    <cfRule type="cellIs" priority="68" dxfId="6" operator="greaterThan" stopIfTrue="1">
      <formula>1000</formula>
    </cfRule>
  </conditionalFormatting>
  <conditionalFormatting sqref="G21:G25 G27">
    <cfRule type="cellIs" priority="67" dxfId="6" operator="greaterThan" stopIfTrue="1">
      <formula>100</formula>
    </cfRule>
  </conditionalFormatting>
  <conditionalFormatting sqref="G35 G33">
    <cfRule type="cellIs" priority="63" dxfId="6" operator="greaterThan" stopIfTrue="1">
      <formula>60</formula>
    </cfRule>
  </conditionalFormatting>
  <conditionalFormatting sqref="G34 G32">
    <cfRule type="cellIs" priority="61" dxfId="6" operator="greaterThan" stopIfTrue="1">
      <formula>150</formula>
    </cfRule>
    <cfRule type="cellIs" priority="62" dxfId="6" operator="greaterThan" stopIfTrue="1">
      <formula>100</formula>
    </cfRule>
  </conditionalFormatting>
  <conditionalFormatting sqref="G28:G29 G26">
    <cfRule type="cellIs" priority="60" dxfId="6" operator="greaterThan" stopIfTrue="1">
      <formula>120</formula>
    </cfRule>
  </conditionalFormatting>
  <conditionalFormatting sqref="I6">
    <cfRule type="containsText" priority="48" dxfId="6" operator="containsText" stopIfTrue="1" text="leer">
      <formula>NOT(ISERROR(SEARCH("leer",I6)))</formula>
    </cfRule>
    <cfRule type="containsText" priority="49" dxfId="6" operator="containsText" stopIfTrue="1" text="&quot;&quot;">
      <formula>NOT(ISERROR(SEARCH("""""",I6)))</formula>
    </cfRule>
  </conditionalFormatting>
  <conditionalFormatting sqref="F17 F13:F14 F54:F57 F21:F29 F34:F35">
    <cfRule type="cellIs" priority="47" dxfId="6" operator="greaterThan" stopIfTrue="1">
      <formula>$C13</formula>
    </cfRule>
  </conditionalFormatting>
  <conditionalFormatting sqref="M58 M12 M26:M27 M21 M17 M32">
    <cfRule type="expression" priority="85" dxfId="0" stopIfTrue="1">
      <formula>LEFT(M12,12)="Einarbeitung"</formula>
    </cfRule>
  </conditionalFormatting>
  <conditionalFormatting sqref="M59">
    <cfRule type="expression" priority="86" dxfId="0" stopIfTrue="1">
      <formula>LEFT(M59,6)="Fehler"</formula>
    </cfRule>
  </conditionalFormatting>
  <conditionalFormatting sqref="F32:F33">
    <cfRule type="cellIs" priority="13" dxfId="6" operator="greaterThan" stopIfTrue="1">
      <formula>$C32</formula>
    </cfRule>
  </conditionalFormatting>
  <conditionalFormatting sqref="C63 C5">
    <cfRule type="expression" priority="9" dxfId="0" stopIfTrue="1">
      <formula>$N$63=1</formula>
    </cfRule>
  </conditionalFormatting>
  <conditionalFormatting sqref="F52:F53">
    <cfRule type="cellIs" priority="8" dxfId="6" operator="greaterThan" stopIfTrue="1">
      <formula>$C52</formula>
    </cfRule>
  </conditionalFormatting>
  <conditionalFormatting sqref="F51">
    <cfRule type="cellIs" priority="7" dxfId="6" operator="greaterThan" stopIfTrue="1">
      <formula>$C51</formula>
    </cfRule>
  </conditionalFormatting>
  <conditionalFormatting sqref="M51:M57">
    <cfRule type="expression" priority="91" dxfId="0" stopIfTrue="1">
      <formula>LEFT(M51,4)="Eina"</formula>
    </cfRule>
  </conditionalFormatting>
  <conditionalFormatting sqref="G21">
    <cfRule type="cellIs" priority="2" dxfId="6" operator="greaterThan" stopIfTrue="1">
      <formula>1200</formula>
    </cfRule>
  </conditionalFormatting>
  <conditionalFormatting sqref="G32">
    <cfRule type="cellIs" priority="1" dxfId="6" operator="greaterThan" stopIfTrue="1">
      <formula>1200</formula>
    </cfRule>
  </conditionalFormatting>
  <printOptions/>
  <pageMargins left="0.7874015748031497" right="0.7874015748031497" top="0.53" bottom="0.984251968503937" header="0.5118110236220472" footer="0.5118110236220472"/>
  <pageSetup fitToHeight="1" fitToWidth="1" horizontalDpi="600" verticalDpi="600" orientation="portrait" paperSize="9" scale="44" r:id="rId3"/>
  <legacyDrawing r:id="rId2"/>
  <oleObjects>
    <oleObject progId="" shapeId="1604737" r:id="rId1"/>
  </oleObjects>
</worksheet>
</file>

<file path=xl/worksheets/sheet3.xml><?xml version="1.0" encoding="utf-8"?>
<worksheet xmlns="http://schemas.openxmlformats.org/spreadsheetml/2006/main" xmlns:r="http://schemas.openxmlformats.org/officeDocument/2006/relationships">
  <dimension ref="A1:N29"/>
  <sheetViews>
    <sheetView zoomScalePageLayoutView="0" workbookViewId="0" topLeftCell="A1">
      <selection activeCell="E6" sqref="E6"/>
    </sheetView>
  </sheetViews>
  <sheetFormatPr defaultColWidth="11.421875" defaultRowHeight="12.75"/>
  <cols>
    <col min="1" max="1" width="16.8515625" style="24" customWidth="1"/>
    <col min="2" max="2" width="28.140625" style="24" customWidth="1"/>
    <col min="3" max="3" width="5.421875" style="24" customWidth="1"/>
    <col min="4" max="4" width="5.421875" style="49" customWidth="1"/>
    <col min="5" max="5" width="7.8515625" style="49" customWidth="1"/>
    <col min="6" max="7" width="14.57421875" style="49" customWidth="1"/>
    <col min="8" max="8" width="15.421875" style="24" customWidth="1"/>
    <col min="9" max="9" width="31.00390625" style="24" customWidth="1"/>
    <col min="10" max="10" width="19.421875" style="24" customWidth="1"/>
    <col min="11" max="13" width="11.421875" style="24" customWidth="1"/>
    <col min="14" max="14" width="19.421875" style="88" customWidth="1"/>
    <col min="15" max="16384" width="11.421875" style="24" customWidth="1"/>
  </cols>
  <sheetData>
    <row r="1" spans="1:14" ht="37.5" customHeight="1" thickBot="1">
      <c r="A1" s="316" t="str">
        <f>CONCATENATE("             ","2. Zufuhr von zusätzlichem organischem Material auf die Ackerflächen im Jahr ",'1. Humuswirkung der Früchte'!J5)</f>
        <v>             2. Zufuhr von zusätzlichem organischem Material auf die Ackerflächen im Jahr </v>
      </c>
      <c r="B1" s="317"/>
      <c r="C1" s="317"/>
      <c r="D1" s="317"/>
      <c r="E1" s="317"/>
      <c r="F1" s="317"/>
      <c r="G1" s="317"/>
      <c r="H1" s="317"/>
      <c r="I1" s="318"/>
      <c r="J1" s="88"/>
      <c r="N1" s="24"/>
    </row>
    <row r="2" spans="1:14" ht="15" customHeight="1" thickBot="1">
      <c r="A2" s="319" t="s">
        <v>173</v>
      </c>
      <c r="B2" s="320"/>
      <c r="C2" s="332" t="s">
        <v>44</v>
      </c>
      <c r="D2" s="333"/>
      <c r="E2" s="334"/>
      <c r="F2" s="327" t="s">
        <v>52</v>
      </c>
      <c r="G2" s="340" t="s">
        <v>46</v>
      </c>
      <c r="H2" s="340" t="s">
        <v>117</v>
      </c>
      <c r="I2" s="327" t="s">
        <v>74</v>
      </c>
      <c r="J2" s="88"/>
      <c r="N2" s="24"/>
    </row>
    <row r="3" spans="1:10" ht="26.25" customHeight="1">
      <c r="A3" s="321"/>
      <c r="B3" s="322"/>
      <c r="C3" s="335" t="s">
        <v>41</v>
      </c>
      <c r="D3" s="336"/>
      <c r="E3" s="343" t="s">
        <v>53</v>
      </c>
      <c r="F3" s="325"/>
      <c r="G3" s="341"/>
      <c r="H3" s="341"/>
      <c r="I3" s="328"/>
      <c r="J3" s="88"/>
    </row>
    <row r="4" spans="1:10" ht="16.5" customHeight="1">
      <c r="A4" s="321"/>
      <c r="B4" s="322"/>
      <c r="C4" s="25" t="s">
        <v>50</v>
      </c>
      <c r="D4" s="26" t="s">
        <v>51</v>
      </c>
      <c r="E4" s="344"/>
      <c r="F4" s="343"/>
      <c r="G4" s="342"/>
      <c r="H4" s="342"/>
      <c r="I4" s="328"/>
      <c r="J4" s="88"/>
    </row>
    <row r="5" spans="1:10" ht="14.25" customHeight="1" thickBot="1">
      <c r="A5" s="323"/>
      <c r="B5" s="324"/>
      <c r="C5" s="27" t="s">
        <v>45</v>
      </c>
      <c r="D5" s="28" t="s">
        <v>45</v>
      </c>
      <c r="E5" s="29" t="s">
        <v>45</v>
      </c>
      <c r="F5" s="69" t="s">
        <v>88</v>
      </c>
      <c r="G5" s="180" t="s">
        <v>75</v>
      </c>
      <c r="H5" s="180" t="s">
        <v>87</v>
      </c>
      <c r="I5" s="329"/>
      <c r="J5" s="88"/>
    </row>
    <row r="6" spans="1:14" ht="18" customHeight="1">
      <c r="A6" s="30" t="s">
        <v>94</v>
      </c>
      <c r="B6" s="31" t="s">
        <v>4</v>
      </c>
      <c r="C6" s="32">
        <v>18</v>
      </c>
      <c r="D6" s="33">
        <v>35</v>
      </c>
      <c r="E6" s="70"/>
      <c r="F6" s="58"/>
      <c r="G6" s="181">
        <f>IF(OR(E6="",F6=""),"",1.2*E6+4)</f>
      </c>
      <c r="H6" s="182">
        <f>IF(OR(E6="",F6=""),"",F6*G6)</f>
      </c>
      <c r="I6" s="325">
        <f>IF(OR(AND(E6&gt;0,OR(E6&lt;C6,E6&gt;D6)),AND(E7&gt;0,OR(E7&lt;C7,E7&gt;D7)),AND(E8&gt;0,OR(E8&lt;C8,E6&gt;D8))),"eingetragener Trockensubstanzgehalt liegt außerhalb des Geltungsbereiches","")</f>
      </c>
      <c r="J6" s="87">
        <f>IF(I6="",0,1)</f>
        <v>0</v>
      </c>
      <c r="N6" s="107">
        <f>IF(SUM(H6:H8)=0,"",CONCATENATE(SUM(F6:F8)," t ",A6))</f>
      </c>
    </row>
    <row r="7" spans="1:10" ht="18" customHeight="1">
      <c r="A7" s="34"/>
      <c r="B7" s="35" t="s">
        <v>43</v>
      </c>
      <c r="C7" s="36">
        <v>20</v>
      </c>
      <c r="D7" s="37">
        <v>40</v>
      </c>
      <c r="E7" s="70"/>
      <c r="F7" s="59"/>
      <c r="G7" s="183">
        <f>IF(OR(E7="",F7=""),"",1.6*E7)</f>
      </c>
      <c r="H7" s="184">
        <f aca="true" t="shared" si="0" ref="H7:H27">IF(OR(E7="",F7=""),"",F7*G7)</f>
      </c>
      <c r="I7" s="325"/>
      <c r="J7" s="88"/>
    </row>
    <row r="8" spans="1:10" ht="18" customHeight="1" thickBot="1">
      <c r="A8" s="46"/>
      <c r="B8" s="47" t="s">
        <v>5</v>
      </c>
      <c r="C8" s="40">
        <v>30</v>
      </c>
      <c r="D8" s="67">
        <v>65</v>
      </c>
      <c r="E8" s="90"/>
      <c r="F8" s="60"/>
      <c r="G8" s="185">
        <f>IF(OR(E8="",F8=""),"",1.7*E8+2.5)</f>
      </c>
      <c r="H8" s="186">
        <f t="shared" si="0"/>
      </c>
      <c r="I8" s="326"/>
      <c r="J8" s="88"/>
    </row>
    <row r="9" spans="1:14" ht="18" customHeight="1">
      <c r="A9" s="30" t="s">
        <v>6</v>
      </c>
      <c r="B9" s="122" t="s">
        <v>125</v>
      </c>
      <c r="C9" s="41">
        <v>1</v>
      </c>
      <c r="D9" s="118">
        <v>10</v>
      </c>
      <c r="E9" s="115"/>
      <c r="F9" s="61"/>
      <c r="G9" s="187">
        <f>IF(OR(E9="",F9=""),"",E9)</f>
      </c>
      <c r="H9" s="188">
        <f t="shared" si="0"/>
      </c>
      <c r="I9" s="327">
        <f>IF(OR(AND(E9&gt;0,OR(E9&lt;C9,E9&gt;D9)),AND(E10&gt;0,OR(E10&lt;C10,E10&gt;D10)),AND(E11&gt;0,OR(E11&lt;C11,E11&gt;D11)),AND(E12&gt;0,OR(E12&lt;0,E12&gt;D12)),AND(E13&gt;0,OR(E13&lt;C13,E13&gt;D13)),AND(E14&gt;0,OR(E14&lt;C14,E14&gt;D14))),"eingetragener Trockensubstanzgehalt liegt außerhalb des Geltungsbereiches","")</f>
      </c>
      <c r="J9" s="97"/>
      <c r="N9" s="107">
        <f>IF(SUM(H9:H14)=0,"",CONCATENATE(SUM(F9:F14)," t ",A9))</f>
      </c>
    </row>
    <row r="10" spans="1:14" ht="18" customHeight="1">
      <c r="A10" s="43"/>
      <c r="B10" s="123" t="s">
        <v>126</v>
      </c>
      <c r="C10" s="36">
        <v>1</v>
      </c>
      <c r="D10" s="119">
        <v>10</v>
      </c>
      <c r="E10" s="116"/>
      <c r="F10" s="110"/>
      <c r="G10" s="189">
        <f>IF(OR(E10="",F10=""),"",E10)</f>
      </c>
      <c r="H10" s="182">
        <f>IF(OR(E10="",F10=""),"",F10*G10)</f>
      </c>
      <c r="I10" s="325"/>
      <c r="J10" s="97"/>
      <c r="N10" s="107"/>
    </row>
    <row r="11" spans="1:10" ht="18" customHeight="1">
      <c r="A11" s="34"/>
      <c r="B11" s="123" t="s">
        <v>127</v>
      </c>
      <c r="C11" s="36">
        <v>1</v>
      </c>
      <c r="D11" s="120">
        <v>12</v>
      </c>
      <c r="E11" s="116"/>
      <c r="F11" s="62"/>
      <c r="G11" s="190">
        <f>IF(OR(E11="",F11=""),"",-0.0455*E11*E11+1.6302*E11+0.0536)</f>
      </c>
      <c r="H11" s="184">
        <f t="shared" si="0"/>
      </c>
      <c r="I11" s="325"/>
      <c r="J11" s="88"/>
    </row>
    <row r="12" spans="1:10" ht="18" customHeight="1">
      <c r="A12" s="34"/>
      <c r="B12" s="123" t="s">
        <v>128</v>
      </c>
      <c r="C12" s="36">
        <v>1</v>
      </c>
      <c r="D12" s="120">
        <v>12</v>
      </c>
      <c r="E12" s="116"/>
      <c r="F12" s="62"/>
      <c r="G12" s="190">
        <f>IF(OR(E12="",F12=""),"",-0.0455*E12*E12+1.6302*E12+0.0536)</f>
      </c>
      <c r="H12" s="184">
        <f>IF(OR(E12="",F12=""),"",F12*G12)</f>
      </c>
      <c r="I12" s="325"/>
      <c r="J12" s="88"/>
    </row>
    <row r="13" spans="1:10" ht="18" customHeight="1">
      <c r="A13" s="34"/>
      <c r="B13" s="123" t="s">
        <v>7</v>
      </c>
      <c r="C13" s="36">
        <v>10</v>
      </c>
      <c r="D13" s="119">
        <v>50</v>
      </c>
      <c r="E13" s="116"/>
      <c r="F13" s="62"/>
      <c r="G13" s="183">
        <f>IF(OR(E13="",F13=""),"",-0.005*E13*E13+1.16*E13-4.175)</f>
      </c>
      <c r="H13" s="184">
        <f t="shared" si="0"/>
      </c>
      <c r="I13" s="325"/>
      <c r="J13" s="88"/>
    </row>
    <row r="14" spans="1:10" ht="18" customHeight="1" thickBot="1">
      <c r="A14" s="38"/>
      <c r="B14" s="124" t="s">
        <v>42</v>
      </c>
      <c r="C14" s="42">
        <v>20</v>
      </c>
      <c r="D14" s="121">
        <v>40</v>
      </c>
      <c r="E14" s="117"/>
      <c r="F14" s="63"/>
      <c r="G14" s="191">
        <f>IF(OR(E14="",F14=""),"",1.6*E14)</f>
      </c>
      <c r="H14" s="192">
        <f t="shared" si="0"/>
      </c>
      <c r="I14" s="326"/>
      <c r="J14" s="88"/>
    </row>
    <row r="15" spans="1:14" ht="18" customHeight="1">
      <c r="A15" s="43" t="s">
        <v>8</v>
      </c>
      <c r="B15" s="44" t="s">
        <v>9</v>
      </c>
      <c r="C15" s="32">
        <v>15</v>
      </c>
      <c r="D15" s="45">
        <v>50</v>
      </c>
      <c r="E15" s="70"/>
      <c r="F15" s="58"/>
      <c r="G15" s="181">
        <f>IF(OR(E15="",F15=""),"",1.6*E15-2)</f>
      </c>
      <c r="H15" s="182">
        <f t="shared" si="0"/>
      </c>
      <c r="I15" s="327">
        <f>IF(OR(AND(E15&gt;0,OR(E15&lt;C15,E15&gt;D15)),AND(E16&gt;0,OR(E16&lt;C16,E16&gt;D16)),AND(E17&gt;0,OR(E17&lt;C17,E15&gt;D17))),"eingetragener Trockensubstanzgehalt liegt außerhalb des Geltungsbereiches","")</f>
      </c>
      <c r="J15" s="87">
        <f>IF(I15="",0,1)</f>
        <v>0</v>
      </c>
      <c r="N15" s="107">
        <f>IF(SUM(H15:H17)=0,"",CONCATENATE(SUM(F15:F17)," t ",A15))</f>
      </c>
    </row>
    <row r="16" spans="1:10" ht="18" customHeight="1">
      <c r="A16" s="34"/>
      <c r="B16" s="35" t="s">
        <v>10</v>
      </c>
      <c r="C16" s="36">
        <v>25</v>
      </c>
      <c r="D16" s="37">
        <v>55</v>
      </c>
      <c r="E16" s="70"/>
      <c r="F16" s="59"/>
      <c r="G16" s="183">
        <f>IF(OR(E16="",F16=""),"",1.3*E16+1)</f>
      </c>
      <c r="H16" s="184">
        <f t="shared" si="0"/>
      </c>
      <c r="I16" s="325"/>
      <c r="J16" s="88"/>
    </row>
    <row r="17" spans="1:10" ht="18" customHeight="1" thickBot="1">
      <c r="A17" s="46"/>
      <c r="B17" s="47" t="s">
        <v>11</v>
      </c>
      <c r="C17" s="40">
        <v>30</v>
      </c>
      <c r="D17" s="48">
        <v>70</v>
      </c>
      <c r="E17" s="90"/>
      <c r="F17" s="60"/>
      <c r="G17" s="185">
        <f>IF(OR(E17="",F17=""),"",1.2*E17-2)</f>
      </c>
      <c r="H17" s="186">
        <f t="shared" si="0"/>
      </c>
      <c r="I17" s="326"/>
      <c r="J17" s="88"/>
    </row>
    <row r="18" spans="1:14" ht="18" customHeight="1">
      <c r="A18" s="30" t="s">
        <v>12</v>
      </c>
      <c r="B18" s="31" t="s">
        <v>108</v>
      </c>
      <c r="C18" s="41">
        <v>1</v>
      </c>
      <c r="D18" s="68">
        <v>55</v>
      </c>
      <c r="E18" s="91"/>
      <c r="F18" s="130"/>
      <c r="G18" s="187">
        <f>IF(OR(E18="",F18=""),"",IF(E18&lt;15.1,0.8*E18,-0.01*E18*E18+1.92*E18-14.35))</f>
      </c>
      <c r="H18" s="193">
        <f>IF(OR(E18="",F18=""),"",F18*G18)</f>
      </c>
      <c r="I18" s="327">
        <f>IF(OR(AND(E18&gt;0,OR(E18&lt;C18,E18&gt;D18)),AND(E19&gt;0,OR(E19&lt;C19,E19&gt;D19))),"eingetragener Trockensubstanzgehalt liegt außerhalb des Geltungsbereiches","")</f>
      </c>
      <c r="J18" s="87">
        <f>IF(I18="",0,1)</f>
        <v>0</v>
      </c>
      <c r="N18" s="107">
        <f>IF(SUM(H18:H19)=0,"",CONCATENATE(SUM(F18:F19)," t ",A18))</f>
      </c>
    </row>
    <row r="19" spans="1:10" ht="18" customHeight="1" thickBot="1">
      <c r="A19" s="46"/>
      <c r="B19" s="47" t="s">
        <v>107</v>
      </c>
      <c r="C19" s="40">
        <v>15</v>
      </c>
      <c r="D19" s="48">
        <v>60</v>
      </c>
      <c r="E19" s="90"/>
      <c r="F19" s="131"/>
      <c r="G19" s="194">
        <f>IF(OR(E19="",F19=""),"",IF(E19&lt;25,0.8*E19,-0.015*E19*E19+2.38*E19-29.825))</f>
      </c>
      <c r="H19" s="195">
        <f t="shared" si="0"/>
      </c>
      <c r="I19" s="325"/>
      <c r="J19" s="88"/>
    </row>
    <row r="20" spans="1:14" ht="18" customHeight="1">
      <c r="A20" s="30" t="s">
        <v>103</v>
      </c>
      <c r="B20" s="31" t="s">
        <v>131</v>
      </c>
      <c r="C20" s="41">
        <v>1</v>
      </c>
      <c r="D20" s="112">
        <v>70</v>
      </c>
      <c r="E20" s="126"/>
      <c r="F20" s="130"/>
      <c r="G20" s="196">
        <f>IF(OR(E20="",F20=""),"",IF(E20&lt;4,E20*1.5333-0.1333,IF(E20&lt;10.1,E20+2,-0.0117*E20*E20+1.9843*E20-6.795)))</f>
      </c>
      <c r="H20" s="188">
        <f t="shared" si="0"/>
      </c>
      <c r="I20" s="327">
        <f>IF(OR(AND(E20&gt;0,OR(E20&lt;C20,E20&gt;D20)),AND(E21&gt;0,OR(E21&lt;C21,E21&gt;D21))),"eingetragener Trockensubstanzgehalt liegt außerhalb des Geltungsbereiches","")</f>
      </c>
      <c r="J20" s="87">
        <f>IF(I20="",0,1)</f>
        <v>0</v>
      </c>
      <c r="N20" s="107">
        <f>IF(SUM(H20:H21)=0,"",CONCATENATE(SUM(F20:F21)," t ",A20))</f>
      </c>
    </row>
    <row r="21" spans="1:14" ht="18" customHeight="1" thickBot="1">
      <c r="A21" s="38"/>
      <c r="B21" s="39" t="s">
        <v>132</v>
      </c>
      <c r="C21" s="42">
        <v>1</v>
      </c>
      <c r="D21" s="114">
        <v>70</v>
      </c>
      <c r="E21" s="127"/>
      <c r="F21" s="132"/>
      <c r="G21" s="197">
        <f>IF(OR(E21="",F21=""),"",IF(E21&lt;4,E21*1.5333-0.1333,IF(E21&lt;10.1,E21+2,-0.0117*E21*E21+1.9843*E21-6.795)))</f>
      </c>
      <c r="H21" s="192">
        <f>IF(OR(E21="",F21=""),"",F21*G21)</f>
      </c>
      <c r="I21" s="326"/>
      <c r="J21" s="87"/>
      <c r="N21" s="107"/>
    </row>
    <row r="22" spans="1:14" ht="18" customHeight="1">
      <c r="A22" s="30" t="s">
        <v>13</v>
      </c>
      <c r="B22" s="50" t="s">
        <v>14</v>
      </c>
      <c r="C22" s="32">
        <v>30</v>
      </c>
      <c r="D22" s="125">
        <v>60</v>
      </c>
      <c r="E22" s="128"/>
      <c r="F22" s="61"/>
      <c r="G22" s="189">
        <f>IF(OR(E22="",F22=""),"",2*E22)</f>
      </c>
      <c r="H22" s="182">
        <f t="shared" si="0"/>
      </c>
      <c r="I22" s="330">
        <f>IF(OR(AND(E22&gt;0,OR(E22&lt;C22,E22&gt;D22)),AND(E23&gt;0,OR(E23&lt;C23,E23&gt;D23)),AND(E24&gt;0,OR(E24&lt;C24,E24&gt;D24)),AND(E25&gt;0,OR(E25&lt;C25,E25&gt;D25)),AND(E27&gt;0,OR(E27&lt;C27,E27&gt;D27))),"eingetragener Trockensubstanzgehalt liegt außerhalb des Geltungsbereiches","")</f>
      </c>
      <c r="J22" s="87">
        <f>IF(I22="",0,1)</f>
        <v>0</v>
      </c>
      <c r="N22" s="107">
        <f>IF(SUM(H22:H27)=0,"",CONCATENATE(SUM(F22:F27)," t ",A22))</f>
      </c>
    </row>
    <row r="23" spans="1:9" ht="18" customHeight="1">
      <c r="A23" s="34"/>
      <c r="B23" s="51" t="s">
        <v>15</v>
      </c>
      <c r="C23" s="36">
        <v>10</v>
      </c>
      <c r="D23" s="111">
        <v>50</v>
      </c>
      <c r="E23" s="129"/>
      <c r="F23" s="62"/>
      <c r="G23" s="198">
        <f>IF(OR(E23="",F23=""),"",E23)</f>
      </c>
      <c r="H23" s="184">
        <f t="shared" si="0"/>
      </c>
      <c r="I23" s="330"/>
    </row>
    <row r="24" spans="1:9" ht="18" customHeight="1">
      <c r="A24" s="46"/>
      <c r="B24" s="51" t="s">
        <v>129</v>
      </c>
      <c r="C24" s="36">
        <v>10</v>
      </c>
      <c r="D24" s="111">
        <v>25</v>
      </c>
      <c r="E24" s="129"/>
      <c r="F24" s="62"/>
      <c r="G24" s="198">
        <f>IF(OR(E24="",F24=""),"",0.8*E24)</f>
      </c>
      <c r="H24" s="184">
        <f t="shared" si="0"/>
      </c>
      <c r="I24" s="330"/>
    </row>
    <row r="25" spans="1:9" ht="18" customHeight="1">
      <c r="A25" s="46"/>
      <c r="B25" s="51" t="s">
        <v>130</v>
      </c>
      <c r="C25" s="36">
        <v>10</v>
      </c>
      <c r="D25" s="111">
        <v>25</v>
      </c>
      <c r="E25" s="129"/>
      <c r="F25" s="62"/>
      <c r="G25" s="198">
        <f>IF(OR(E25="",F25=""),"",0.8*E25)</f>
      </c>
      <c r="H25" s="184">
        <f t="shared" si="0"/>
      </c>
      <c r="I25" s="330"/>
    </row>
    <row r="26" spans="1:9" ht="18" customHeight="1">
      <c r="A26" s="46"/>
      <c r="B26" s="214" t="s">
        <v>136</v>
      </c>
      <c r="C26" s="40">
        <v>80</v>
      </c>
      <c r="D26" s="215">
        <v>90</v>
      </c>
      <c r="E26" s="217"/>
      <c r="F26" s="216"/>
      <c r="G26" s="198">
        <f>IF(F26="","",70)</f>
      </c>
      <c r="H26" s="184">
        <f>IF(F26="","",F26*G26)</f>
      </c>
      <c r="I26" s="330"/>
    </row>
    <row r="27" spans="1:9" ht="18" customHeight="1" thickBot="1">
      <c r="A27" s="38"/>
      <c r="B27" s="52" t="s">
        <v>49</v>
      </c>
      <c r="C27" s="42">
        <v>8</v>
      </c>
      <c r="D27" s="113">
        <v>30</v>
      </c>
      <c r="E27" s="127"/>
      <c r="F27" s="63"/>
      <c r="G27" s="199">
        <f>IF(OR(E27="",F27=""),"",0.8*E27)</f>
      </c>
      <c r="H27" s="192">
        <f t="shared" si="0"/>
      </c>
      <c r="I27" s="331"/>
    </row>
    <row r="28" spans="1:14" ht="18" customHeight="1" thickBot="1">
      <c r="A28" s="337" t="s">
        <v>16</v>
      </c>
      <c r="B28" s="338"/>
      <c r="C28" s="338"/>
      <c r="D28" s="338"/>
      <c r="E28" s="338"/>
      <c r="F28" s="338"/>
      <c r="G28" s="339"/>
      <c r="H28" s="200">
        <f>SUM(H6:H27)</f>
        <v>0</v>
      </c>
      <c r="I28" s="201"/>
      <c r="N28" s="24"/>
    </row>
    <row r="29" spans="4:14" ht="12.75">
      <c r="D29" s="24"/>
      <c r="E29" s="24"/>
      <c r="F29" s="24"/>
      <c r="G29" s="24"/>
      <c r="N29" s="24"/>
    </row>
  </sheetData>
  <sheetProtection password="DB7B" sheet="1" selectLockedCells="1"/>
  <mergeCells count="16">
    <mergeCell ref="I22:I27"/>
    <mergeCell ref="C2:E2"/>
    <mergeCell ref="C3:D3"/>
    <mergeCell ref="A28:G28"/>
    <mergeCell ref="G2:G4"/>
    <mergeCell ref="F2:F4"/>
    <mergeCell ref="H2:H4"/>
    <mergeCell ref="E3:E4"/>
    <mergeCell ref="I18:I19"/>
    <mergeCell ref="I20:I21"/>
    <mergeCell ref="A1:I1"/>
    <mergeCell ref="A2:B5"/>
    <mergeCell ref="I6:I8"/>
    <mergeCell ref="I9:I14"/>
    <mergeCell ref="I15:I17"/>
    <mergeCell ref="I2:I5"/>
  </mergeCells>
  <conditionalFormatting sqref="E6:E27">
    <cfRule type="cellIs" priority="28" dxfId="4" operator="greaterThan" stopIfTrue="1">
      <formula>D6</formula>
    </cfRule>
    <cfRule type="cellIs" priority="29" dxfId="4" operator="between" stopIfTrue="1">
      <formula>0.001</formula>
      <formula>C6-0.0001</formula>
    </cfRule>
  </conditionalFormatting>
  <conditionalFormatting sqref="I28 I6 I9:I10 I15 I18 I22">
    <cfRule type="expression" priority="32" dxfId="0" stopIfTrue="1">
      <formula>LEFT(I6,13)="eingetragener"</formula>
    </cfRule>
  </conditionalFormatting>
  <conditionalFormatting sqref="I18 I6 I9:I10 I15 I22">
    <cfRule type="expression" priority="33" dxfId="0" stopIfTrue="1">
      <formula>LEFT(I6,13)="eingetragener"</formula>
    </cfRule>
  </conditionalFormatting>
  <conditionalFormatting sqref="I20">
    <cfRule type="expression" priority="2" dxfId="0" stopIfTrue="1">
      <formula>LEFT(I20,13)="eingetragener"</formula>
    </cfRule>
  </conditionalFormatting>
  <conditionalFormatting sqref="I20">
    <cfRule type="expression" priority="1" dxfId="0" stopIfTrue="1">
      <formula>LEFT(I20,13)="eingetragener"</formula>
    </cfRule>
  </conditionalFormatting>
  <printOptions/>
  <pageMargins left="0.37" right="0.36" top="0.984251969" bottom="0.984251969" header="0.4921259845" footer="0.4921259845"/>
  <pageSetup horizontalDpi="600" verticalDpi="600" orientation="portrait" paperSize="9" scale="65" r:id="rId3"/>
  <ignoredErrors>
    <ignoredError sqref="G26:H26" formula="1"/>
  </ignoredErrors>
  <legacyDrawing r:id="rId2"/>
  <oleObjects>
    <oleObject progId="" shapeId="1604736" r:id="rId1"/>
  </oleObjects>
</worksheet>
</file>

<file path=xl/worksheets/sheet4.xml><?xml version="1.0" encoding="utf-8"?>
<worksheet xmlns="http://schemas.openxmlformats.org/spreadsheetml/2006/main" xmlns:r="http://schemas.openxmlformats.org/officeDocument/2006/relationships">
  <sheetPr>
    <pageSetUpPr fitToPage="1"/>
  </sheetPr>
  <dimension ref="A1:L19"/>
  <sheetViews>
    <sheetView zoomScale="70" zoomScaleNormal="70" zoomScalePageLayoutView="0" workbookViewId="0" topLeftCell="A1">
      <selection activeCell="B1" sqref="B1:E1"/>
    </sheetView>
  </sheetViews>
  <sheetFormatPr defaultColWidth="11.421875" defaultRowHeight="12.75"/>
  <cols>
    <col min="1" max="1" width="1.421875" style="203" customWidth="1"/>
    <col min="2" max="2" width="26.28125" style="203" customWidth="1"/>
    <col min="3" max="3" width="16.00390625" style="203" customWidth="1"/>
    <col min="4" max="4" width="29.421875" style="203" customWidth="1"/>
    <col min="5" max="5" width="39.28125" style="203" customWidth="1"/>
    <col min="6" max="6" width="11.421875" style="203" customWidth="1"/>
    <col min="7" max="7" width="10.28125" style="203" customWidth="1"/>
    <col min="8" max="8" width="36.421875" style="203" customWidth="1"/>
    <col min="9" max="9" width="50.7109375" style="203" customWidth="1"/>
    <col min="10" max="16384" width="11.421875" style="203" customWidth="1"/>
  </cols>
  <sheetData>
    <row r="1" spans="1:9" ht="120.75" customHeight="1">
      <c r="A1" s="202"/>
      <c r="B1" s="345" t="s">
        <v>170</v>
      </c>
      <c r="C1" s="345"/>
      <c r="D1" s="345"/>
      <c r="E1" s="345"/>
      <c r="G1" s="234"/>
      <c r="H1" s="234"/>
      <c r="I1" s="234"/>
    </row>
    <row r="2" spans="1:9" ht="5.25" customHeight="1">
      <c r="A2" s="350"/>
      <c r="B2" s="350"/>
      <c r="C2" s="350"/>
      <c r="D2" s="350"/>
      <c r="E2" s="350"/>
      <c r="F2" s="204"/>
      <c r="G2" s="234"/>
      <c r="H2" s="234"/>
      <c r="I2" s="234"/>
    </row>
    <row r="3" spans="1:9" ht="47.25" customHeight="1">
      <c r="A3" s="205"/>
      <c r="B3" s="236" t="s">
        <v>89</v>
      </c>
      <c r="C3" s="206"/>
      <c r="D3" s="346" t="str">
        <f>'1. Humuswirkung der Früchte'!A5&amp;IF('1. Humuswirkung der Früchte'!H5="ja"," (ökologisch "," (konventionell ")&amp;"bewirtschaftet)"</f>
        <v> (konventionell bewirtschaftet)</v>
      </c>
      <c r="E3" s="346"/>
      <c r="F3" s="204"/>
      <c r="G3" s="233" t="s">
        <v>146</v>
      </c>
      <c r="H3" s="233" t="s">
        <v>95</v>
      </c>
      <c r="I3" s="233" t="s">
        <v>96</v>
      </c>
    </row>
    <row r="4" spans="1:9" ht="44.25" customHeight="1">
      <c r="A4" s="207"/>
      <c r="B4" s="237" t="s">
        <v>90</v>
      </c>
      <c r="C4" s="355">
        <f>IF('1. Humuswirkung der Früchte'!K5="","",'1. Humuswirkung der Früchte'!K5)</f>
      </c>
      <c r="D4" s="356"/>
      <c r="E4" s="356"/>
      <c r="F4" s="204"/>
      <c r="G4" s="233" t="s">
        <v>147</v>
      </c>
      <c r="H4" s="233" t="s">
        <v>148</v>
      </c>
      <c r="I4" s="233" t="s">
        <v>149</v>
      </c>
    </row>
    <row r="5" spans="1:9" ht="42.75" customHeight="1">
      <c r="A5" s="207"/>
      <c r="B5" s="237" t="s">
        <v>97</v>
      </c>
      <c r="C5" s="357">
        <f>IF('1. Humuswirkung der Früchte'!C5="","",'1. Humuswirkung der Früchte'!C5&amp;" ha")</f>
      </c>
      <c r="D5" s="358"/>
      <c r="E5" s="358"/>
      <c r="F5" s="204"/>
      <c r="G5" s="233" t="s">
        <v>150</v>
      </c>
      <c r="H5" s="233" t="s">
        <v>151</v>
      </c>
      <c r="I5" s="233" t="s">
        <v>152</v>
      </c>
    </row>
    <row r="6" spans="1:12" ht="204" customHeight="1">
      <c r="A6" s="207"/>
      <c r="B6" s="238" t="s">
        <v>92</v>
      </c>
      <c r="C6" s="353" t="str">
        <f>CONCATENATE("  "&amp;SUM('1. Humuswirkung der Früchte'!C$13:C$14)," ha Rüben
"&amp;"  ",SUM('1. Humuswirkung der Früchte'!C$15)," ha Kartoffeln
"&amp;"  ",SUM('1. Humuswirkung der Früchte'!C$17:C$19)," ha Mais/Sudangras
"&amp;"  ",SUM('1. Humuswirkung der Früchte'!C$21:C$30)," ha Getreide
"&amp;"  ",SUM('1. Humuswirkung der Früchte'!C$32:C$35)," ha Öl- und Faserpflanzen
"&amp;"  ",SUM('1. Humuswirkung der Früchte'!C$37)," ha Körnerleguminosen
"&amp;"  ",SUM('1. Humuswirkung der Früchte'!C$40:C$44)," ha Feldfutter
"&amp;"  ",SUM('1. Humuswirkung der Früchte'!C$46:C$48)," ha Gemüse-, Heilpflanzen, usw.
"&amp;"  ",SUM('1. Humuswirkung der Früchte'!C$59:C$62)," ha Brache/GLÖZ-Flächen")</f>
        <v>  0 ha Rüben
  0 ha Kartoffeln
  0 ha Mais/Sudangras
  0 ha Getreide
  0 ha Öl- und Faserpflanzen
  0 ha Körnerleguminosen
  0 ha Feldfutter
  0 ha Gemüse-, Heilpflanzen, usw.
  0 ha Brache/GLÖZ-Flächen</v>
      </c>
      <c r="D6" s="354"/>
      <c r="E6" s="354"/>
      <c r="F6" s="204"/>
      <c r="G6" s="233" t="s">
        <v>153</v>
      </c>
      <c r="H6" s="233" t="s">
        <v>154</v>
      </c>
      <c r="I6" s="233" t="s">
        <v>155</v>
      </c>
      <c r="L6" s="208"/>
    </row>
    <row r="7" spans="1:9" ht="51.75" customHeight="1">
      <c r="A7" s="207"/>
      <c r="B7" s="238" t="s">
        <v>93</v>
      </c>
      <c r="C7" s="353" t="str">
        <f>IF(SUM('1. Humuswirkung der Früchte'!C$51:C$57)=0,"  keine","  "&amp;SUM('1. Humuswirkung der Früchte'!C$51:C$57)&amp;" ha")</f>
        <v>  keine</v>
      </c>
      <c r="D7" s="354"/>
      <c r="E7" s="354"/>
      <c r="F7" s="204"/>
      <c r="G7" s="233" t="s">
        <v>156</v>
      </c>
      <c r="H7" s="233" t="s">
        <v>157</v>
      </c>
      <c r="I7" s="233" t="s">
        <v>149</v>
      </c>
    </row>
    <row r="8" spans="1:12" ht="134.25" customHeight="1">
      <c r="A8" s="207"/>
      <c r="B8" s="238" t="s">
        <v>133</v>
      </c>
      <c r="C8" s="353" t="str">
        <f>IF('2. Zufuhr von org. Material'!H28=0,"  keine","  "&amp;CONCATENATE('2. Zufuhr von org. Material'!N6,IF('2. Zufuhr von org. Material'!N9="",""," 
  "),'2. Zufuhr von org. Material'!N9,IF('2. Zufuhr von org. Material'!N15="",""," 
  "),'2. Zufuhr von org. Material'!N15,IF('2. Zufuhr von org. Material'!N18="",""," 
  "),'2. Zufuhr von org. Material'!N18,IF('2. Zufuhr von org. Material'!N20="",""," 
  "),'2. Zufuhr von org. Material'!N20,IF('2. Zufuhr von org. Material'!N22="",""," 
  "),'2. Zufuhr von org. Material'!N22))</f>
        <v>  keine</v>
      </c>
      <c r="D8" s="354"/>
      <c r="E8" s="354"/>
      <c r="F8" s="204"/>
      <c r="G8" s="233" t="s">
        <v>158</v>
      </c>
      <c r="H8" s="233" t="s">
        <v>159</v>
      </c>
      <c r="I8" s="233" t="s">
        <v>160</v>
      </c>
      <c r="L8" s="209"/>
    </row>
    <row r="9" spans="1:12" ht="57" customHeight="1">
      <c r="A9" s="207"/>
      <c r="B9" s="210" t="s">
        <v>167</v>
      </c>
      <c r="C9" s="351">
        <f>IF(SUM('1. Humuswirkung der Früchte'!N4:N63,'2. Zufuhr von org. Material'!J6:J22)&gt;0,"",ROUND(('1. Humuswirkung der Früchte'!L63+'2. Zufuhr von org. Material'!H28)/'1. Humuswirkung der Früchte'!C5,0))</f>
      </c>
      <c r="D9" s="352"/>
      <c r="E9" s="211" t="s">
        <v>184</v>
      </c>
      <c r="F9" s="204"/>
      <c r="G9" s="233" t="s">
        <v>161</v>
      </c>
      <c r="H9" s="233" t="s">
        <v>162</v>
      </c>
      <c r="I9" s="233" t="s">
        <v>163</v>
      </c>
      <c r="L9" s="209"/>
    </row>
    <row r="10" spans="1:12" ht="61.5" customHeight="1">
      <c r="A10" s="207"/>
      <c r="B10" s="212" t="s">
        <v>168</v>
      </c>
      <c r="C10" s="347" t="str">
        <f>IF(C9="","Angaben nicht korrekt, bitte beachten Sie die Hinweise!",IF('1. Humuswirkung der Früchte'!C5="ja",IF(C9&lt;-200,H5,IF(C9&lt;0,H7,IF(C9&lt;301,H8,IF(C9&lt;501,H9,H10)))),IF(C9&lt;-200,H4,IF(C9&lt;-75,H6,IF(C9&lt;101,H8,IF(C9&lt;301,H9,H10))))))</f>
        <v>Angaben nicht korrekt, bitte beachten Sie die Hinweise!</v>
      </c>
      <c r="D10" s="348"/>
      <c r="E10" s="348"/>
      <c r="F10" s="204"/>
      <c r="G10" s="233" t="s">
        <v>164</v>
      </c>
      <c r="H10" s="233" t="s">
        <v>165</v>
      </c>
      <c r="I10" s="233" t="s">
        <v>166</v>
      </c>
      <c r="L10" s="209"/>
    </row>
    <row r="11" spans="1:9" ht="78.75" customHeight="1">
      <c r="A11" s="207"/>
      <c r="B11" s="212" t="s">
        <v>169</v>
      </c>
      <c r="C11" s="347" t="str">
        <f>IF(C9="","Angaben nicht korrekt, bitte beachten Sie die Hinweise!",IF('1. Humuswirkung der Früchte'!C6="ja",IF(C9&lt;-200,I5,IF(C9&lt;0,I7,IF(C9&lt;301,I8,IF(C9&lt;501,I9,I10)))),IF(C9&lt;-200,I4,IF(C9&lt;-75,I6,IF(C9&lt;101,I8,IF(C9&lt;301,I9,I10))))))</f>
        <v>Angaben nicht korrekt, bitte beachten Sie die Hinweise!</v>
      </c>
      <c r="D11" s="348"/>
      <c r="E11" s="348"/>
      <c r="F11" s="204"/>
      <c r="I11" s="209"/>
    </row>
    <row r="12" spans="1:12" ht="57" customHeight="1">
      <c r="A12" s="213"/>
      <c r="B12" s="349" t="s">
        <v>185</v>
      </c>
      <c r="C12" s="349"/>
      <c r="D12" s="349"/>
      <c r="E12" s="349"/>
      <c r="F12" s="204"/>
      <c r="L12" s="209"/>
    </row>
    <row r="13" ht="9" customHeight="1">
      <c r="A13" s="207"/>
    </row>
    <row r="14" spans="1:5" ht="18" customHeight="1">
      <c r="A14" s="359" t="s">
        <v>174</v>
      </c>
      <c r="B14" s="359"/>
      <c r="C14" s="240" t="s">
        <v>146</v>
      </c>
      <c r="D14" s="240" t="s">
        <v>175</v>
      </c>
      <c r="E14" s="241" t="s">
        <v>95</v>
      </c>
    </row>
    <row r="15" spans="1:5" ht="18" customHeight="1">
      <c r="A15" s="359"/>
      <c r="B15" s="359"/>
      <c r="C15" s="242" t="s">
        <v>176</v>
      </c>
      <c r="D15" s="242" t="s">
        <v>177</v>
      </c>
      <c r="E15" s="242" t="s">
        <v>178</v>
      </c>
    </row>
    <row r="16" spans="1:5" ht="18" customHeight="1">
      <c r="A16" s="359"/>
      <c r="B16" s="359"/>
      <c r="C16" s="243" t="s">
        <v>179</v>
      </c>
      <c r="D16" s="243" t="str">
        <f>IF('1. Humuswirkung der Früchte'!H$5="ja","- 200 bis - 1","-200 bis - 76")</f>
        <v>-200 bis - 76</v>
      </c>
      <c r="E16" s="242" t="s">
        <v>180</v>
      </c>
    </row>
    <row r="17" spans="1:5" ht="18" customHeight="1">
      <c r="A17" s="359"/>
      <c r="B17" s="359"/>
      <c r="C17" s="243" t="s">
        <v>158</v>
      </c>
      <c r="D17" s="243" t="s">
        <v>191</v>
      </c>
      <c r="E17" s="242" t="s">
        <v>181</v>
      </c>
    </row>
    <row r="18" spans="1:5" ht="18" customHeight="1">
      <c r="A18" s="359"/>
      <c r="B18" s="359"/>
      <c r="C18" s="242" t="s">
        <v>161</v>
      </c>
      <c r="D18" s="243" t="s">
        <v>192</v>
      </c>
      <c r="E18" s="242" t="s">
        <v>182</v>
      </c>
    </row>
    <row r="19" spans="1:5" ht="18" customHeight="1">
      <c r="A19" s="359"/>
      <c r="B19" s="359"/>
      <c r="C19" s="242" t="s">
        <v>164</v>
      </c>
      <c r="D19" s="243" t="s">
        <v>193</v>
      </c>
      <c r="E19" s="242" t="s">
        <v>183</v>
      </c>
    </row>
  </sheetData>
  <sheetProtection password="DB7B" sheet="1" selectLockedCells="1" selectUnlockedCells="1"/>
  <mergeCells count="13">
    <mergeCell ref="C7:E7"/>
    <mergeCell ref="C8:E8"/>
    <mergeCell ref="A14:B19"/>
    <mergeCell ref="B1:E1"/>
    <mergeCell ref="D3:E3"/>
    <mergeCell ref="C11:E11"/>
    <mergeCell ref="B12:E12"/>
    <mergeCell ref="A2:E2"/>
    <mergeCell ref="C10:E10"/>
    <mergeCell ref="C9:D9"/>
    <mergeCell ref="C6:E6"/>
    <mergeCell ref="C4:E4"/>
    <mergeCell ref="C5:E5"/>
  </mergeCells>
  <printOptions/>
  <pageMargins left="0.9055118110236221" right="0.9055118110236221" top="0.7480314960629921" bottom="0.7480314960629921" header="0.31496062992125984" footer="0.31496062992125984"/>
  <pageSetup fitToHeight="1" fitToWidth="1" horizontalDpi="600" verticalDpi="600" orientation="portrait" paperSize="9" scale="74" r:id="rId4"/>
  <legacyDrawing r:id="rId2"/>
  <legacyDrawingHF r:id="rId3"/>
  <oleObjects>
    <oleObject progId="" shapeId="160473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Rudolf Rippel</dc:creator>
  <cp:keywords/>
  <dc:description/>
  <cp:lastModifiedBy>Rippel, Rudolf (LfL)</cp:lastModifiedBy>
  <cp:lastPrinted>2015-09-21T11:21:29Z</cp:lastPrinted>
  <dcterms:created xsi:type="dcterms:W3CDTF">2004-11-15T07:14:11Z</dcterms:created>
  <dcterms:modified xsi:type="dcterms:W3CDTF">2015-10-07T09:23:28Z</dcterms:modified>
  <cp:category/>
  <cp:version/>
  <cp:contentType/>
  <cp:contentStatus/>
</cp:coreProperties>
</file>