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DieseArbeitsmappe" hidePivotFieldList="1" defaultThemeVersion="166925"/>
  <xr:revisionPtr revIDLastSave="0" documentId="13_ncr:1_{81C11FB4-BC1A-4476-84A4-BA2FF7E9AF88}" xr6:coauthVersionLast="47" xr6:coauthVersionMax="47" xr10:uidLastSave="{00000000-0000-0000-0000-000000000000}"/>
  <workbookProtection workbookAlgorithmName="SHA-512" workbookHashValue="ILSpOYaDmCd22ja0Xs3eT2NQzuLvqq9hwMPqeyeSetwx5U+pfRlPzWqtxm249Lb7ROvbWxu6meCMAonRKh1bZg==" workbookSaltValue="fT0UI8i/jIDbVLlYPyJs2g==" workbookSpinCount="100000" lockStructure="1"/>
  <bookViews>
    <workbookView xWindow="-108" yWindow="-108" windowWidth="30936" windowHeight="16776" tabRatio="892" xr2:uid="{624E3745-57B3-4C18-8EBC-E8B4ECC782CB}"/>
  </bookViews>
  <sheets>
    <sheet name="Hinweise" sheetId="10" r:id="rId1"/>
    <sheet name="Übersicht" sheetId="1" r:id="rId2"/>
    <sheet name="Ertrag" sheetId="4" r:id="rId3"/>
    <sheet name="Arbeitszeit" sheetId="2" r:id="rId4"/>
    <sheet name="Kosten" sheetId="3" r:id="rId5"/>
    <sheet name="Förderung" sheetId="5" r:id="rId6"/>
    <sheet name="Quellen" sheetId="11" r:id="rId7"/>
    <sheet name="Rechentabelle" sheetId="6" state="hidden" r:id="rId8"/>
  </sheets>
  <definedNames>
    <definedName name="_xlnm._FilterDatabase" localSheetId="6" hidden="1">Quellen!$B$5:$B$16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5" l="1"/>
  <c r="L28" i="5"/>
  <c r="L14" i="5"/>
  <c r="J30" i="5" l="1"/>
  <c r="L29" i="5"/>
  <c r="I28" i="5"/>
  <c r="J23" i="5"/>
  <c r="I21" i="5"/>
  <c r="J25" i="5"/>
  <c r="L25" i="5" s="1"/>
  <c r="J26" i="5"/>
  <c r="L26" i="5" s="1"/>
  <c r="I22" i="5"/>
  <c r="L22" i="5" s="1"/>
  <c r="L30" i="5" l="1"/>
  <c r="E30" i="3"/>
  <c r="F30" i="3"/>
  <c r="G30" i="3"/>
  <c r="H30" i="3"/>
  <c r="D30" i="3"/>
  <c r="D13" i="3" l="1"/>
  <c r="E7" i="2"/>
  <c r="F34" i="2"/>
  <c r="G34" i="2"/>
  <c r="H34" i="2"/>
  <c r="I34" i="2"/>
  <c r="E34" i="2"/>
  <c r="I30" i="3"/>
  <c r="J30" i="3"/>
  <c r="D47" i="4"/>
  <c r="D46" i="4"/>
  <c r="C36" i="3" l="1"/>
  <c r="C40" i="3" l="1"/>
  <c r="J29" i="3" l="1"/>
  <c r="J28" i="3"/>
  <c r="I28" i="3"/>
  <c r="I29" i="3"/>
  <c r="I27" i="3"/>
  <c r="J25" i="3"/>
  <c r="I25" i="3"/>
  <c r="H21" i="4"/>
  <c r="G21" i="4"/>
  <c r="F21" i="4"/>
  <c r="E21" i="4"/>
  <c r="H19" i="4"/>
  <c r="G19" i="4"/>
  <c r="E19" i="4"/>
  <c r="F19" i="4"/>
  <c r="F18" i="4"/>
  <c r="J27" i="4"/>
  <c r="I27" i="4"/>
  <c r="C37" i="3"/>
  <c r="J27" i="3" l="1"/>
  <c r="J26" i="3"/>
  <c r="I26" i="3"/>
  <c r="J34" i="2"/>
  <c r="D11" i="3"/>
  <c r="C39" i="3"/>
  <c r="K34" i="2" l="1"/>
  <c r="C31" i="1"/>
  <c r="H21" i="3" l="1"/>
  <c r="G21" i="3"/>
  <c r="F21" i="3"/>
  <c r="E21" i="3"/>
  <c r="D21" i="3"/>
  <c r="H14" i="3"/>
  <c r="G14" i="3"/>
  <c r="F14" i="3"/>
  <c r="E14" i="3"/>
  <c r="D14" i="3"/>
  <c r="I20" i="2"/>
  <c r="H20" i="2"/>
  <c r="G20" i="2"/>
  <c r="F20" i="2"/>
  <c r="E20" i="2"/>
  <c r="I19" i="2"/>
  <c r="H19" i="2"/>
  <c r="G19" i="2"/>
  <c r="F19" i="2"/>
  <c r="E19" i="2"/>
  <c r="J14" i="3" l="1"/>
  <c r="I21" i="3"/>
  <c r="J21" i="3"/>
  <c r="H12" i="3"/>
  <c r="G12" i="3"/>
  <c r="K5" i="2"/>
  <c r="K6" i="2"/>
  <c r="K8" i="2"/>
  <c r="K19" i="2"/>
  <c r="J5" i="2"/>
  <c r="J6" i="2"/>
  <c r="J7" i="2"/>
  <c r="J8" i="2"/>
  <c r="J9" i="2"/>
  <c r="J10" i="2"/>
  <c r="J19" i="2"/>
  <c r="F9" i="2"/>
  <c r="I11" i="2" l="1"/>
  <c r="C6" i="1" l="1"/>
  <c r="H19" i="5" l="1"/>
  <c r="H15" i="5"/>
  <c r="E13" i="3"/>
  <c r="F13" i="3"/>
  <c r="G13" i="3"/>
  <c r="H13" i="3"/>
  <c r="J13" i="3" l="1"/>
  <c r="I13" i="3"/>
  <c r="I12" i="3"/>
  <c r="J12" i="3"/>
  <c r="B51" i="10" l="1"/>
  <c r="C27" i="1" l="1"/>
  <c r="I14" i="3"/>
  <c r="L16" i="5"/>
  <c r="G11" i="3"/>
  <c r="H11" i="3"/>
  <c r="E8" i="3"/>
  <c r="F8" i="3"/>
  <c r="G8" i="3"/>
  <c r="H8" i="3"/>
  <c r="D8" i="3"/>
  <c r="F7" i="3"/>
  <c r="G7" i="3"/>
  <c r="H7" i="3"/>
  <c r="E7" i="3"/>
  <c r="D6" i="3"/>
  <c r="D5" i="3"/>
  <c r="I26" i="2"/>
  <c r="H26" i="2"/>
  <c r="F26" i="2"/>
  <c r="G26" i="2"/>
  <c r="E26" i="2"/>
  <c r="E25" i="2"/>
  <c r="I25" i="2"/>
  <c r="H25" i="2"/>
  <c r="F25" i="2"/>
  <c r="G25" i="2"/>
  <c r="E24" i="2"/>
  <c r="H18" i="2"/>
  <c r="I18" i="2"/>
  <c r="G18" i="2"/>
  <c r="F18" i="2"/>
  <c r="E18" i="2"/>
  <c r="G13" i="2"/>
  <c r="H13" i="2"/>
  <c r="I13" i="2"/>
  <c r="F13" i="2"/>
  <c r="F12" i="2"/>
  <c r="G12" i="2"/>
  <c r="H12" i="2"/>
  <c r="I12" i="2"/>
  <c r="E12" i="2"/>
  <c r="D9" i="3" s="1"/>
  <c r="H11" i="2"/>
  <c r="J11" i="2" s="1"/>
  <c r="G11" i="2"/>
  <c r="F11" i="2"/>
  <c r="E11" i="2"/>
  <c r="E10" i="2"/>
  <c r="F10" i="2"/>
  <c r="K10" i="2" s="1"/>
  <c r="G9" i="2"/>
  <c r="K9" i="2" s="1"/>
  <c r="E9" i="2"/>
  <c r="E8" i="2"/>
  <c r="F7" i="2"/>
  <c r="G7" i="2"/>
  <c r="K13" i="2" l="1"/>
  <c r="J18" i="2"/>
  <c r="K11" i="2"/>
  <c r="K18" i="2"/>
  <c r="K7" i="2"/>
  <c r="E9" i="3"/>
  <c r="K12" i="2"/>
  <c r="J13" i="2"/>
  <c r="J12" i="2"/>
  <c r="D10" i="3"/>
  <c r="I11" i="3"/>
  <c r="E21" i="2"/>
  <c r="J16" i="5"/>
  <c r="F20" i="4" l="1"/>
  <c r="I33" i="4"/>
  <c r="F30" i="4"/>
  <c r="G30" i="4"/>
  <c r="H30" i="4"/>
  <c r="E30" i="4"/>
  <c r="I17" i="4"/>
  <c r="J17" i="4"/>
  <c r="E38" i="4"/>
  <c r="E46" i="4" s="1"/>
  <c r="F40" i="2"/>
  <c r="I30" i="4" l="1"/>
  <c r="I19" i="3"/>
  <c r="I5" i="3"/>
  <c r="I6" i="3"/>
  <c r="B35" i="5" l="1"/>
  <c r="B50" i="3"/>
  <c r="B45" i="2"/>
  <c r="B50" i="4"/>
  <c r="E18" i="4" l="1"/>
  <c r="G14" i="2"/>
  <c r="E40" i="2" l="1"/>
  <c r="F29" i="1"/>
  <c r="C29" i="1"/>
  <c r="L23" i="5"/>
  <c r="L21" i="5"/>
  <c r="J15" i="5"/>
  <c r="L15" i="5" s="1"/>
  <c r="I13" i="5"/>
  <c r="J19" i="5"/>
  <c r="L19" i="5" s="1"/>
  <c r="J18" i="5"/>
  <c r="J14" i="5"/>
  <c r="J11" i="5"/>
  <c r="L11" i="5" s="1"/>
  <c r="J10" i="5"/>
  <c r="L10" i="5" s="1"/>
  <c r="J9" i="5"/>
  <c r="L13" i="5" l="1"/>
  <c r="I31" i="5"/>
  <c r="L9" i="5"/>
  <c r="J31" i="5"/>
  <c r="C38" i="1" s="1"/>
  <c r="L18" i="5"/>
  <c r="J33" i="4"/>
  <c r="E32" i="4"/>
  <c r="E34" i="4" s="1"/>
  <c r="E20" i="4"/>
  <c r="H18" i="4"/>
  <c r="G18" i="4"/>
  <c r="H20" i="4"/>
  <c r="G20" i="4"/>
  <c r="L31" i="5" l="1"/>
  <c r="F38" i="1" s="1"/>
  <c r="C37" i="1"/>
  <c r="H14" i="2"/>
  <c r="I14" i="2"/>
  <c r="I20" i="4"/>
  <c r="I18" i="4"/>
  <c r="I19" i="4"/>
  <c r="I21" i="4"/>
  <c r="G17" i="2"/>
  <c r="F10" i="3" s="1"/>
  <c r="F17" i="2"/>
  <c r="F14" i="2"/>
  <c r="H17" i="2"/>
  <c r="I17" i="2"/>
  <c r="H10" i="3" s="1"/>
  <c r="H23" i="4"/>
  <c r="E24" i="4"/>
  <c r="E45" i="4" s="1"/>
  <c r="H24" i="4"/>
  <c r="J20" i="4"/>
  <c r="E23" i="4"/>
  <c r="G24" i="4"/>
  <c r="G23" i="4"/>
  <c r="J19" i="4"/>
  <c r="J21" i="4"/>
  <c r="J18" i="4"/>
  <c r="F24" i="4"/>
  <c r="F23" i="4"/>
  <c r="E10" i="3" l="1"/>
  <c r="K17" i="2"/>
  <c r="K14" i="2"/>
  <c r="G10" i="3"/>
  <c r="J17" i="2"/>
  <c r="J14" i="2"/>
  <c r="I24" i="4"/>
  <c r="I23" i="4"/>
  <c r="H25" i="4"/>
  <c r="E25" i="4"/>
  <c r="E35" i="4" s="1"/>
  <c r="G25" i="4"/>
  <c r="J24" i="4"/>
  <c r="J23" i="4"/>
  <c r="F25" i="4"/>
  <c r="J10" i="3" l="1"/>
  <c r="I25" i="4"/>
  <c r="J25" i="4"/>
  <c r="J19" i="3" l="1"/>
  <c r="J5" i="3"/>
  <c r="J6" i="3"/>
  <c r="G32" i="4"/>
  <c r="H32" i="4"/>
  <c r="H34" i="4" s="1"/>
  <c r="H35" i="4" s="1"/>
  <c r="D45" i="3"/>
  <c r="E45" i="3"/>
  <c r="F45" i="3"/>
  <c r="G45" i="3"/>
  <c r="H45" i="3"/>
  <c r="D7" i="3"/>
  <c r="H13" i="5"/>
  <c r="I27" i="2" l="1"/>
  <c r="J11" i="3"/>
  <c r="G27" i="2"/>
  <c r="H27" i="2"/>
  <c r="F27" i="2"/>
  <c r="E27" i="2"/>
  <c r="E36" i="2" s="1"/>
  <c r="D20" i="3"/>
  <c r="F20" i="3"/>
  <c r="E20" i="3"/>
  <c r="G34" i="4"/>
  <c r="G35" i="4" s="1"/>
  <c r="I32" i="4"/>
  <c r="I45" i="3"/>
  <c r="J30" i="4"/>
  <c r="F32" i="4"/>
  <c r="H20" i="3"/>
  <c r="G20" i="3"/>
  <c r="I20" i="3" l="1"/>
  <c r="I34" i="4"/>
  <c r="J20" i="3"/>
  <c r="F34" i="4"/>
  <c r="F35" i="4" s="1"/>
  <c r="J32" i="4"/>
  <c r="H22" i="3"/>
  <c r="G22" i="3"/>
  <c r="F22" i="3"/>
  <c r="E22" i="3"/>
  <c r="I40" i="2"/>
  <c r="H40" i="2"/>
  <c r="G40" i="2"/>
  <c r="F38" i="4"/>
  <c r="F46" i="4" s="1"/>
  <c r="G38" i="4"/>
  <c r="H38" i="4"/>
  <c r="H46" i="4" s="1"/>
  <c r="G42" i="4" l="1"/>
  <c r="G46" i="4"/>
  <c r="I35" i="4"/>
  <c r="C24" i="1" s="1"/>
  <c r="I22" i="3"/>
  <c r="J22" i="3"/>
  <c r="J34" i="4"/>
  <c r="J35" i="4" s="1"/>
  <c r="H41" i="4"/>
  <c r="H40" i="4"/>
  <c r="H39" i="4"/>
  <c r="H42" i="4"/>
  <c r="H44" i="4"/>
  <c r="H45" i="4"/>
  <c r="G41" i="4"/>
  <c r="G40" i="4"/>
  <c r="G39" i="4"/>
  <c r="G44" i="4"/>
  <c r="G45" i="4"/>
  <c r="F42" i="4"/>
  <c r="F41" i="4"/>
  <c r="F40" i="4"/>
  <c r="F39" i="4"/>
  <c r="F45" i="4"/>
  <c r="F44" i="4"/>
  <c r="J40" i="2"/>
  <c r="F47" i="4" l="1"/>
  <c r="H47" i="4"/>
  <c r="E39" i="4"/>
  <c r="E41" i="4"/>
  <c r="E42" i="4"/>
  <c r="E40" i="4"/>
  <c r="E44" i="4"/>
  <c r="E47" i="4" s="1"/>
  <c r="G47" i="4"/>
  <c r="I47" i="4" l="1"/>
  <c r="F24" i="1"/>
  <c r="C33" i="1"/>
  <c r="F31" i="1" l="1"/>
  <c r="F33" i="1"/>
  <c r="E15" i="3"/>
  <c r="E32" i="3" s="1"/>
  <c r="I10" i="3" l="1"/>
  <c r="D15" i="3"/>
  <c r="F21" i="2"/>
  <c r="I7" i="3"/>
  <c r="I8" i="3"/>
  <c r="J8" i="3"/>
  <c r="J7" i="3"/>
  <c r="F36" i="2" l="1"/>
  <c r="E41" i="2"/>
  <c r="E46" i="3" l="1"/>
  <c r="F41" i="2" l="1"/>
  <c r="K27" i="2"/>
  <c r="J27" i="2"/>
  <c r="H16" i="2"/>
  <c r="G16" i="2"/>
  <c r="I16" i="2"/>
  <c r="I15" i="2"/>
  <c r="F9" i="3" l="1"/>
  <c r="F15" i="3" s="1"/>
  <c r="F32" i="3" s="1"/>
  <c r="K16" i="2"/>
  <c r="G9" i="3"/>
  <c r="G15" i="3" s="1"/>
  <c r="G32" i="3" s="1"/>
  <c r="J16" i="2"/>
  <c r="I21" i="2"/>
  <c r="I36" i="2" s="1"/>
  <c r="I41" i="2" s="1"/>
  <c r="H9" i="3"/>
  <c r="H15" i="3" s="1"/>
  <c r="H32" i="3" s="1"/>
  <c r="G15" i="2"/>
  <c r="H15" i="2"/>
  <c r="G21" i="2" l="1"/>
  <c r="K15" i="2"/>
  <c r="H21" i="2"/>
  <c r="J15" i="2"/>
  <c r="I9" i="3"/>
  <c r="I15" i="3" s="1"/>
  <c r="J9" i="3"/>
  <c r="J15" i="3" s="1"/>
  <c r="J32" i="3" s="1"/>
  <c r="F46" i="3"/>
  <c r="H46" i="3"/>
  <c r="G46" i="3"/>
  <c r="I32" i="3" l="1"/>
  <c r="C25" i="1" s="1"/>
  <c r="C26" i="1" s="1"/>
  <c r="G36" i="2"/>
  <c r="K21" i="2"/>
  <c r="K36" i="2" s="1"/>
  <c r="J21" i="2"/>
  <c r="H36" i="2"/>
  <c r="H41" i="2" s="1"/>
  <c r="D19" i="3"/>
  <c r="D22" i="3" s="1"/>
  <c r="D32" i="3" s="1"/>
  <c r="C17" i="1" s="1"/>
  <c r="C16" i="1" l="1"/>
  <c r="G41" i="2"/>
  <c r="J36" i="2"/>
  <c r="C34" i="1" s="1"/>
  <c r="J41" i="2"/>
  <c r="F44" i="1" s="1"/>
  <c r="D46" i="3"/>
  <c r="I46" i="3" s="1"/>
  <c r="F25" i="1" s="1"/>
  <c r="F26" i="1" s="1"/>
  <c r="F32" i="1" s="1"/>
  <c r="F42" i="1" l="1"/>
  <c r="F43" i="1"/>
  <c r="C44" i="1"/>
  <c r="C41" i="3"/>
  <c r="C30" i="1" s="1"/>
  <c r="C38" i="3"/>
  <c r="C28" i="1" s="1"/>
  <c r="F34" i="1"/>
  <c r="F35" i="1" s="1"/>
  <c r="F46" i="1" s="1"/>
  <c r="F39" i="1" l="1"/>
  <c r="F47" i="1"/>
  <c r="C32" i="1"/>
  <c r="C42" i="1" s="1"/>
  <c r="C43" i="1" l="1"/>
  <c r="C35" i="1"/>
  <c r="C47" i="1" l="1"/>
  <c r="C45" i="1"/>
  <c r="C46" i="1"/>
  <c r="C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25" authorId="0" shapeId="0" xr:uid="{96BF4FA7-C27F-484C-9DAA-46C9D74F558F}">
      <text>
        <r>
          <rPr>
            <sz val="9"/>
            <color indexed="81"/>
            <rFont val="Segoe UI"/>
            <family val="2"/>
          </rPr>
          <t>Hinweis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6213317A-5E42-42F3-BC23-6CFE225ACD6C}">
      <text>
        <r>
          <rPr>
            <sz val="9"/>
            <color indexed="81"/>
            <rFont val="Segoe UI"/>
            <family val="2"/>
          </rPr>
          <t>Alle Arbeitsstunden, die nicht über die Arbeitsstunden Angestellter abgedeckt sind, werden mit diesem Stundenlohn angesetzt.</t>
        </r>
      </text>
    </comment>
    <comment ref="D9" authorId="0" shapeId="0" xr:uid="{090242EB-E2CA-4148-BC5F-314178D21B2B}">
      <text>
        <r>
          <rPr>
            <sz val="9"/>
            <color indexed="81"/>
            <rFont val="Segoe UI"/>
            <family val="2"/>
          </rPr>
          <t>Abkürzungen siehe Tabellenblatt "Hinweise"</t>
        </r>
      </text>
    </comment>
    <comment ref="B10" authorId="0" shapeId="0" xr:uid="{4E129117-31C3-4FF1-B08F-29E5F0F46899}">
      <text>
        <r>
          <rPr>
            <sz val="9"/>
            <color indexed="81"/>
            <rFont val="Segoe UI"/>
            <family val="2"/>
          </rPr>
          <t>Stundenlohn Angestellte inkl. Sozialabgaben</t>
        </r>
      </text>
    </comment>
    <comment ref="B11" authorId="0" shapeId="0" xr:uid="{ADAD0AAA-4ADF-40BA-B4C9-DC3DFFE79502}">
      <text>
        <r>
          <rPr>
            <sz val="9"/>
            <color indexed="81"/>
            <rFont val="Segoe UI"/>
            <family val="2"/>
          </rPr>
          <t>Jährliche Arbeitsstunden</t>
        </r>
      </text>
    </comment>
    <comment ref="B12" authorId="0" shapeId="0" xr:uid="{BBFF4956-D95B-48AE-B0B6-3E9EB2729507}">
      <text>
        <r>
          <rPr>
            <sz val="9"/>
            <color indexed="81"/>
            <rFont val="Segoe UI"/>
            <family val="2"/>
          </rPr>
          <t xml:space="preserve">Jährliche Kosten für Aufgaben, die an externe Dienstleister vergeben werden (z.B. Baumschnitt, Transport, Unterwuchspflege,…)
Die entsprechenden Arbeiten/Kosten dürfen dann in den Blättern "Arbeitszeit" und "Kosten" nicht nochmals angesetzt werden.
</t>
        </r>
      </text>
    </comment>
    <comment ref="B14" authorId="0" shapeId="0" xr:uid="{3865FB84-13C9-4E21-A090-7A6F29518C7C}">
      <text>
        <r>
          <rPr>
            <sz val="9"/>
            <color indexed="81"/>
            <rFont val="Segoe UI"/>
            <family val="2"/>
          </rPr>
          <t>Falls das Grundstück schon im Besitz war oder geerbt ist, bleibt dieses Feld leer. Stattdessen wird eine "entgangene/kalkulatorische" Pacht im Feld "Pachtausgaben" eingetragen.</t>
        </r>
      </text>
    </comment>
    <comment ref="B15" authorId="0" shapeId="0" xr:uid="{23193A8C-CBCA-4BEC-8066-012E5CDA92A5}">
      <text>
        <r>
          <rPr>
            <sz val="9"/>
            <color indexed="81"/>
            <rFont val="Segoe UI"/>
            <family val="2"/>
          </rPr>
          <t xml:space="preserve">Nur angeben, wenn noch nicht abgeschrieben. </t>
        </r>
      </text>
    </comment>
    <comment ref="B16" authorId="0" shapeId="0" xr:uid="{8530BB6E-0294-4A9A-8962-FE0ECD8F0130}">
      <text>
        <r>
          <rPr>
            <sz val="9"/>
            <color indexed="81"/>
            <rFont val="Segoe UI"/>
            <family val="2"/>
          </rPr>
          <t>Bestandswert/Investitionen in den Aufbau der Streuobstanlage, ohne Förderung, ohne Pacht, Akh nach Stundenlohn Familie</t>
        </r>
        <r>
          <rPr>
            <b/>
            <sz val="9"/>
            <color indexed="81"/>
            <rFont val="Segoe UI"/>
            <family val="2"/>
          </rPr>
          <t xml:space="preserve">
</t>
        </r>
        <r>
          <rPr>
            <sz val="9"/>
            <color indexed="81"/>
            <rFont val="Segoe UI"/>
            <family val="2"/>
          </rPr>
          <t xml:space="preserve">
</t>
        </r>
      </text>
    </comment>
    <comment ref="B17" authorId="0" shapeId="0" xr:uid="{4994A4D0-55E3-48CA-82BA-2A9A0D5AAF48}">
      <text>
        <r>
          <rPr>
            <sz val="9"/>
            <color indexed="81"/>
            <rFont val="Segoe UI"/>
            <family val="2"/>
          </rPr>
          <t xml:space="preserve">Investitionen in den Aufbau der Streuobstanlage, ohne Förderung, ohne Pacht, nur Material- und Maschinenkosten
</t>
        </r>
      </text>
    </comment>
    <comment ref="B20" authorId="0" shapeId="0" xr:uid="{1E683214-9495-4C49-9856-EB394C0AD500}">
      <text>
        <r>
          <rPr>
            <sz val="9"/>
            <color indexed="81"/>
            <rFont val="Segoe UI"/>
            <family val="2"/>
          </rPr>
          <t xml:space="preserve">Bei Grundstück im eigenen Besitz kalkulatorische/entgangene Pachtausgaben eintragen </t>
        </r>
      </text>
    </comment>
    <comment ref="C23" authorId="0" shapeId="0" xr:uid="{6C65BB07-5B1F-435A-93A3-F672A41EA64C}">
      <text>
        <r>
          <rPr>
            <sz val="9"/>
            <color indexed="81"/>
            <rFont val="Segoe UI"/>
            <family val="2"/>
          </rPr>
          <t>Der Deckungsbeitrag wird für 50 Standjahre berechnet und als Durchschnitt der Ertragsphasse vom 11.-50. Standjahr angegeben. Der Aufbau des Streuobstbestandes (erste 10 Jahre) wird durch die AfA Bestand berücksichtigt.</t>
        </r>
      </text>
    </comment>
    <comment ref="F23" authorId="0" shapeId="0" xr:uid="{D500A57C-F843-4BE8-AA3A-8FB4CD608485}">
      <text>
        <r>
          <rPr>
            <sz val="9"/>
            <color indexed="81"/>
            <rFont val="Segoe UI"/>
            <family val="2"/>
          </rPr>
          <t>Der Deckungsbeitrag Momentaufbnahme beruht auf den Angaben zur Altersstruktur. Es wird stets das aktuelle Jahr abgebildet, Anlagenaufbau und Abschreibung werden hier nicht berücksichtigt.</t>
        </r>
      </text>
    </comment>
    <comment ref="B27" authorId="0" shapeId="0" xr:uid="{352A4828-A6BA-49A5-A00F-D9D0C1CF80E5}">
      <text>
        <r>
          <rPr>
            <sz val="9"/>
            <color indexed="81"/>
            <rFont val="Segoe UI"/>
            <family val="2"/>
          </rPr>
          <t>Hier wird durch 40 Jahre geteilt und nicht die selbst angegebene Abschreibungsdauer verwendet, da das DB-Ergebnis den Schnitt über die Ertragsphase abbildet.
Die selbst angegebene Abschreibungsdauer wird für die Berechnung der (kalkulatorischen) Zinsen verwendet.</t>
        </r>
        <r>
          <rPr>
            <sz val="9"/>
            <color indexed="81"/>
            <rFont val="Segoe UI"/>
            <charset val="1"/>
          </rPr>
          <t xml:space="preserve">
</t>
        </r>
      </text>
    </comment>
    <comment ref="B28" authorId="0" shapeId="0" xr:uid="{75096080-50EC-41F2-B53F-93B9C2B0DDB1}">
      <text>
        <r>
          <rPr>
            <sz val="9"/>
            <color indexed="81"/>
            <rFont val="Segoe UI"/>
            <family val="2"/>
          </rPr>
          <t>Abschreibung der Anfangsinvestition in den Bestand (C17)</t>
        </r>
      </text>
    </comment>
    <comment ref="F28" authorId="0" shapeId="0" xr:uid="{F74EC31B-15E4-4311-9FA9-AEB902E101C4}">
      <text>
        <r>
          <rPr>
            <sz val="9"/>
            <color indexed="81"/>
            <rFont val="Segoe UI"/>
            <family val="2"/>
          </rPr>
          <t xml:space="preserve">In der Momentaufnahme wird der Aufbau eines Bestandswertes nicht berücksichtigt (also keine Abschreibung und keine Zinsen) 
</t>
        </r>
      </text>
    </comment>
    <comment ref="B30" authorId="0" shapeId="0" xr:uid="{52687B90-E929-4917-A3AB-1D483D7B8030}">
      <text>
        <r>
          <rPr>
            <sz val="9"/>
            <color indexed="81"/>
            <rFont val="Segoe UI"/>
            <family val="2"/>
          </rPr>
          <t xml:space="preserve">Für Investitionen in Grundstücke, Gebäude und den Streuobstbestand mit den in C18 und C19 angegebenen Zinssätzen berechnet.
</t>
        </r>
      </text>
    </comment>
    <comment ref="B37" authorId="0" shapeId="0" xr:uid="{50587FE5-1B7B-4A73-BC20-F985F11CEB93}">
      <text>
        <r>
          <rPr>
            <sz val="9"/>
            <color indexed="81"/>
            <rFont val="Segoe UI"/>
            <family val="2"/>
          </rPr>
          <t xml:space="preserve">Die in den ersten 10 Jahren erhaltenen Fördergelder werden (wie AfA Bestand) auf 40 Jahre verteilt
</t>
        </r>
      </text>
    </comment>
    <comment ref="F37" authorId="0" shapeId="0" xr:uid="{67E64DBA-FA19-42E0-8634-08C6A57CF159}">
      <text>
        <r>
          <rPr>
            <sz val="9"/>
            <color indexed="81"/>
            <rFont val="Segoe UI"/>
            <family val="2"/>
          </rPr>
          <t xml:space="preserve">Keine Verrechnung von Fördergeldern aus vorherigen Jahren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96BE98BA-A354-4CCE-98C9-581202064290}">
      <text>
        <r>
          <rPr>
            <sz val="9"/>
            <color indexed="81"/>
            <rFont val="Segoe UI"/>
            <family val="2"/>
          </rPr>
          <t>Tafelobst ist mit erhöhtem Lagerungs- und Vermarktungsaufwand verbunden. Diese Kosten sind im Tabellenblatt "Kosten" einzutragen.</t>
        </r>
      </text>
    </comment>
    <comment ref="B12" authorId="0" shapeId="0" xr:uid="{8E2D057D-BE38-4F11-8F41-E89B0CC346D2}">
      <text>
        <r>
          <rPr>
            <sz val="9"/>
            <color indexed="81"/>
            <rFont val="Segoe UI"/>
            <family val="2"/>
          </rPr>
          <t>Welcher Anteil des Obstes wird zu Produkten verarbeitet?
Die anfallenden Verarbeitungskosten und Arbeitszeiten sind im Tabellenblatt "Kosten" bzw. "Arbeitszeit" einzutragen</t>
        </r>
      </text>
    </comment>
    <comment ref="B27" authorId="0" shapeId="0" xr:uid="{6883617E-4B86-4F9E-A9A2-40C8B2096694}">
      <text>
        <r>
          <rPr>
            <sz val="9"/>
            <color indexed="81"/>
            <rFont val="Segoe UI"/>
            <family val="2"/>
          </rPr>
          <t>Umsatzerlöse aus Produkten (z.B. Saft, Marmelade). Die für die Herstellung anfallenden Kosten und Arbeitsstunden sind in den entsprechenden Tabellenblättern einzutragen.</t>
        </r>
      </text>
    </comment>
    <comment ref="B33" authorId="0" shapeId="0" xr:uid="{F7F9B98C-1FBC-4FF0-979C-DD07F6FFD8FA}">
      <text>
        <r>
          <rPr>
            <sz val="9"/>
            <color indexed="81"/>
            <rFont val="Segoe UI"/>
            <family val="2"/>
          </rPr>
          <t xml:space="preserve">Sonstige Reinerlöse (= Umsatzerlöse - Kosten) der  Unternutzung z.B. Schnittgut, Tierhaltung, Gemüsebau, Tourismus,...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5" authorId="0" shapeId="0" xr:uid="{7DA39857-D2F9-4AEA-8ED2-0C235B3EE2D3}">
      <text>
        <r>
          <rPr>
            <sz val="9"/>
            <color indexed="81"/>
            <rFont val="Segoe UI"/>
            <family val="2"/>
          </rPr>
          <t>Sortenwahl, Pflanzplan erstellen, Arbeitsabläufe planen</t>
        </r>
      </text>
    </comment>
    <comment ref="C6" authorId="0" shapeId="0" xr:uid="{2484652C-0FC8-4305-808C-0BA9C79F07E8}">
      <text>
        <r>
          <rPr>
            <sz val="9"/>
            <color indexed="81"/>
            <rFont val="Segoe UI"/>
            <family val="2"/>
          </rPr>
          <t>Alle 10 Jahre Bodenprobe entnehmen und untersuchen lassen</t>
        </r>
      </text>
    </comment>
    <comment ref="C7" authorId="0" shapeId="0" xr:uid="{DDC167FB-685D-4C5F-930B-7F61737B0643}">
      <text>
        <r>
          <rPr>
            <sz val="9"/>
            <color indexed="81"/>
            <rFont val="Segoe UI"/>
            <family val="2"/>
          </rPr>
          <t>Freihalten mit Handhacke/Fräse/Krümler...</t>
        </r>
      </text>
    </comment>
    <comment ref="D7" authorId="0" shapeId="0" xr:uid="{A958CD61-F838-4A40-B5BD-D87CB8C7A587}">
      <text>
        <r>
          <rPr>
            <sz val="9"/>
            <color indexed="81"/>
            <rFont val="Segoe UI"/>
            <family val="2"/>
          </rPr>
          <t>Vorgabe: 0,04 Akh/Baum</t>
        </r>
      </text>
    </comment>
    <comment ref="C8" authorId="0" shapeId="0" xr:uid="{7A348643-70B9-427C-889A-3ED21F43EFFE}">
      <text>
        <r>
          <rPr>
            <sz val="9"/>
            <color indexed="81"/>
            <rFont val="Segoe UI"/>
            <family val="2"/>
          </rPr>
          <t>Pflanzloch ausheben, Wurzelschnitt, evtl. Wühlmauskorb setzen, Pfosten setzen, einpflanzen</t>
        </r>
      </text>
    </comment>
    <comment ref="D8" authorId="0" shapeId="0" xr:uid="{54F4711E-F804-44C1-BCF8-836805595DA9}">
      <text>
        <r>
          <rPr>
            <sz val="9"/>
            <color indexed="81"/>
            <rFont val="Segoe UI"/>
            <family val="2"/>
          </rPr>
          <t>Vorgabe: 0,8 Akh/Baum</t>
        </r>
      </text>
    </comment>
    <comment ref="C9" authorId="0" shapeId="0" xr:uid="{43FC9F09-456A-48A0-8B64-61B9296F5F33}">
      <text>
        <r>
          <rPr>
            <sz val="9"/>
            <color indexed="81"/>
            <rFont val="Segoe UI"/>
            <family val="2"/>
          </rPr>
          <t>Baumschutz aufbauen und kontrollieren</t>
        </r>
      </text>
    </comment>
    <comment ref="D9" authorId="0" shapeId="0" xr:uid="{3B4AA996-1BF8-4EEA-983D-79EDAD30442B}">
      <text>
        <r>
          <rPr>
            <sz val="9"/>
            <color indexed="81"/>
            <rFont val="Segoe UI"/>
            <family val="2"/>
          </rPr>
          <t>Vorgabe: 0,025 Akh/Baum</t>
        </r>
      </text>
    </comment>
    <comment ref="D10" authorId="0" shapeId="0" xr:uid="{3E83538B-A3E2-4D49-87ED-86C3006DD428}">
      <text>
        <r>
          <rPr>
            <sz val="9"/>
            <color indexed="81"/>
            <rFont val="Segoe UI"/>
            <family val="2"/>
          </rPr>
          <t>Vorgabe: 0,1 Akh/Baum</t>
        </r>
      </text>
    </comment>
    <comment ref="D11" authorId="0" shapeId="0" xr:uid="{F0DB02B2-2FD8-4559-9999-E3538478DE3B}">
      <text>
        <r>
          <rPr>
            <sz val="9"/>
            <color indexed="81"/>
            <rFont val="Segoe UI"/>
            <family val="2"/>
          </rPr>
          <t>Vorgabe: 0,7 Akh/Baum</t>
        </r>
      </text>
    </comment>
    <comment ref="D12" authorId="0" shapeId="0" xr:uid="{443DAB14-315A-4342-A67B-3B2FA255E5F6}">
      <text>
        <r>
          <rPr>
            <sz val="9"/>
            <color indexed="81"/>
            <rFont val="Segoe UI"/>
            <family val="2"/>
          </rPr>
          <t>Vorgabe: 0,05 Akh/Baum</t>
        </r>
      </text>
    </comment>
    <comment ref="C13" authorId="0" shapeId="0" xr:uid="{C984F49E-0BAB-440A-B493-5A8A3034A574}">
      <text>
        <r>
          <rPr>
            <sz val="9"/>
            <color indexed="81"/>
            <rFont val="Segoe UI"/>
            <charset val="1"/>
          </rPr>
          <t xml:space="preserve">Pilzinfektionen, Insekten, Wühlmäuse,...
</t>
        </r>
      </text>
    </comment>
    <comment ref="D13" authorId="0" shapeId="0" xr:uid="{C20C96D8-60B7-42B4-8CA1-ADE25DAE9912}">
      <text>
        <r>
          <rPr>
            <sz val="9"/>
            <color indexed="81"/>
            <rFont val="Segoe UI"/>
            <family val="2"/>
          </rPr>
          <t>Vorgabe: 0,3 Akh/Baum</t>
        </r>
      </text>
    </comment>
    <comment ref="C14" authorId="0" shapeId="0" xr:uid="{58F66A12-9863-4466-A794-E9386545A1F8}">
      <text>
        <r>
          <rPr>
            <sz val="9"/>
            <color indexed="81"/>
            <rFont val="Segoe UI"/>
            <family val="2"/>
          </rPr>
          <t>Mit Leiter oder Hebebühne</t>
        </r>
      </text>
    </comment>
    <comment ref="D14" authorId="0" shapeId="0" xr:uid="{26908B54-042B-4F20-B65B-EE88B6D821C4}">
      <text>
        <r>
          <rPr>
            <sz val="9"/>
            <color indexed="81"/>
            <rFont val="Segoe UI"/>
            <family val="2"/>
          </rPr>
          <t>Vorgabe: 1,5 Akh/dt</t>
        </r>
      </text>
    </comment>
    <comment ref="D15" authorId="0" shapeId="0" xr:uid="{11763C40-5717-49BF-A162-C7642FAAEADE}">
      <text>
        <r>
          <rPr>
            <sz val="9"/>
            <color indexed="81"/>
            <rFont val="Segoe UI"/>
            <family val="2"/>
          </rPr>
          <t>Vorgabe: 0,7 Akh/dt</t>
        </r>
      </text>
    </comment>
    <comment ref="D16" authorId="0" shapeId="0" xr:uid="{DF3D75FD-7279-4DA6-B221-8E70670484E8}">
      <text>
        <r>
          <rPr>
            <sz val="9"/>
            <color indexed="81"/>
            <rFont val="Segoe UI"/>
            <family val="2"/>
          </rPr>
          <t>Vorgabe: 0,2 Akh/dt</t>
        </r>
      </text>
    </comment>
    <comment ref="D17" authorId="0" shapeId="0" xr:uid="{DED7A3E4-FA16-45DC-A10F-FBB002D2B235}">
      <text>
        <r>
          <rPr>
            <sz val="9"/>
            <color indexed="81"/>
            <rFont val="Segoe UI"/>
            <family val="2"/>
          </rPr>
          <t>Vorgabe: 0,1 Akh/dt</t>
        </r>
      </text>
    </comment>
    <comment ref="C18" authorId="0" shapeId="0" xr:uid="{1B30F81B-9826-4F9C-AB63-EEF64823690E}">
      <text>
        <r>
          <rPr>
            <sz val="9"/>
            <color indexed="81"/>
            <rFont val="Segoe UI"/>
            <family val="2"/>
          </rPr>
          <t>Nistkästen, Hecken, Blühstreifen, Steinhaufen, Totholz,...</t>
        </r>
      </text>
    </comment>
    <comment ref="D18" authorId="0" shapeId="0" xr:uid="{117FBDB2-B219-4C87-88E2-3523F00DB7D3}">
      <text>
        <r>
          <rPr>
            <sz val="9"/>
            <color indexed="81"/>
            <rFont val="Segoe UI"/>
            <family val="2"/>
          </rPr>
          <t>Vorgabe: 4 Akh/ha</t>
        </r>
      </text>
    </comment>
    <comment ref="D19" authorId="0" shapeId="0" xr:uid="{0E71C83C-BB3E-4FCE-AF04-44C91000E8BE}">
      <text>
        <r>
          <rPr>
            <sz val="9"/>
            <color indexed="81"/>
            <rFont val="Segoe UI"/>
            <family val="2"/>
          </rPr>
          <t>Vorgabe: 5 Akh</t>
        </r>
      </text>
    </comment>
    <comment ref="C24" authorId="0" shapeId="0" xr:uid="{9642666F-2CE1-409C-8E9A-467FF28DA67C}">
      <text>
        <r>
          <rPr>
            <sz val="9"/>
            <color indexed="81"/>
            <rFont val="Segoe UI"/>
            <family val="2"/>
          </rPr>
          <t>Optional; möglich ist eine Artenanreicherung oder die Ansaat von Kleemischungen zur Stickstofffixierung</t>
        </r>
      </text>
    </comment>
    <comment ref="D24" authorId="0" shapeId="0" xr:uid="{112E93D0-E4CD-48B8-8B2C-0CFA18430F2B}">
      <text>
        <r>
          <rPr>
            <sz val="9"/>
            <color indexed="81"/>
            <rFont val="Segoe UI"/>
            <family val="2"/>
          </rPr>
          <t>Vorgabe: 5 Akh/ha</t>
        </r>
        <r>
          <rPr>
            <sz val="9"/>
            <color indexed="81"/>
            <rFont val="Segoe UI"/>
            <charset val="1"/>
          </rPr>
          <t xml:space="preserve">
</t>
        </r>
      </text>
    </comment>
    <comment ref="D25" authorId="0" shapeId="0" xr:uid="{25BFE7C7-D2E0-4589-B16C-2DE5AE324A7C}">
      <text>
        <r>
          <rPr>
            <sz val="9"/>
            <color indexed="81"/>
            <rFont val="Segoe UI"/>
            <family val="2"/>
          </rPr>
          <t>Vorgabe: 3 Akh/ha</t>
        </r>
      </text>
    </comment>
    <comment ref="D26" authorId="0" shapeId="0" xr:uid="{3E496ED4-2004-4951-908D-5F0D3A276864}">
      <text>
        <r>
          <rPr>
            <sz val="9"/>
            <color indexed="81"/>
            <rFont val="Segoe UI"/>
            <family val="2"/>
          </rPr>
          <t>Vorgabe: 10 Akh/ha</t>
        </r>
      </text>
    </comment>
    <comment ref="C30" authorId="0" shapeId="0" xr:uid="{BCD25DC3-31BC-400B-8CDB-1B2B3342FDB6}">
      <text>
        <r>
          <rPr>
            <sz val="9"/>
            <color indexed="81"/>
            <rFont val="Segoe UI"/>
            <family val="2"/>
          </rPr>
          <t>Akh, die für die eigene Verarbeitung anfallen. Dazu zählt auch das Waschen von Tafelobst.</t>
        </r>
      </text>
    </comment>
    <comment ref="E30" authorId="0" shapeId="0" xr:uid="{0B1C4954-8475-41E9-89C7-D6DEAE1DD376}">
      <text>
        <r>
          <rPr>
            <sz val="9"/>
            <color indexed="81"/>
            <rFont val="Segoe UI"/>
            <family val="2"/>
          </rPr>
          <t>Akh/Jahr</t>
        </r>
      </text>
    </comment>
    <comment ref="F30" authorId="0" shapeId="0" xr:uid="{6B39F1CA-B71D-48AC-95EC-8BAA888F1BBE}">
      <text>
        <r>
          <rPr>
            <sz val="9"/>
            <color indexed="81"/>
            <rFont val="Segoe UI"/>
            <family val="2"/>
          </rPr>
          <t>Akh/Jahr</t>
        </r>
      </text>
    </comment>
    <comment ref="G30" authorId="0" shapeId="0" xr:uid="{FD311C8C-1A74-449D-B26E-4141CECE95D6}">
      <text>
        <r>
          <rPr>
            <sz val="9"/>
            <color indexed="81"/>
            <rFont val="Segoe UI"/>
            <family val="2"/>
          </rPr>
          <t>Akh/Jahr</t>
        </r>
      </text>
    </comment>
    <comment ref="H30" authorId="0" shapeId="0" xr:uid="{4271CF93-9982-4B12-867D-9FCACDB9CCE2}">
      <text>
        <r>
          <rPr>
            <sz val="9"/>
            <color indexed="81"/>
            <rFont val="Segoe UI"/>
            <family val="2"/>
          </rPr>
          <t>Akh/Jahr</t>
        </r>
      </text>
    </comment>
    <comment ref="I30" authorId="0" shapeId="0" xr:uid="{02570A96-0873-4BE0-BCD6-20A68EC3748E}">
      <text>
        <r>
          <rPr>
            <sz val="9"/>
            <color indexed="81"/>
            <rFont val="Segoe UI"/>
            <family val="2"/>
          </rPr>
          <t>Akh/Jahr</t>
        </r>
      </text>
    </comment>
    <comment ref="C31" authorId="0" shapeId="0" xr:uid="{97A8A99F-E00C-4C4F-8E32-882E87B747E9}">
      <text>
        <r>
          <rPr>
            <sz val="9"/>
            <color indexed="81"/>
            <rFont val="Segoe UI"/>
            <family val="2"/>
          </rPr>
          <t>Akh für Transport/Auslieferung und Lagerhaltung der Tafelware und Produkte</t>
        </r>
      </text>
    </comment>
    <comment ref="E31" authorId="0" shapeId="0" xr:uid="{90C28631-4518-4376-97D0-242C2AA46F1D}">
      <text>
        <r>
          <rPr>
            <sz val="9"/>
            <color indexed="81"/>
            <rFont val="Segoe UI"/>
            <family val="2"/>
          </rPr>
          <t>Akh/Jahr</t>
        </r>
      </text>
    </comment>
    <comment ref="F31" authorId="0" shapeId="0" xr:uid="{117762BB-2C3B-4001-B9C3-9DC18E5C9EB5}">
      <text>
        <r>
          <rPr>
            <sz val="9"/>
            <color indexed="81"/>
            <rFont val="Segoe UI"/>
            <family val="2"/>
          </rPr>
          <t>Akh/Jahr</t>
        </r>
      </text>
    </comment>
    <comment ref="G31" authorId="0" shapeId="0" xr:uid="{5F61CF78-D7A7-4BB0-86B0-80C83091DF42}">
      <text>
        <r>
          <rPr>
            <sz val="9"/>
            <color indexed="81"/>
            <rFont val="Segoe UI"/>
            <family val="2"/>
          </rPr>
          <t>Akh/Jahr</t>
        </r>
      </text>
    </comment>
    <comment ref="H31" authorId="0" shapeId="0" xr:uid="{01D1A963-6E4B-4A91-B4C9-671632F196DD}">
      <text>
        <r>
          <rPr>
            <sz val="9"/>
            <color indexed="81"/>
            <rFont val="Segoe UI"/>
            <family val="2"/>
          </rPr>
          <t>Akh/Jahr</t>
        </r>
      </text>
    </comment>
    <comment ref="I31" authorId="0" shapeId="0" xr:uid="{361B32FB-3629-464A-9433-1E401AF4C9F7}">
      <text>
        <r>
          <rPr>
            <sz val="9"/>
            <color indexed="81"/>
            <rFont val="Segoe UI"/>
            <family val="2"/>
          </rPr>
          <t>Akh/Jahr</t>
        </r>
      </text>
    </comment>
    <comment ref="C32" authorId="0" shapeId="0" xr:uid="{F7B6C6E6-C13F-4676-984B-D0694363AEB9}">
      <text>
        <r>
          <rPr>
            <sz val="9"/>
            <color indexed="81"/>
            <rFont val="Segoe UI"/>
            <family val="2"/>
          </rPr>
          <t>Akh für die Betreuung des Hofladens/Marktstands, Verkaufsgespräche mit Handel, Betreuung Onlineshop</t>
        </r>
      </text>
    </comment>
    <comment ref="E32" authorId="0" shapeId="0" xr:uid="{1145807F-D9BA-4EA4-A55D-B722EC9239B2}">
      <text>
        <r>
          <rPr>
            <sz val="9"/>
            <color indexed="81"/>
            <rFont val="Segoe UI"/>
            <family val="2"/>
          </rPr>
          <t>Akh/Jahr</t>
        </r>
      </text>
    </comment>
    <comment ref="F32" authorId="0" shapeId="0" xr:uid="{9EFD4415-9665-4D81-9DF8-253765351F45}">
      <text>
        <r>
          <rPr>
            <sz val="9"/>
            <color indexed="81"/>
            <rFont val="Segoe UI"/>
            <family val="2"/>
          </rPr>
          <t>Akh/Jahr</t>
        </r>
      </text>
    </comment>
    <comment ref="G32" authorId="0" shapeId="0" xr:uid="{279D6AFC-2CC2-4978-97AB-7C804B7E724A}">
      <text>
        <r>
          <rPr>
            <sz val="9"/>
            <color indexed="81"/>
            <rFont val="Segoe UI"/>
            <family val="2"/>
          </rPr>
          <t>Akh/Jahr</t>
        </r>
      </text>
    </comment>
    <comment ref="H32" authorId="0" shapeId="0" xr:uid="{2C85EABC-0BD3-4056-8169-052D1288615B}">
      <text>
        <r>
          <rPr>
            <sz val="9"/>
            <color indexed="81"/>
            <rFont val="Segoe UI"/>
            <family val="2"/>
          </rPr>
          <t>Akh/Jahr</t>
        </r>
      </text>
    </comment>
    <comment ref="I32" authorId="0" shapeId="0" xr:uid="{D7717E05-7765-4E0B-9DDD-460D689340EB}">
      <text>
        <r>
          <rPr>
            <sz val="9"/>
            <color indexed="81"/>
            <rFont val="Segoe UI"/>
            <family val="2"/>
          </rPr>
          <t>Akh/Jahr</t>
        </r>
      </text>
    </comment>
    <comment ref="E33" authorId="0" shapeId="0" xr:uid="{872EBED2-1E13-429F-B015-1A84DD3FAC32}">
      <text>
        <r>
          <rPr>
            <sz val="9"/>
            <color indexed="81"/>
            <rFont val="Segoe UI"/>
            <family val="2"/>
          </rPr>
          <t>Akh/Jahr</t>
        </r>
      </text>
    </comment>
    <comment ref="F33" authorId="0" shapeId="0" xr:uid="{2775315D-F555-4C3E-9988-4F15C5C4689E}">
      <text>
        <r>
          <rPr>
            <sz val="9"/>
            <color indexed="81"/>
            <rFont val="Segoe UI"/>
            <family val="2"/>
          </rPr>
          <t>Akh/Jahr</t>
        </r>
      </text>
    </comment>
    <comment ref="G33" authorId="0" shapeId="0" xr:uid="{BA3D3631-76CA-4D9A-B8B2-023B0D885372}">
      <text>
        <r>
          <rPr>
            <sz val="9"/>
            <color indexed="81"/>
            <rFont val="Segoe UI"/>
            <family val="2"/>
          </rPr>
          <t>Akh/Jahr</t>
        </r>
      </text>
    </comment>
    <comment ref="H33" authorId="0" shapeId="0" xr:uid="{CF17C196-2727-4051-B2D8-5D55FBAAFCAD}">
      <text>
        <r>
          <rPr>
            <sz val="9"/>
            <color indexed="81"/>
            <rFont val="Segoe UI"/>
            <family val="2"/>
          </rPr>
          <t>Akh/Jahr</t>
        </r>
      </text>
    </comment>
    <comment ref="I33" authorId="0" shapeId="0" xr:uid="{238FCECF-5F6E-46E6-96BF-551EF614048A}">
      <text>
        <r>
          <rPr>
            <sz val="9"/>
            <color indexed="81"/>
            <rFont val="Segoe UI"/>
            <family val="2"/>
          </rPr>
          <t>Akh/Jahr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5" authorId="0" shapeId="0" xr:uid="{A56911AA-42D0-4B51-A6D3-61D98980C0BA}">
      <text>
        <r>
          <rPr>
            <sz val="9"/>
            <color indexed="81"/>
            <rFont val="Segoe UI"/>
            <family val="2"/>
          </rPr>
          <t>Wenn das Pflanzgut gefördert und nicht selbst bei der Baumschule beschafft wird, hier den geförderten Betrag eingeben.</t>
        </r>
      </text>
    </comment>
    <comment ref="C5" authorId="0" shapeId="0" xr:uid="{FF856C8A-D0FA-43B8-8E34-7B909BB44749}">
      <text>
        <r>
          <rPr>
            <sz val="9"/>
            <color indexed="81"/>
            <rFont val="Segoe UI"/>
            <family val="2"/>
          </rPr>
          <t>Vorgabe: 45 €/Baum</t>
        </r>
      </text>
    </comment>
    <comment ref="B6" authorId="0" shapeId="0" xr:uid="{E216DA6C-85B2-4BA7-9D7B-CF366D0F78D3}">
      <text>
        <r>
          <rPr>
            <sz val="9"/>
            <color indexed="81"/>
            <rFont val="Segoe UI"/>
            <family val="2"/>
          </rPr>
          <t>Hartholzpfahl und Plastikschutz</t>
        </r>
      </text>
    </comment>
    <comment ref="C6" authorId="0" shapeId="0" xr:uid="{01D7C137-84A0-4D47-AF1D-799A218DA36B}">
      <text>
        <r>
          <rPr>
            <sz val="9"/>
            <color indexed="81"/>
            <rFont val="Segoe UI"/>
            <family val="2"/>
          </rPr>
          <t>Vorgabe: 13 €/Baum</t>
        </r>
      </text>
    </comment>
    <comment ref="B7" authorId="0" shapeId="0" xr:uid="{3EBDF394-45B1-4DEB-9194-AD5AA43D0107}">
      <text>
        <r>
          <rPr>
            <sz val="9"/>
            <color indexed="81"/>
            <rFont val="Segoe UI"/>
            <family val="2"/>
          </rPr>
          <t>Wühlmausfallen,… ; bei Einsatz von Pflanzenschutzmitteln fallen höhere Kosten an</t>
        </r>
      </text>
    </comment>
    <comment ref="C7" authorId="0" shapeId="0" xr:uid="{D65F8067-E98B-4FA3-A534-A6AC85A32218}">
      <text>
        <r>
          <rPr>
            <sz val="9"/>
            <color indexed="81"/>
            <rFont val="Segoe UI"/>
            <family val="2"/>
          </rPr>
          <t xml:space="preserve">Vorgabe: 0,5 €/Baum
</t>
        </r>
      </text>
    </comment>
    <comment ref="B8" authorId="0" shapeId="0" xr:uid="{F5E11313-38E3-4AD9-B1B5-FC9C7111011C}">
      <text>
        <r>
          <rPr>
            <sz val="9"/>
            <color indexed="81"/>
            <rFont val="Segoe UI"/>
            <family val="2"/>
          </rPr>
          <t>z.B. Kompost, Festmist</t>
        </r>
      </text>
    </comment>
    <comment ref="C8" authorId="0" shapeId="0" xr:uid="{E1C25DB4-FBCB-4E65-9038-82883D284378}">
      <text>
        <r>
          <rPr>
            <sz val="9"/>
            <color indexed="81"/>
            <rFont val="Segoe UI"/>
            <family val="2"/>
          </rPr>
          <t>Vorgabe: 0,5 €/Baum</t>
        </r>
      </text>
    </comment>
    <comment ref="B9" authorId="0" shapeId="0" xr:uid="{54CD5ABB-2D84-4184-BFAD-1CACAC26FBCB}">
      <text>
        <r>
          <rPr>
            <sz val="9"/>
            <color indexed="81"/>
            <rFont val="Segoe UI"/>
            <family val="2"/>
          </rPr>
          <t xml:space="preserve">Ernte, Düngung
</t>
        </r>
      </text>
    </comment>
    <comment ref="C9" authorId="0" shapeId="0" xr:uid="{9946D972-07D2-477D-B263-9CFC0ABCE340}">
      <text>
        <r>
          <rPr>
            <sz val="9"/>
            <color indexed="81"/>
            <rFont val="Segoe UI"/>
            <family val="2"/>
          </rPr>
          <t>Vorgabe: 10 €/h für die Arbeiten mit Einsatz von Kleingeräten</t>
        </r>
      </text>
    </comment>
    <comment ref="B10" authorId="0" shapeId="0" xr:uid="{63221216-62E6-4D5E-A942-03942F5B5390}">
      <text>
        <r>
          <rPr>
            <sz val="9"/>
            <color indexed="81"/>
            <rFont val="Segoe UI"/>
            <family val="2"/>
          </rPr>
          <t>Baumstreifenpflege, Transport</t>
        </r>
      </text>
    </comment>
    <comment ref="C10" authorId="0" shapeId="0" xr:uid="{1F21A44F-0516-4A1C-8751-1058D22FB44D}">
      <text>
        <r>
          <rPr>
            <sz val="9"/>
            <color indexed="81"/>
            <rFont val="Segoe UI"/>
            <family val="2"/>
          </rPr>
          <t>Vorgabe: 40 €/h für die Arbeiten mit Einsatz von Großgeräten</t>
        </r>
      </text>
    </comment>
    <comment ref="B11" authorId="0" shapeId="0" xr:uid="{4D9CE6E5-B0D0-4BBB-AAE6-8A106A4C1E73}">
      <text>
        <r>
          <rPr>
            <sz val="9"/>
            <color indexed="81"/>
            <rFont val="Segoe UI"/>
            <family val="2"/>
          </rPr>
          <t>alle 10 Jahre entnehmen und untersuchen lassen</t>
        </r>
      </text>
    </comment>
    <comment ref="C11" authorId="0" shapeId="0" xr:uid="{60504482-DCF4-417B-B286-E73E6637CA1C}">
      <text>
        <r>
          <rPr>
            <sz val="9"/>
            <color indexed="81"/>
            <rFont val="Segoe UI"/>
            <family val="2"/>
          </rPr>
          <t>Vorgabe: 20 €/ha</t>
        </r>
      </text>
    </comment>
    <comment ref="B12" authorId="0" shapeId="0" xr:uid="{BA028591-73F0-4689-A212-E66933D0D6AB}">
      <text>
        <r>
          <rPr>
            <sz val="9"/>
            <color indexed="81"/>
            <rFont val="Segoe UI"/>
            <family val="2"/>
          </rPr>
          <t>z.B. Hagelversicherung</t>
        </r>
      </text>
    </comment>
    <comment ref="B13" authorId="0" shapeId="0" xr:uid="{526DA791-BB6E-4A4A-92FA-B1A99B097433}">
      <text>
        <r>
          <rPr>
            <sz val="9"/>
            <color indexed="81"/>
            <rFont val="Segoe UI"/>
            <family val="2"/>
          </rPr>
          <t>Bio-Zertifizierung; je nach Kontrollstelle unterschiedlich, bei erstmaliger Zertifizierung des Betriebs/der Fläche fallen i.d.R. zusätzliche Kosten an</t>
        </r>
      </text>
    </comment>
    <comment ref="B14" authorId="0" shapeId="0" xr:uid="{F4C63E29-D4AD-4359-B93D-0FC24F4C1031}">
      <text>
        <r>
          <rPr>
            <sz val="9"/>
            <color indexed="81"/>
            <rFont val="Segoe UI"/>
            <family val="2"/>
          </rPr>
          <t>z.B. Werkzeuge und Verbrauchsmaterial</t>
        </r>
      </text>
    </comment>
    <comment ref="B19" authorId="0" shapeId="0" xr:uid="{72ABC8F2-04C6-4AA3-B378-113FBCE4D64A}">
      <text>
        <r>
          <rPr>
            <sz val="9"/>
            <color indexed="81"/>
            <rFont val="Segoe UI"/>
            <family val="2"/>
          </rPr>
          <t>Optional; möglich ist eine Artenanreicherung oder die Ansaat von Kleemischungen zur Stickstofffixierung</t>
        </r>
      </text>
    </comment>
    <comment ref="C19" authorId="0" shapeId="0" xr:uid="{E53B59B2-99F7-49BD-860F-843D4F953D83}">
      <text>
        <r>
          <rPr>
            <sz val="9"/>
            <color indexed="81"/>
            <rFont val="Segoe UI"/>
            <family val="2"/>
          </rPr>
          <t>Vorgabe: 420 €/ha</t>
        </r>
      </text>
    </comment>
    <comment ref="C20" authorId="0" shapeId="0" xr:uid="{02D5346B-F143-4FA4-8700-B61CEDF145BD}">
      <text>
        <r>
          <rPr>
            <sz val="9"/>
            <color indexed="81"/>
            <rFont val="Segoe UI"/>
            <family val="2"/>
          </rPr>
          <t>Vorgabe: 50 €/h für die Arbeiten mit Einsatz von Schlepper und Arbeitsgerät</t>
        </r>
        <r>
          <rPr>
            <sz val="9"/>
            <color indexed="81"/>
            <rFont val="Segoe UI"/>
            <charset val="1"/>
          </rPr>
          <t xml:space="preserve">
</t>
        </r>
      </text>
    </comment>
    <comment ref="B25" authorId="0" shapeId="0" xr:uid="{BEB4CACE-F06D-4A32-8304-ABA5C6DFD16A}">
      <text>
        <r>
          <rPr>
            <sz val="9"/>
            <color indexed="81"/>
            <rFont val="Segoe UI"/>
            <family val="2"/>
          </rPr>
          <t>Entweder nach Maschinenstundensatz oder jährlicher Abschreibungsbetrag</t>
        </r>
      </text>
    </comment>
    <comment ref="B26" authorId="0" shapeId="0" xr:uid="{46C74C53-E0DF-462C-84FE-D04D891CF934}">
      <text>
        <r>
          <rPr>
            <sz val="9"/>
            <color indexed="81"/>
            <rFont val="Segoe UI"/>
            <family val="2"/>
          </rPr>
          <t>Raum, Kühlung, Kisten, ...</t>
        </r>
      </text>
    </comment>
    <comment ref="B27" authorId="0" shapeId="0" xr:uid="{57002C21-1ADC-40CD-8822-3FF67B4B4385}">
      <text>
        <r>
          <rPr>
            <sz val="9"/>
            <color indexed="81"/>
            <rFont val="Segoe UI"/>
            <family val="2"/>
          </rPr>
          <t>Fahrzeug und Treibstoff</t>
        </r>
      </text>
    </comment>
    <comment ref="B35" authorId="0" shapeId="0" xr:uid="{54B163E7-F8A5-4970-BDA8-60AEADF14C32}">
      <text>
        <r>
          <rPr>
            <sz val="9"/>
            <color indexed="81"/>
            <rFont val="Segoe UI"/>
            <family val="2"/>
          </rPr>
          <t>25 Jahre Abschreibungsdauer entsprechen 4 % lin. AfA</t>
        </r>
      </text>
    </comment>
    <comment ref="B37" authorId="0" shapeId="0" xr:uid="{EEF419EF-AF77-4D20-A8CA-B129BDA57CE0}">
      <text>
        <r>
          <rPr>
            <sz val="9"/>
            <color indexed="81"/>
            <rFont val="Segoe UI"/>
            <family val="2"/>
          </rPr>
          <t xml:space="preserve">Hier wird durch 40 Jahre geteilt und nicht der in Übersicht C18 angegeben Wert verwendet, da das Ergebnis der DB-Rechnung den Schnitt über die Ertragsphase abbildet.
Die in Übersicht C18 angegebene Abschreibungsdauer wird für die Berechnung der (kalkulatorischen) Zinsen verwendet.
</t>
        </r>
      </text>
    </comment>
    <comment ref="B39" authorId="0" shapeId="0" xr:uid="{07058B3E-9585-423A-99AD-32F545CCBB95}">
      <text>
        <r>
          <rPr>
            <sz val="9"/>
            <color indexed="81"/>
            <rFont val="Segoe UI"/>
            <family val="2"/>
          </rPr>
          <t>Grundstücke werden nicht abgeschrieben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4" authorId="0" shapeId="0" xr:uid="{12A30E50-1F30-4AE1-B54D-686CAD098D78}">
      <text>
        <r>
          <rPr>
            <sz val="9"/>
            <color indexed="81"/>
            <rFont val="Segoe UI"/>
            <family val="2"/>
          </rPr>
          <t>Förderwegweiser StMELF: https://www.stmelf.bayern.de/foerderung/foerderung-von-agrarumweltmassnahmen-in-bayern/index.html
Förderübersicht LfL:
https://www.lfl.bayern.de/iab/kulturlandschaft/030830/index.php</t>
        </r>
      </text>
    </comment>
    <comment ref="C9" authorId="0" shapeId="0" xr:uid="{8D60569B-AB51-4D75-B06E-A316122F8D54}">
      <text>
        <r>
          <rPr>
            <sz val="9"/>
            <color indexed="81"/>
            <rFont val="Segoe UI"/>
            <family val="2"/>
          </rPr>
          <t>Bei Bedarf Fördersatz anpassen. GAP-Rechner der LfL: https://www.lfl.bayern.de/mam/cms07/iba/dateien/gap_rechner_lfl_bayern.xlsx</t>
        </r>
      </text>
    </comment>
    <comment ref="C10" authorId="0" shapeId="0" xr:uid="{8006A250-CFDC-42B5-99C4-D3A7C3C70194}">
      <text>
        <r>
          <rPr>
            <sz val="9"/>
            <color indexed="81"/>
            <rFont val="Segoe UI"/>
            <family val="2"/>
          </rPr>
          <t>Bei Bedarf Fördersatz anpassen. GAP-Rechner der LfL: https://www.lfl.bayern.de/mam/cms07/iba/dateien/gap_rechner_lfl_bayern.xlsx</t>
        </r>
      </text>
    </comment>
    <comment ref="C11" authorId="0" shapeId="0" xr:uid="{E58363E9-2E47-448F-871A-E18E9C897E42}">
      <text>
        <r>
          <rPr>
            <sz val="9"/>
            <color indexed="81"/>
            <rFont val="Segoe UI"/>
            <family val="2"/>
          </rPr>
          <t xml:space="preserve">Je nach in Anspruch genommener ÖR-Maßnahmen anpassen.  GAP-Rechner der LfL: https://www.lfl.bayern.de/mam/cms07/iba/dateien/gap_rechner_lfl_bayern.xlsx
</t>
        </r>
      </text>
    </comment>
    <comment ref="C15" authorId="0" shapeId="0" xr:uid="{F5B79FC1-D74B-4A2A-96A6-897FB8526651}">
      <text>
        <r>
          <rPr>
            <sz val="9"/>
            <color indexed="81"/>
            <rFont val="Segoe UI"/>
            <family val="2"/>
          </rPr>
          <t>z.B. Schnittzeitpunkt der Wiese</t>
        </r>
      </text>
    </comment>
    <comment ref="C19" authorId="0" shapeId="0" xr:uid="{1D43FEC8-BDD5-4E3B-8B15-A0AF52254E31}">
      <text>
        <r>
          <rPr>
            <sz val="9"/>
            <color indexed="81"/>
            <rFont val="Segoe UI"/>
            <family val="2"/>
          </rPr>
          <t xml:space="preserve">z.B. Schnittzeitpunkt, Beweidung,...
</t>
        </r>
      </text>
    </comment>
    <comment ref="C22" authorId="0" shapeId="0" xr:uid="{25F7E3DE-5C3D-42AB-9233-63A1CCA2315A}">
      <text>
        <r>
          <rPr>
            <sz val="9"/>
            <color indexed="81"/>
            <rFont val="Segoe UI"/>
            <family val="2"/>
          </rPr>
          <t>Einmalzahlung für die Neuanlage</t>
        </r>
      </text>
    </comment>
    <comment ref="C23" authorId="0" shapeId="0" xr:uid="{FC668A15-3501-4D89-A5CC-D4BE73282BF6}">
      <text>
        <r>
          <rPr>
            <sz val="9"/>
            <color indexed="81"/>
            <rFont val="Segoe UI"/>
            <family val="2"/>
          </rPr>
          <t>Einmalzahlung, die über 50 Standjahre verteilt wird</t>
        </r>
      </text>
    </comment>
    <comment ref="C25" authorId="0" shapeId="0" xr:uid="{A9BA774C-E6A8-48CA-AF71-5D465867EA40}">
      <text>
        <r>
          <rPr>
            <sz val="9"/>
            <color indexed="81"/>
            <rFont val="Segoe UI"/>
            <family val="2"/>
          </rPr>
          <t>Einmalzahlung, die über 50 Standjahre verteilt wird</t>
        </r>
      </text>
    </comment>
    <comment ref="C26" authorId="0" shapeId="0" xr:uid="{F5457D47-313B-4918-B030-2F3A9A4F57FD}">
      <text>
        <r>
          <rPr>
            <sz val="9"/>
            <color indexed="81"/>
            <rFont val="Segoe UI"/>
            <family val="2"/>
          </rPr>
          <t>Einmalzahlung, die über 50 Standjahre verteilt wird</t>
        </r>
      </text>
    </comment>
    <comment ref="E28" authorId="0" shapeId="0" xr:uid="{68C1C6E1-6CB4-4668-83E3-778EEB3FB02E}">
      <text>
        <r>
          <rPr>
            <sz val="9"/>
            <color indexed="81"/>
            <rFont val="Segoe UI"/>
            <family val="2"/>
          </rPr>
          <t>ggf. Summe auf €/Baum 
umrechnen</t>
        </r>
      </text>
    </comment>
    <comment ref="E29" authorId="0" shapeId="0" xr:uid="{CA2CA997-AADE-4F2B-ABBB-460BE0E7A7AC}">
      <text>
        <r>
          <rPr>
            <sz val="9"/>
            <color indexed="81"/>
            <rFont val="Segoe UI"/>
            <family val="2"/>
          </rPr>
          <t>Summe auf €/Baum/Jahr umrechnen</t>
        </r>
      </text>
    </comment>
    <comment ref="C30" authorId="0" shapeId="0" xr:uid="{A8A8A2B6-7E56-4531-80F0-CD0436832CB9}">
      <text>
        <r>
          <rPr>
            <sz val="9"/>
            <color indexed="81"/>
            <rFont val="Segoe UI"/>
            <family val="2"/>
          </rPr>
          <t>Einmalzahlung, die über 50 Standjahre verteilt wird</t>
        </r>
      </text>
    </comment>
  </commentList>
</comments>
</file>

<file path=xl/sharedStrings.xml><?xml version="1.0" encoding="utf-8"?>
<sst xmlns="http://schemas.openxmlformats.org/spreadsheetml/2006/main" count="385" uniqueCount="271">
  <si>
    <t>Bodenprobe</t>
  </si>
  <si>
    <t>+ Förderung</t>
  </si>
  <si>
    <t>- Löhne und Sozialversicherung</t>
  </si>
  <si>
    <t>- Pachtaufwand</t>
  </si>
  <si>
    <t>ha</t>
  </si>
  <si>
    <t>%</t>
  </si>
  <si>
    <t>€/Akh</t>
  </si>
  <si>
    <t>€</t>
  </si>
  <si>
    <t>Ertrag</t>
  </si>
  <si>
    <t>dt</t>
  </si>
  <si>
    <t>Preise</t>
  </si>
  <si>
    <t>6.-10. Jahr</t>
  </si>
  <si>
    <t>11.-20. Jahr</t>
  </si>
  <si>
    <t>21.-50. Jahr</t>
  </si>
  <si>
    <t>kg/Baum</t>
  </si>
  <si>
    <t>Gesamtfläche</t>
  </si>
  <si>
    <t>Bäume</t>
  </si>
  <si>
    <t>Bäume/ha</t>
  </si>
  <si>
    <t>Stk/ha</t>
  </si>
  <si>
    <t>Stk</t>
  </si>
  <si>
    <t>1.-5. Jahr</t>
  </si>
  <si>
    <t>Bewässern</t>
  </si>
  <si>
    <t>Düngung</t>
  </si>
  <si>
    <t>Sonstiges</t>
  </si>
  <si>
    <t>Neuanlage</t>
  </si>
  <si>
    <t>Baumstreifenbearbeitung</t>
  </si>
  <si>
    <t>Einsaat</t>
  </si>
  <si>
    <t>Schnitt</t>
  </si>
  <si>
    <t>Planung/Organisation</t>
  </si>
  <si>
    <t>Streuobstbestand</t>
  </si>
  <si>
    <t>Unternutzung</t>
  </si>
  <si>
    <t xml:space="preserve">Pflanzung </t>
  </si>
  <si>
    <t>Akh</t>
  </si>
  <si>
    <t>Summe</t>
  </si>
  <si>
    <t>Förderung</t>
  </si>
  <si>
    <t>Streuobst für Alle Pflanzung</t>
  </si>
  <si>
    <t>Baumschutz und Binden</t>
  </si>
  <si>
    <t>Material- und Maschinenkosten</t>
  </si>
  <si>
    <t>Pflanzgut</t>
  </si>
  <si>
    <t>Pfahl und Schutz</t>
  </si>
  <si>
    <t>Bodenanalyse</t>
  </si>
  <si>
    <t>Weiterbildung</t>
  </si>
  <si>
    <t>Deckungsbeitrag Streuobstanbau</t>
  </si>
  <si>
    <t>Stundenlohn Familie</t>
  </si>
  <si>
    <t>Arbeitsstunden Angestellte</t>
  </si>
  <si>
    <t>€/Jahr</t>
  </si>
  <si>
    <t>- AfA Bestand</t>
  </si>
  <si>
    <t>- var. Material-/Maschinenkosten</t>
  </si>
  <si>
    <t>Deckungsbeitrag 1</t>
  </si>
  <si>
    <t>Deckungsbeitrag 2</t>
  </si>
  <si>
    <t>Betriebsdaten</t>
  </si>
  <si>
    <t>Bäume 1.-5. Standjahr</t>
  </si>
  <si>
    <t>Bäume 6.-10. Standjahr</t>
  </si>
  <si>
    <t>Bäume 11.-20. Standjahr</t>
  </si>
  <si>
    <t>Bäume 21.-50. Standjahr</t>
  </si>
  <si>
    <t>ja</t>
  </si>
  <si>
    <t>Bio-Anlage</t>
  </si>
  <si>
    <t>Neupflanzung</t>
  </si>
  <si>
    <t>KULAP K78 Erschwerte Unternutzung</t>
  </si>
  <si>
    <t>VNP Q07/G28 Erhalt der Streuobstbäume</t>
  </si>
  <si>
    <t>VNP Sonstiges</t>
  </si>
  <si>
    <t>KULAP Sonstiges</t>
  </si>
  <si>
    <t>GAP Säule I Einkommensgrundstützung</t>
  </si>
  <si>
    <t>GAP Säule I Umverteilung</t>
  </si>
  <si>
    <t>GAP Säule I ÖR-Maßnahmen</t>
  </si>
  <si>
    <t>KULAP I84 Einrichtung Agroforst</t>
  </si>
  <si>
    <t>Pflanzenschutz</t>
  </si>
  <si>
    <t>Saatgut</t>
  </si>
  <si>
    <t>Mulchen 2x</t>
  </si>
  <si>
    <t>Mahd 2x</t>
  </si>
  <si>
    <t>anteilig Altersstruktur</t>
  </si>
  <si>
    <t>Akh aktuelle Altersstruktur</t>
  </si>
  <si>
    <t>€ aktuelle Altersstruktur</t>
  </si>
  <si>
    <t>Momentaufnahme aktuelle Altersstruktur</t>
  </si>
  <si>
    <t>- Akh-Aufwand Familie</t>
  </si>
  <si>
    <t>nein</t>
  </si>
  <si>
    <t>Arbeitsertrag nicht entlohnte Familien-AK ohne Förderung</t>
  </si>
  <si>
    <t>Arbeitsertrag nicht entlohnte Familien-AK mit Förderung</t>
  </si>
  <si>
    <t xml:space="preserve">Anteil Tafelware </t>
  </si>
  <si>
    <t>Ertrag je Baum</t>
  </si>
  <si>
    <t>Erträge</t>
  </si>
  <si>
    <t xml:space="preserve">Erlös Tafelware </t>
  </si>
  <si>
    <t xml:space="preserve">Erlös Mostware </t>
  </si>
  <si>
    <t>Ertrag Heu</t>
  </si>
  <si>
    <t>Erlös Heu</t>
  </si>
  <si>
    <t xml:space="preserve">Obst Gesamt </t>
  </si>
  <si>
    <t xml:space="preserve">Unternutzung Gesamt </t>
  </si>
  <si>
    <t>Gesamt</t>
  </si>
  <si>
    <t>Laufzeit Jahre</t>
  </si>
  <si>
    <t>Deckungsbeitrag</t>
  </si>
  <si>
    <t>Kennzahlen</t>
  </si>
  <si>
    <t>anteilig Alterstruktur</t>
  </si>
  <si>
    <t>GAP Säule I</t>
  </si>
  <si>
    <t>VNP</t>
  </si>
  <si>
    <t>KULAP</t>
  </si>
  <si>
    <t>Erträge und Erlöse</t>
  </si>
  <si>
    <t>grüne Felder mit Betriebsdaten ausfüllen</t>
  </si>
  <si>
    <t>-</t>
  </si>
  <si>
    <t>Tafelware</t>
  </si>
  <si>
    <t>Mostware</t>
  </si>
  <si>
    <t xml:space="preserve">Bio Tafelware </t>
  </si>
  <si>
    <t>Bio Mostware</t>
  </si>
  <si>
    <t>Heu</t>
  </si>
  <si>
    <t>€/dt</t>
  </si>
  <si>
    <t xml:space="preserve">Tafelware konv. </t>
  </si>
  <si>
    <t xml:space="preserve">Mostware konv. </t>
  </si>
  <si>
    <t>Mostware Bio</t>
  </si>
  <si>
    <t xml:space="preserve">Tafelware Bio </t>
  </si>
  <si>
    <t xml:space="preserve">Maschinenkosten </t>
  </si>
  <si>
    <t>Maschinenkosten Kleingeräte</t>
  </si>
  <si>
    <t>Maschinenkosten Großgeräte</t>
  </si>
  <si>
    <t>Förderung gesamt</t>
  </si>
  <si>
    <t>O10 Beibehaltung Öko Grünland</t>
  </si>
  <si>
    <t>Betrachtung der Erträge für Gesamtbaumzahl und Gesamtfläche (Übersicht C5, C4)</t>
  </si>
  <si>
    <t>Betrachtung der Fördersumme Gesamtfläche und Gesamtanzahl Bäume, Übersicht C4, C5</t>
  </si>
  <si>
    <t>Betrachtung der Zeit. Berechnung mit Bäume C5 und ha C4</t>
  </si>
  <si>
    <t>Akh je Baum, dt</t>
  </si>
  <si>
    <t>Arbeitsstunden (Akh) Streuobstfläche</t>
  </si>
  <si>
    <r>
      <t xml:space="preserve">Ernte Tafelware                             </t>
    </r>
    <r>
      <rPr>
        <i/>
        <sz val="11"/>
        <color theme="1"/>
        <rFont val="Calibri"/>
        <family val="2"/>
        <scheme val="minor"/>
      </rPr>
      <t>je dt</t>
    </r>
  </si>
  <si>
    <t>Streuobstbestand Akh</t>
  </si>
  <si>
    <t>Unternutzung Akh</t>
  </si>
  <si>
    <t>Betrachtung der Kosten, Berechnung mit Bäumen und ha (Übersicht C5, C4)</t>
  </si>
  <si>
    <t>Streuobst €</t>
  </si>
  <si>
    <t>Unternutzung €</t>
  </si>
  <si>
    <t>Grünland Wiese</t>
  </si>
  <si>
    <t>Achtung, die Baumanzahl passt nicht zur Gesamtbaumzahl C5</t>
  </si>
  <si>
    <t>Hinweise zur Nutzung</t>
  </si>
  <si>
    <t>Nutzungsvereinbarung</t>
  </si>
  <si>
    <t>Dateneingabe</t>
  </si>
  <si>
    <t>orangene Felder sind mit Standardwerten ausgefüllt und können bei Bedarf angepasst werden</t>
  </si>
  <si>
    <t>Übersicht</t>
  </si>
  <si>
    <t>Arbeitszeit</t>
  </si>
  <si>
    <t>Kosten</t>
  </si>
  <si>
    <t>grüne Felder mit Betriebsdaten ausfüllen, teilweise sind Standardwerte vorgegeben</t>
  </si>
  <si>
    <t>Kalkulationshilfe Streuobst (Apfel)</t>
  </si>
  <si>
    <t>Erweiterungen der Kalkulationshilfe zu Obstarten, Verarbeitung und Unternutzung folgen.</t>
  </si>
  <si>
    <t>€ je Baum, ha, Stk, h</t>
  </si>
  <si>
    <t>Versicherung</t>
  </si>
  <si>
    <t>Zertifizierung</t>
  </si>
  <si>
    <t>€/Jahr pro ha bzw. Baum</t>
  </si>
  <si>
    <t>Aufbau der Kalkulationshilfe</t>
  </si>
  <si>
    <t>weiße, blaue und graue Felder sind Berechnungen und können nicht verändert werden</t>
  </si>
  <si>
    <t>-  erfasst aktuelle (Netto-) Preise für erzeugte Ware (aktuell nur Apfel)
-  berechnet Erlöse aus Obst und Unternutzung</t>
  </si>
  <si>
    <r>
      <t xml:space="preserve">-  händische/maschinelle Ernte wählen
-  Unternutzung wählen
-  Spalte </t>
    </r>
    <r>
      <rPr>
        <i/>
        <sz val="11"/>
        <color theme="1"/>
        <rFont val="Calibri"/>
        <family val="2"/>
        <scheme val="minor"/>
      </rPr>
      <t xml:space="preserve">"Akh je Baum, dt" </t>
    </r>
    <r>
      <rPr>
        <sz val="11"/>
        <color theme="1"/>
        <rFont val="Calibri"/>
        <family val="2"/>
        <scheme val="minor"/>
      </rPr>
      <t>enthält Standardwerte, kann jedoch betriebsspezifisch angepasst werden. 
   Die Werte werden je nach Standperiode mit Faktoren verrechnet.</t>
    </r>
  </si>
  <si>
    <r>
      <t xml:space="preserve">Ernte Mostware händisch            </t>
    </r>
    <r>
      <rPr>
        <i/>
        <sz val="11"/>
        <color theme="1"/>
        <rFont val="Calibri"/>
        <family val="2"/>
        <scheme val="minor"/>
      </rPr>
      <t>je dt</t>
    </r>
  </si>
  <si>
    <r>
      <t xml:space="preserve">Ernte Mostware maschinell         </t>
    </r>
    <r>
      <rPr>
        <i/>
        <sz val="11"/>
        <color theme="1"/>
        <rFont val="Calibri"/>
        <family val="2"/>
        <scheme val="minor"/>
      </rPr>
      <t>je dt</t>
    </r>
  </si>
  <si>
    <r>
      <t xml:space="preserve">Transport                                         </t>
    </r>
    <r>
      <rPr>
        <i/>
        <sz val="11"/>
        <color theme="1"/>
        <rFont val="Calibri"/>
        <family val="2"/>
        <scheme val="minor"/>
      </rPr>
      <t>je dt</t>
    </r>
  </si>
  <si>
    <r>
      <t xml:space="preserve">ökologische Aufwertung         </t>
    </r>
    <r>
      <rPr>
        <i/>
        <sz val="11"/>
        <color theme="1"/>
        <rFont val="Calibri"/>
        <family val="2"/>
        <scheme val="minor"/>
      </rPr>
      <t xml:space="preserve">      je ha </t>
    </r>
    <r>
      <rPr>
        <sz val="11"/>
        <color theme="1"/>
        <rFont val="Calibri"/>
        <family val="2"/>
        <scheme val="minor"/>
      </rPr>
      <t xml:space="preserve"> </t>
    </r>
  </si>
  <si>
    <t>AfA Bestand ohne Förderung</t>
  </si>
  <si>
    <t xml:space="preserve">- </t>
  </si>
  <si>
    <t>Hinweise</t>
  </si>
  <si>
    <t>Hinweise zu einzelnen Feldern lassen sich an einem roten Dreieck in der oberen rechten Ecke erkennen. Zum Lesen einfach mit der Maus darüberfahren.</t>
  </si>
  <si>
    <r>
      <t xml:space="preserve">-  erfasst Material- und Maschinenkosten (netto)
-  Spalte </t>
    </r>
    <r>
      <rPr>
        <i/>
        <sz val="11"/>
        <color theme="1"/>
        <rFont val="Calibri"/>
        <family val="2"/>
        <scheme val="minor"/>
      </rPr>
      <t>"€ je Baum, ha, Stk, h"</t>
    </r>
    <r>
      <rPr>
        <sz val="11"/>
        <color theme="1"/>
        <rFont val="Calibri"/>
        <family val="2"/>
        <scheme val="minor"/>
      </rPr>
      <t xml:space="preserve"> enthält Standardwerte, kann jedoch betriebsspezifisch angepasst werden.
-  Maschinenkosten berechnen sich anhand der Akh im Reiter "Arbeitszeit" 
-  Abschreibungsraten sind linear und auf 40 Jahre Nutzungsdauer gerechnet</t>
    </r>
  </si>
  <si>
    <t>Kosten minus Erträge erste 10 Jahre</t>
  </si>
  <si>
    <t>Einkommensbeitrag mit Förderung</t>
  </si>
  <si>
    <t>+ Fördersumme erste 10 Jahre anteilig</t>
  </si>
  <si>
    <r>
      <t xml:space="preserve">Schubert, Lara A. (2021) </t>
    </r>
    <r>
      <rPr>
        <i/>
        <sz val="11"/>
        <color theme="1"/>
        <rFont val="Calibri"/>
        <family val="2"/>
        <scheme val="minor"/>
      </rPr>
      <t>Produktionstechnische und ökonomische Aspekte der Streuobstwiesenbewirtschaftung</t>
    </r>
  </si>
  <si>
    <r>
      <t xml:space="preserve">Stockert, Thilo (1999) </t>
    </r>
    <r>
      <rPr>
        <i/>
        <sz val="11"/>
        <color theme="1"/>
        <rFont val="Calibri"/>
        <family val="2"/>
        <scheme val="minor"/>
      </rPr>
      <t>Kostenkalkulation im ökologischen Apfelanbau</t>
    </r>
  </si>
  <si>
    <r>
      <t xml:space="preserve">Degenbeck, Martin (2013) </t>
    </r>
    <r>
      <rPr>
        <i/>
        <sz val="11"/>
        <color theme="1"/>
        <rFont val="Calibri"/>
        <family val="2"/>
        <scheme val="minor"/>
      </rPr>
      <t>Wirtschaftlichkeit des Streuobstbaus – Bio-Streuobst kann sich rechnen!</t>
    </r>
  </si>
  <si>
    <r>
      <t xml:space="preserve">Stöckl, Georg (2013 - 2023) </t>
    </r>
    <r>
      <rPr>
        <i/>
        <sz val="11"/>
        <color theme="1"/>
        <rFont val="Calibri"/>
        <family val="2"/>
        <scheme val="minor"/>
      </rPr>
      <t>DB Bio-Streuobst</t>
    </r>
  </si>
  <si>
    <r>
      <t xml:space="preserve">Rösler, Markus (2013) </t>
    </r>
    <r>
      <rPr>
        <i/>
        <sz val="11"/>
        <color theme="1"/>
        <rFont val="Calibri"/>
        <family val="2"/>
        <scheme val="minor"/>
      </rPr>
      <t>Kostenkalkulation Streuobst</t>
    </r>
  </si>
  <si>
    <r>
      <t xml:space="preserve">FiBL, Häseli, Andi (2016) </t>
    </r>
    <r>
      <rPr>
        <i/>
        <sz val="11"/>
        <color theme="1"/>
        <rFont val="Calibri"/>
        <family val="2"/>
        <scheme val="minor"/>
      </rPr>
      <t>Modellrechnung Hochstamm CH</t>
    </r>
  </si>
  <si>
    <r>
      <t xml:space="preserve">Kruckelmann, Ingmar (2011) </t>
    </r>
    <r>
      <rPr>
        <i/>
        <sz val="11"/>
        <color theme="1"/>
        <rFont val="Calibri"/>
        <family val="2"/>
        <scheme val="minor"/>
      </rPr>
      <t>Tafelapfelanbau auf Hochstämmen</t>
    </r>
  </si>
  <si>
    <t>Quellen</t>
  </si>
  <si>
    <r>
      <t xml:space="preserve">Degenbeck, Martin (2005 - 2016) </t>
    </r>
    <r>
      <rPr>
        <i/>
        <sz val="11"/>
        <color theme="1"/>
        <rFont val="Calibri"/>
        <family val="2"/>
        <scheme val="minor"/>
      </rPr>
      <t>Deckungsbeitragsrechnung Streuobstanlage, Pflegeaufwand Streuobstwiese</t>
    </r>
    <r>
      <rPr>
        <sz val="11"/>
        <color theme="1"/>
        <rFont val="Calibri"/>
        <family val="2"/>
        <scheme val="minor"/>
      </rPr>
      <t xml:space="preserve"> </t>
    </r>
  </si>
  <si>
    <r>
      <t xml:space="preserve">Kruckelmann, Ingmar (2011) </t>
    </r>
    <r>
      <rPr>
        <i/>
        <sz val="11"/>
        <color theme="1"/>
        <rFont val="Calibri"/>
        <family val="2"/>
        <scheme val="minor"/>
      </rPr>
      <t>Pflegebedarf und -kosten von Apfel-Hochstämmen am Beispiel der Domäne Frankenhausen</t>
    </r>
  </si>
  <si>
    <r>
      <t xml:space="preserve">FiBL (2016) </t>
    </r>
    <r>
      <rPr>
        <i/>
        <sz val="11"/>
        <color theme="1"/>
        <rFont val="Calibri"/>
        <family val="2"/>
        <scheme val="minor"/>
      </rPr>
      <t>Merkblatt - Biologischer Obstbau auf Hochstammbäumen</t>
    </r>
  </si>
  <si>
    <r>
      <t xml:space="preserve">Kern, Reinhard (2006) </t>
    </r>
    <r>
      <rPr>
        <i/>
        <sz val="11"/>
        <color theme="1"/>
        <rFont val="Calibri"/>
        <family val="2"/>
        <scheme val="minor"/>
      </rPr>
      <t>Bedeutung und Wirtschaftlichkeit des Streuobstbaus in Österreich</t>
    </r>
  </si>
  <si>
    <r>
      <t xml:space="preserve">Agroscope, Alder, Thomas (2007) </t>
    </r>
    <r>
      <rPr>
        <i/>
        <sz val="11"/>
        <color theme="1"/>
        <rFont val="Calibri"/>
        <family val="2"/>
        <scheme val="minor"/>
      </rPr>
      <t>Vollkostenkalkulation für die Mostobstproduktion</t>
    </r>
  </si>
  <si>
    <r>
      <t xml:space="preserve">Neben der Berechnung der Wirtschaftlichkeit für eine neugepflanzte Streuobstfläche (im Schnitt über 50 Jahre), zeigt die Kalkulationshilfe in separaten Zeilen und Spalten </t>
    </r>
    <r>
      <rPr>
        <i/>
        <sz val="11"/>
        <color theme="1"/>
        <rFont val="Calibri"/>
        <family val="2"/>
        <scheme val="minor"/>
      </rPr>
      <t xml:space="preserve">(kursive Schrift) </t>
    </r>
    <r>
      <rPr>
        <sz val="11"/>
        <color theme="1"/>
        <rFont val="Calibri"/>
        <family val="2"/>
        <scheme val="minor"/>
      </rPr>
      <t>auch die wirtschaftliche Situation eines heterogenen Streuobstbestandes auf. Der Deckungsbeitrag bildet stets das aktuelle Jahr ab, Anlagenaufbau und Abschreibung werden hier nicht berücksichtigt. 
Achtung: Die Ergebnisse der Altersverteilung sind jeweils nur in den Feldern mit kursiver Schrift abzulesen. Die übrigen Ergebnisse zeigen weiterhin den Durchschnitt über die Standzeit vom 1.-50. Jahr.</t>
    </r>
  </si>
  <si>
    <r>
      <t xml:space="preserve">pro Jahr, </t>
    </r>
    <r>
      <rPr>
        <b/>
        <sz val="11"/>
        <color theme="1"/>
        <rFont val="Calibri"/>
        <family val="2"/>
      </rPr>
      <t>Ø</t>
    </r>
    <r>
      <rPr>
        <b/>
        <sz val="11"/>
        <color theme="1"/>
        <rFont val="Calibri"/>
        <family val="2"/>
        <scheme val="minor"/>
      </rPr>
      <t xml:space="preserve"> 11.-50. Standjahr</t>
    </r>
  </si>
  <si>
    <t>pro Jahr, Ø
1.-50. Standjahr</t>
  </si>
  <si>
    <t>pro Jahr, Ø
11.-50. Standjahr</t>
  </si>
  <si>
    <r>
      <t xml:space="preserve">Aendekerk, Raymond (2000) </t>
    </r>
    <r>
      <rPr>
        <i/>
        <sz val="11"/>
        <color theme="1"/>
        <rFont val="Calibri"/>
        <family val="2"/>
        <scheme val="minor"/>
      </rPr>
      <t>Betriebswirtschaftliche Aspekte des Hochstammobstbaus</t>
    </r>
  </si>
  <si>
    <r>
      <t xml:space="preserve">Bosch, Hans-Thomas (2016) </t>
    </r>
    <r>
      <rPr>
        <i/>
        <sz val="11"/>
        <color theme="1"/>
        <rFont val="Calibri"/>
        <family val="2"/>
        <scheme val="minor"/>
      </rPr>
      <t>Kalkulation zu Kosten von Pflanzung und Pflege</t>
    </r>
  </si>
  <si>
    <r>
      <t xml:space="preserve">Geng, Martin (2021) </t>
    </r>
    <r>
      <rPr>
        <i/>
        <sz val="11"/>
        <color theme="1"/>
        <rFont val="Calibri"/>
        <family val="2"/>
        <scheme val="minor"/>
      </rPr>
      <t>Obstanlagenkalkulation</t>
    </r>
  </si>
  <si>
    <t>-"- ohne Akh-Entlohnung</t>
  </si>
  <si>
    <t>Abkürzungen</t>
  </si>
  <si>
    <t>GAP</t>
  </si>
  <si>
    <t>AfA</t>
  </si>
  <si>
    <t>- (kalkulatorischer) Zinsaufwand</t>
  </si>
  <si>
    <t>AK</t>
  </si>
  <si>
    <t>EK</t>
  </si>
  <si>
    <t>kg</t>
  </si>
  <si>
    <t>h</t>
  </si>
  <si>
    <t>Absetzung für Abnutzung</t>
  </si>
  <si>
    <t>Arbeitskraft</t>
  </si>
  <si>
    <t>Arbeitskostenstunde</t>
  </si>
  <si>
    <t>Dezitonne</t>
  </si>
  <si>
    <t>Eigenkapital</t>
  </si>
  <si>
    <t>Stunde</t>
  </si>
  <si>
    <t>Hektar</t>
  </si>
  <si>
    <t>Gemeinsame Agrarpolitik der EU</t>
  </si>
  <si>
    <t>Kilogramm</t>
  </si>
  <si>
    <t>Stück</t>
  </si>
  <si>
    <t>Bayerisches Kulturlandschaftsprogramm</t>
  </si>
  <si>
    <t>Bayerisches Vertragsnaturschutzprogramm</t>
  </si>
  <si>
    <t>Durchschnitt Ertragsphase 
11.-50. Standjahr</t>
  </si>
  <si>
    <t>€/Baum</t>
  </si>
  <si>
    <t>€/ha</t>
  </si>
  <si>
    <t>Aufwand Lohnarbeit/Dienstleistung</t>
  </si>
  <si>
    <t>Stundenlohn Angestellte</t>
  </si>
  <si>
    <t>Schädlingskontrolle</t>
  </si>
  <si>
    <t>- AfA Gebäude</t>
  </si>
  <si>
    <t>Einkommensbeitrag vor Förderung</t>
  </si>
  <si>
    <t xml:space="preserve">Informieren Sie sich über die aktuellen Förderbedingungen und -sätze. </t>
  </si>
  <si>
    <t>Die Nutzungsvereinbarung regelt die Rechte der Bayerischen Landesanstalt für Landwirtschaft (LfL) und des Nutzers. Die LfL gewährt der Nutzerin das einfache, zeitlich unbegrenzte und nicht übertragbare Nutzungsrecht, die Kalkulationshilfe auf seinem/ihrem Computer zu nutzen. Das Kopieren oder jede anderweitige Vervielfältigung, die Abgabe (auch einer veränderten Version) und das Überlassen der Kalkulationshilfe an Dritte ist unter den folgenden Bedingungen erlaubt:
·  Dem Empfänger ist die Weitergabe nur unter Angabe des Copyright erlaubt.
·  Die Copyright Angaben dürfen nicht gelöscht werden.
Die LfL behält sich vor, die Kalkulationshilfe sowie die zugehörige Benutzerinformation jederzeit zu ändern, weiterzuentwickeln, zu verbessern oder durch eine neue Entwicklung zu ersetzen. Die bereitgestellten Informationen sind nach bestem Wissen und Gewissen erarbeitet und geprüft. Eine Gewähr für die jederzeitige Aktualität, Richtigkeit und Vollständigkeit der bereit gestellten Informationen kann allerdings nicht übernommen werden.</t>
  </si>
  <si>
    <t>https://www.stmelf.bayern.de/service/haftungsausschluss-links-und-verweise/index.html</t>
  </si>
  <si>
    <t>- Aufwand Lohnarbeit/Dienstleistung</t>
  </si>
  <si>
    <t>Lassen Sie sich bei Ihrem zuständigen AELF oder der Streuobstberatung an der UNB zu den für Sie möglichen Förderprogrammen beraten.</t>
  </si>
  <si>
    <t>Arbeitszeit je ha</t>
  </si>
  <si>
    <t>Akh/ha</t>
  </si>
  <si>
    <t>Der Deckungsbeitrag wird für 50 Standjahre berechnet und als jährlicher Durchschnitt der Ertragsphase vom 11.-50. Standjahr angegeben. Der Aufbau des Streuobstbestandes mit Perioden ohne bzw. mit zunehmendem Obstertrag wird durch die Abschreibung berücksichtigt. Eine potenzielle längere Standdauer der Bäume, kann die Wirtschaftlichkeit des Bestandes steigern, wird hier allerdings nicht berücksichtigt.</t>
  </si>
  <si>
    <t>Abschreibungsdauer Gebäude</t>
  </si>
  <si>
    <t>Jahre</t>
  </si>
  <si>
    <t>Pachtausgaben</t>
  </si>
  <si>
    <t>Abschreibung und Zinsen</t>
  </si>
  <si>
    <t>Gebäudewert (Kauf/Bau)</t>
  </si>
  <si>
    <t xml:space="preserve">Zinsansatz Grundstück </t>
  </si>
  <si>
    <t>Grundstückswert (Kauf)</t>
  </si>
  <si>
    <t>Zinsansatz Bestand und Gebäude</t>
  </si>
  <si>
    <t>Verzinsung Grundstück</t>
  </si>
  <si>
    <t xml:space="preserve">Verzinsung Bestand </t>
  </si>
  <si>
    <t xml:space="preserve">Verzinsung Gebäude </t>
  </si>
  <si>
    <t>AfA Gebäude über 40 Jahre</t>
  </si>
  <si>
    <t xml:space="preserve">€/Jahr </t>
  </si>
  <si>
    <t>Anteil Produkte</t>
  </si>
  <si>
    <t>Gesamtfläche €/Jahr</t>
  </si>
  <si>
    <t>Gesamtfläche Akh/Jahr</t>
  </si>
  <si>
    <t>Verarbeitung und Vermarktung</t>
  </si>
  <si>
    <t>Erlös Produkte</t>
  </si>
  <si>
    <t>Sonstige Erlöse</t>
  </si>
  <si>
    <t>Verarbeitung</t>
  </si>
  <si>
    <t>Akh gesamt</t>
  </si>
  <si>
    <t>Logistik</t>
  </si>
  <si>
    <t>Vermarktung</t>
  </si>
  <si>
    <t>Verarbeitung und Vermarktung Akh</t>
  </si>
  <si>
    <t>Geräte und Maschinen</t>
  </si>
  <si>
    <t>Lagerung</t>
  </si>
  <si>
    <t>Transport</t>
  </si>
  <si>
    <t>Laden, Marktstand,…</t>
  </si>
  <si>
    <t>€ gesamt</t>
  </si>
  <si>
    <t>AfA Gebäude über "C35" Jahre</t>
  </si>
  <si>
    <t>FlurNatur</t>
  </si>
  <si>
    <t>Ländliche Entwicklung</t>
  </si>
  <si>
    <t>VuV-Regio</t>
  </si>
  <si>
    <t>Einzelbetriebliche Investitionsförderung (StMELF)</t>
  </si>
  <si>
    <t>Sonstige Programme (LEADER, Mehr Grün, ILE, ...)</t>
  </si>
  <si>
    <t>Zinsertrag eingesetztes EK ohne Förderung und ohne Familien-AK pro Jahr</t>
  </si>
  <si>
    <t>Einkommensbeitrag je Baum ohne Förderung und ohne Familien-AK  pro Jahr</t>
  </si>
  <si>
    <t>Einkommensbeitrag je ha pro Jahr ohne Förderung</t>
  </si>
  <si>
    <t>-  erfasst die Betriebsdaten, Stundensätze, Kapitalkosten und Fördersummen
-  stellt Deckungsbeitrag und Kennzahlen dar</t>
  </si>
  <si>
    <t>Es sind alle Tabellenblätter/Reiter auszufüllen. In der Übersicht findet sich das Ergebnis.</t>
  </si>
  <si>
    <t xml:space="preserve">Nicht berücksichtigt wurden: weitere Unternutzungen, Hackschnitzel und Holzerträge, längere Standdauer der Bäume, differenzierte Maschinenstunden, Baumausfälle </t>
  </si>
  <si>
    <t>Mit der Kalkulationshilfe kann der Deckungsbeitrag der Bewirtschaftung eines Streuobstbestandes zur Erzeugung von Most- und Tafelware errechnet werden. Verarbeitung und Vermarktung werden in der Kalkulationshilfe nicht in einzelnen Arbeitsschritten berücksichtigt. Die erzielten Umsatzerlöse aus Produkten sowie anfallende Kosten und Arbeitszeiten können in Sammelfelder eingetragen werden. Als Unternutzung ist eine Wiese angelegt.</t>
  </si>
  <si>
    <t>-  abgerufene Fördermaßnahmen wählen
-  weiß hinterlegt sind vorgegebene Fördersätze (aktuelle Höhe der Fördersätze prüfen)
-  in grünen/orangenen Feldern sind die individuellen Förderdetails ggf. anzupassen</t>
  </si>
  <si>
    <t>ILE</t>
  </si>
  <si>
    <t>Integrierte Ländliche Entwicklung</t>
  </si>
  <si>
    <t xml:space="preserve">Verarbeitung und Vermarktung landwirtschaftlicher Erzeugnisse </t>
  </si>
  <si>
    <t>Erstellt: Clarissa Schmelzle, LfL - Agrarökologie und Biologischer Landbau IAB 4a, Version 4, Stand: 20.02.2026</t>
  </si>
  <si>
    <t>Weitere Förderung</t>
  </si>
  <si>
    <t>Förderübersicht Streuobst LfL</t>
  </si>
  <si>
    <t>€/Jahr 
1.-50. Standjahr Gesamtfläche</t>
  </si>
  <si>
    <t>€
Neuanlage Gesamtfläche</t>
  </si>
  <si>
    <t xml:space="preserve">€/Baum </t>
  </si>
  <si>
    <t>Neuanlage sonstige Programme</t>
  </si>
  <si>
    <t>Streuobstpflege sonstige Programme</t>
  </si>
  <si>
    <t>Sonstige Einmalzahlung</t>
  </si>
  <si>
    <t>Achtung, Förderprogramme sind möglicherweise nicht kombinierbar.</t>
  </si>
  <si>
    <t>Förderwegweiser AUKM StMELF</t>
  </si>
  <si>
    <t>Förderübersicht Streuobstpakt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</si>
</sst>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
    <numFmt numFmtId="166" formatCode="_-* #,##0_-;\-* #,##0_-;_-* &quot;-&quot;??_-;_-@_-"/>
    <numFmt numFmtId="167" formatCode="#,##0_ ;\-#,##0\ "/>
  </numFmts>
  <fonts count="36" x14ac:knownFonts="1">
    <font>
      <sz val="11"/>
      <color theme="1"/>
      <name val="Calibri"/>
      <family val="2"/>
      <scheme val="minor"/>
    </font>
    <font>
      <b/>
      <sz val="13"/>
      <name val="Arial"/>
      <family val="2"/>
    </font>
    <font>
      <i/>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rgb="FFFF0000"/>
      <name val="Calibri"/>
      <family val="2"/>
      <scheme val="minor"/>
    </font>
    <font>
      <sz val="11"/>
      <color theme="8" tint="-0.249977111117893"/>
      <name val="Calibri"/>
      <family val="2"/>
      <scheme val="minor"/>
    </font>
    <font>
      <b/>
      <i/>
      <sz val="11"/>
      <color theme="1"/>
      <name val="Calibri"/>
      <family val="2"/>
      <scheme val="minor"/>
    </font>
    <font>
      <sz val="11"/>
      <name val="Calibri"/>
      <family val="2"/>
      <scheme val="minor"/>
    </font>
    <font>
      <sz val="11"/>
      <color theme="9" tint="0.39997558519241921"/>
      <name val="Calibri"/>
      <family val="2"/>
      <scheme val="minor"/>
    </font>
    <font>
      <b/>
      <sz val="14"/>
      <name val="Calibri"/>
      <family val="2"/>
      <scheme val="minor"/>
    </font>
    <font>
      <i/>
      <sz val="9"/>
      <color theme="2" tint="-0.249977111117893"/>
      <name val="Calibri"/>
      <family val="2"/>
      <scheme val="minor"/>
    </font>
    <font>
      <i/>
      <sz val="11"/>
      <color theme="2" tint="-0.499984740745262"/>
      <name val="Calibri"/>
      <family val="2"/>
      <scheme val="minor"/>
    </font>
    <font>
      <b/>
      <sz val="11"/>
      <name val="Calibri"/>
      <family val="2"/>
      <scheme val="minor"/>
    </font>
    <font>
      <b/>
      <sz val="12"/>
      <name val="Calibri"/>
      <family val="2"/>
      <scheme val="minor"/>
    </font>
    <font>
      <i/>
      <sz val="11"/>
      <color theme="9" tint="-0.499984740745262"/>
      <name val="Calibri"/>
      <family val="2"/>
      <scheme val="minor"/>
    </font>
    <font>
      <u/>
      <sz val="11"/>
      <color theme="1"/>
      <name val="Calibri"/>
      <family val="2"/>
      <scheme val="minor"/>
    </font>
    <font>
      <i/>
      <sz val="11"/>
      <color theme="6"/>
      <name val="Calibri"/>
      <family val="2"/>
      <scheme val="minor"/>
    </font>
    <font>
      <sz val="11"/>
      <color theme="6"/>
      <name val="Calibri"/>
      <family val="2"/>
      <scheme val="minor"/>
    </font>
    <font>
      <sz val="9"/>
      <color indexed="81"/>
      <name val="Segoe UI"/>
      <family val="2"/>
    </font>
    <font>
      <i/>
      <sz val="11"/>
      <color theme="0"/>
      <name val="Calibri"/>
      <family val="2"/>
      <scheme val="minor"/>
    </font>
    <font>
      <b/>
      <sz val="9"/>
      <color indexed="81"/>
      <name val="Segoe UI"/>
      <family val="2"/>
    </font>
    <font>
      <sz val="11"/>
      <color theme="0"/>
      <name val="Calibri"/>
      <family val="2"/>
      <scheme val="minor"/>
    </font>
    <font>
      <b/>
      <sz val="11"/>
      <color theme="1"/>
      <name val="Calibri"/>
      <family val="2"/>
    </font>
    <font>
      <b/>
      <sz val="11"/>
      <color theme="2" tint="-0.499984740745262"/>
      <name val="Calibri"/>
      <family val="2"/>
      <scheme val="minor"/>
    </font>
    <font>
      <sz val="11"/>
      <color theme="2" tint="-0.499984740745262"/>
      <name val="Calibri"/>
      <family val="2"/>
      <scheme val="minor"/>
    </font>
    <font>
      <b/>
      <i/>
      <sz val="11"/>
      <color theme="2" tint="-0.499984740745262"/>
      <name val="Calibri"/>
      <family val="2"/>
      <scheme val="minor"/>
    </font>
    <font>
      <sz val="9"/>
      <color indexed="81"/>
      <name val="Segoe UI"/>
      <charset val="1"/>
    </font>
    <font>
      <b/>
      <sz val="14"/>
      <color theme="0"/>
      <name val="Calibri"/>
      <family val="2"/>
      <scheme val="minor"/>
    </font>
    <font>
      <b/>
      <sz val="11"/>
      <name val="Arial"/>
      <family val="2"/>
    </font>
    <font>
      <b/>
      <sz val="11"/>
      <color theme="4" tint="-0.499984740745262"/>
      <name val="Arial"/>
      <family val="2"/>
    </font>
    <font>
      <u/>
      <sz val="11"/>
      <color theme="10"/>
      <name val="Calibri"/>
      <family val="2"/>
      <scheme val="minor"/>
    </font>
    <font>
      <sz val="12"/>
      <color theme="1"/>
      <name val="Calibri"/>
      <family val="2"/>
      <scheme val="minor"/>
    </font>
    <font>
      <u/>
      <sz val="12"/>
      <color theme="1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
      <patternFill patternType="solid">
        <fgColor rgb="FFE3FBD6"/>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7"/>
        <bgColor indexed="64"/>
      </patternFill>
    </fill>
    <fill>
      <patternFill patternType="solid">
        <fgColor rgb="FFC00000"/>
        <bgColor indexed="64"/>
      </patternFill>
    </fill>
    <fill>
      <patternFill patternType="solid">
        <fgColor theme="8" tint="-0.249977111117893"/>
        <bgColor indexed="64"/>
      </patternFill>
    </fill>
    <fill>
      <patternFill patternType="solid">
        <fgColor rgb="FFC7E98F"/>
        <bgColor indexed="64"/>
      </patternFill>
    </fill>
    <fill>
      <patternFill patternType="solid">
        <fgColor rgb="FFFBE3C9"/>
        <bgColor indexed="64"/>
      </patternFill>
    </fill>
    <fill>
      <patternFill patternType="solid">
        <fgColor theme="7" tint="0.59999389629810485"/>
        <bgColor indexed="64"/>
      </patternFill>
    </fill>
    <fill>
      <patternFill patternType="solid">
        <fgColor theme="4"/>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theme="0"/>
      </bottom>
      <diagonal/>
    </border>
    <border>
      <left/>
      <right style="thin">
        <color theme="2" tint="-0.49998474074526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0"/>
      </bottom>
      <diagonal/>
    </border>
    <border>
      <left style="thin">
        <color theme="2" tint="-0.499984740745262"/>
      </left>
      <right/>
      <top style="thin">
        <color theme="0"/>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style="thin">
        <color theme="2"/>
      </top>
      <bottom/>
      <diagonal/>
    </border>
    <border>
      <left style="thin">
        <color indexed="64"/>
      </left>
      <right/>
      <top style="thin">
        <color theme="2"/>
      </top>
      <bottom/>
      <diagonal/>
    </border>
    <border>
      <left/>
      <right/>
      <top style="thin">
        <color theme="2"/>
      </top>
      <bottom/>
      <diagonal/>
    </border>
    <border>
      <left/>
      <right style="thin">
        <color indexed="64"/>
      </right>
      <top style="thin">
        <color theme="2"/>
      </top>
      <bottom/>
      <diagonal/>
    </border>
    <border>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right/>
      <top style="thin">
        <color indexed="64"/>
      </top>
      <bottom style="thin">
        <color theme="0"/>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
      <left style="thin">
        <color theme="2" tint="-0.499984740745262"/>
      </left>
      <right/>
      <top style="thin">
        <color theme="2" tint="-0.499984740745262"/>
      </top>
      <bottom/>
      <diagonal/>
    </border>
    <border>
      <left style="thin">
        <color theme="2" tint="-0.499984740745262"/>
      </left>
      <right/>
      <top/>
      <bottom/>
      <diagonal/>
    </border>
    <border>
      <left/>
      <right style="thin">
        <color theme="2" tint="-0.499984740745262"/>
      </right>
      <top style="thin">
        <color theme="2" tint="-0.499984740745262"/>
      </top>
      <bottom/>
      <diagonal/>
    </border>
    <border>
      <left/>
      <right style="thin">
        <color indexed="64"/>
      </right>
      <top style="thin">
        <color theme="0"/>
      </top>
      <bottom style="thin">
        <color indexed="64"/>
      </bottom>
      <diagonal/>
    </border>
    <border>
      <left style="thin">
        <color theme="2" tint="-0.499984740745262"/>
      </left>
      <right/>
      <top style="thin">
        <color theme="0"/>
      </top>
      <bottom style="thin">
        <color indexed="64"/>
      </bottom>
      <diagonal/>
    </border>
    <border>
      <left style="thin">
        <color theme="2" tint="-0.499984740745262"/>
      </left>
      <right style="thin">
        <color theme="2" tint="-0.499984740745262"/>
      </right>
      <top/>
      <bottom style="thin">
        <color indexed="64"/>
      </bottom>
      <diagonal/>
    </border>
    <border>
      <left style="thin">
        <color theme="2" tint="-0.499984740745262"/>
      </left>
      <right/>
      <top/>
      <bottom style="thin">
        <color theme="0"/>
      </bottom>
      <diagonal/>
    </border>
    <border>
      <left style="thin">
        <color theme="2" tint="-0.499984740745262"/>
      </left>
      <right style="thin">
        <color theme="2" tint="-0.499984740745262"/>
      </right>
      <top style="thin">
        <color theme="0"/>
      </top>
      <bottom style="thin">
        <color theme="0"/>
      </bottom>
      <diagonal/>
    </border>
    <border>
      <left/>
      <right style="thin">
        <color indexed="64"/>
      </right>
      <top style="thin">
        <color theme="0"/>
      </top>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0" fontId="33" fillId="0" borderId="0" applyNumberFormat="0" applyFill="0" applyBorder="0" applyAlignment="0" applyProtection="0"/>
  </cellStyleXfs>
  <cellXfs count="483">
    <xf numFmtId="0" fontId="0" fillId="0" borderId="0" xfId="0"/>
    <xf numFmtId="0" fontId="5" fillId="0" borderId="0" xfId="0" applyFont="1"/>
    <xf numFmtId="0" fontId="0" fillId="0" borderId="0" xfId="0" applyFont="1"/>
    <xf numFmtId="0" fontId="0" fillId="0" borderId="0" xfId="0" applyFill="1" applyBorder="1"/>
    <xf numFmtId="0" fontId="0" fillId="0" borderId="0" xfId="1" applyNumberFormat="1" applyFont="1" applyFill="1" applyBorder="1"/>
    <xf numFmtId="3" fontId="0" fillId="0" borderId="0" xfId="0" applyNumberFormat="1"/>
    <xf numFmtId="0" fontId="0" fillId="0" borderId="0" xfId="0" applyFill="1"/>
    <xf numFmtId="0" fontId="0" fillId="0" borderId="0" xfId="0" applyBorder="1"/>
    <xf numFmtId="0" fontId="8" fillId="0" borderId="0" xfId="0" applyFont="1"/>
    <xf numFmtId="0" fontId="0" fillId="5" borderId="0" xfId="0" applyFill="1"/>
    <xf numFmtId="0" fontId="4" fillId="8" borderId="0" xfId="0" applyFont="1" applyFill="1"/>
    <xf numFmtId="0" fontId="4" fillId="0" borderId="0" xfId="0" applyFont="1" applyFill="1"/>
    <xf numFmtId="0" fontId="10" fillId="0" borderId="0" xfId="0" applyFont="1" applyFill="1"/>
    <xf numFmtId="0" fontId="11" fillId="0" borderId="0" xfId="0" applyFont="1" applyFill="1"/>
    <xf numFmtId="0" fontId="0" fillId="0" borderId="0" xfId="0" applyFont="1" applyFill="1"/>
    <xf numFmtId="0" fontId="13" fillId="0" borderId="0" xfId="0" applyFont="1"/>
    <xf numFmtId="0" fontId="9" fillId="0" borderId="0" xfId="0" applyFont="1"/>
    <xf numFmtId="0" fontId="14" fillId="0" borderId="0" xfId="0" applyFont="1"/>
    <xf numFmtId="0" fontId="4" fillId="0" borderId="0" xfId="0" applyFont="1"/>
    <xf numFmtId="0" fontId="0" fillId="0" borderId="0" xfId="0" applyFont="1" applyFill="1" applyBorder="1"/>
    <xf numFmtId="0" fontId="16" fillId="0" borderId="0" xfId="0" applyFont="1" applyFill="1"/>
    <xf numFmtId="0" fontId="0" fillId="0" borderId="0" xfId="0" applyNumberFormat="1" applyFont="1" applyFill="1" applyBorder="1"/>
    <xf numFmtId="0" fontId="15" fillId="8" borderId="0" xfId="0" applyFont="1" applyFill="1"/>
    <xf numFmtId="0" fontId="9" fillId="0" borderId="0" xfId="0" applyFont="1" applyFill="1"/>
    <xf numFmtId="0" fontId="0" fillId="10" borderId="0" xfId="0" applyFill="1" applyBorder="1"/>
    <xf numFmtId="0" fontId="17" fillId="5" borderId="0" xfId="0" applyFont="1" applyFill="1"/>
    <xf numFmtId="0" fontId="0" fillId="0" borderId="0" xfId="0"/>
    <xf numFmtId="0" fontId="6" fillId="0" borderId="0" xfId="0" applyFont="1" applyFill="1" applyBorder="1"/>
    <xf numFmtId="0" fontId="17" fillId="0" borderId="0" xfId="0" applyFont="1" applyFill="1" applyBorder="1"/>
    <xf numFmtId="0" fontId="2" fillId="0" borderId="9" xfId="0" applyFont="1" applyFill="1" applyBorder="1"/>
    <xf numFmtId="0" fontId="2" fillId="0" borderId="10" xfId="0" applyFont="1" applyFill="1" applyBorder="1"/>
    <xf numFmtId="0" fontId="2" fillId="0" borderId="11" xfId="0" applyFont="1" applyFill="1" applyBorder="1"/>
    <xf numFmtId="0" fontId="0" fillId="0" borderId="10" xfId="0" applyBorder="1"/>
    <xf numFmtId="0" fontId="0" fillId="0" borderId="9" xfId="0" applyFill="1" applyBorder="1"/>
    <xf numFmtId="0" fontId="0" fillId="0" borderId="10" xfId="0" applyFill="1" applyBorder="1"/>
    <xf numFmtId="0" fontId="0" fillId="0" borderId="11" xfId="0" applyBorder="1"/>
    <xf numFmtId="0" fontId="0" fillId="0" borderId="11" xfId="0" applyFill="1" applyBorder="1"/>
    <xf numFmtId="0" fontId="0" fillId="0" borderId="0" xfId="0" applyAlignment="1"/>
    <xf numFmtId="3" fontId="2" fillId="0" borderId="0" xfId="0" applyNumberFormat="1" applyFont="1" applyFill="1" applyAlignment="1"/>
    <xf numFmtId="0" fontId="0" fillId="0" borderId="0" xfId="0" applyFill="1" applyAlignment="1"/>
    <xf numFmtId="0" fontId="2" fillId="0" borderId="0" xfId="0" applyFont="1" applyFill="1" applyAlignment="1"/>
    <xf numFmtId="3" fontId="9" fillId="0" borderId="0" xfId="0" applyNumberFormat="1" applyFont="1" applyFill="1" applyAlignment="1"/>
    <xf numFmtId="2" fontId="2" fillId="0" borderId="0" xfId="0" applyNumberFormat="1" applyFont="1" applyFill="1" applyBorder="1" applyAlignment="1"/>
    <xf numFmtId="0" fontId="4" fillId="4" borderId="1" xfId="0" applyFont="1" applyFill="1" applyBorder="1"/>
    <xf numFmtId="0" fontId="0" fillId="0" borderId="4" xfId="0" applyBorder="1" applyAlignment="1">
      <alignment wrapText="1"/>
    </xf>
    <xf numFmtId="3" fontId="2" fillId="0" borderId="5" xfId="0" applyNumberFormat="1" applyFont="1" applyBorder="1" applyAlignment="1"/>
    <xf numFmtId="0" fontId="0" fillId="0" borderId="4" xfId="0" quotePrefix="1" applyBorder="1" applyAlignment="1">
      <alignment wrapText="1"/>
    </xf>
    <xf numFmtId="0" fontId="0" fillId="2" borderId="4" xfId="0" quotePrefix="1" applyFill="1" applyBorder="1" applyAlignment="1">
      <alignment wrapText="1"/>
    </xf>
    <xf numFmtId="3" fontId="2" fillId="2" borderId="5" xfId="0" applyNumberFormat="1" applyFont="1" applyFill="1" applyBorder="1" applyAlignment="1"/>
    <xf numFmtId="0" fontId="0" fillId="0" borderId="4" xfId="0" quotePrefix="1" applyBorder="1"/>
    <xf numFmtId="0" fontId="0" fillId="0" borderId="5" xfId="0" applyBorder="1" applyAlignment="1"/>
    <xf numFmtId="0" fontId="0" fillId="2" borderId="4" xfId="0" quotePrefix="1" applyFill="1" applyBorder="1"/>
    <xf numFmtId="0" fontId="2" fillId="0" borderId="5" xfId="0" applyFont="1" applyBorder="1" applyAlignment="1"/>
    <xf numFmtId="0" fontId="4" fillId="7" borderId="6" xfId="0" applyFont="1" applyFill="1" applyBorder="1"/>
    <xf numFmtId="2" fontId="2" fillId="0" borderId="16" xfId="0" applyNumberFormat="1" applyFont="1" applyFill="1" applyBorder="1" applyAlignment="1"/>
    <xf numFmtId="0" fontId="0" fillId="0" borderId="18" xfId="0" applyBorder="1" applyAlignment="1">
      <alignment wrapText="1"/>
    </xf>
    <xf numFmtId="0" fontId="0" fillId="0" borderId="19" xfId="0" applyBorder="1" applyAlignment="1">
      <alignment wrapText="1"/>
    </xf>
    <xf numFmtId="0" fontId="18" fillId="0" borderId="0" xfId="1" applyNumberFormat="1" applyFont="1" applyFill="1" applyBorder="1"/>
    <xf numFmtId="0" fontId="0" fillId="0" borderId="1"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0" fillId="0" borderId="8" xfId="0" applyFont="1" applyFill="1" applyBorder="1"/>
    <xf numFmtId="0" fontId="0" fillId="0" borderId="10" xfId="0" applyFont="1" applyFill="1" applyBorder="1"/>
    <xf numFmtId="0" fontId="0" fillId="0" borderId="13" xfId="0" applyFont="1" applyFill="1" applyBorder="1"/>
    <xf numFmtId="3" fontId="0" fillId="0" borderId="0" xfId="0" applyNumberFormat="1" applyFont="1" applyBorder="1"/>
    <xf numFmtId="0" fontId="0" fillId="4" borderId="0" xfId="0" applyFont="1" applyFill="1" applyBorder="1"/>
    <xf numFmtId="3" fontId="0" fillId="0" borderId="5" xfId="0" applyNumberFormat="1" applyFont="1" applyBorder="1"/>
    <xf numFmtId="0" fontId="9" fillId="4" borderId="4" xfId="0" applyFont="1" applyFill="1" applyBorder="1"/>
    <xf numFmtId="0" fontId="0" fillId="4" borderId="5" xfId="0" applyFont="1" applyFill="1" applyBorder="1"/>
    <xf numFmtId="0" fontId="4" fillId="6" borderId="6" xfId="0" applyFont="1" applyFill="1" applyBorder="1"/>
    <xf numFmtId="3" fontId="4" fillId="6" borderId="8" xfId="0" applyNumberFormat="1" applyFont="1" applyFill="1" applyBorder="1"/>
    <xf numFmtId="0" fontId="2" fillId="4" borderId="10" xfId="0" applyFont="1" applyFill="1" applyBorder="1"/>
    <xf numFmtId="0" fontId="4" fillId="6" borderId="11" xfId="0" applyFont="1" applyFill="1" applyBorder="1"/>
    <xf numFmtId="3" fontId="0" fillId="0" borderId="10" xfId="0" applyNumberFormat="1" applyFont="1" applyBorder="1"/>
    <xf numFmtId="0" fontId="0" fillId="4" borderId="10" xfId="0" applyFont="1" applyFill="1" applyBorder="1"/>
    <xf numFmtId="0" fontId="4" fillId="4" borderId="12" xfId="0" applyFont="1" applyFill="1" applyBorder="1"/>
    <xf numFmtId="0" fontId="4" fillId="4" borderId="12" xfId="0" applyFont="1" applyFill="1" applyBorder="1" applyAlignment="1">
      <alignment wrapText="1"/>
    </xf>
    <xf numFmtId="0" fontId="9" fillId="4" borderId="12" xfId="0" applyFont="1" applyFill="1" applyBorder="1"/>
    <xf numFmtId="0" fontId="0" fillId="3" borderId="22" xfId="0" applyFont="1" applyFill="1" applyBorder="1"/>
    <xf numFmtId="3" fontId="0" fillId="3" borderId="22" xfId="0" applyNumberFormat="1" applyFont="1" applyFill="1" applyBorder="1"/>
    <xf numFmtId="3" fontId="2" fillId="0" borderId="0" xfId="0" applyNumberFormat="1" applyFont="1" applyBorder="1"/>
    <xf numFmtId="0" fontId="2" fillId="3" borderId="6" xfId="0" applyFont="1" applyFill="1" applyBorder="1"/>
    <xf numFmtId="3" fontId="2" fillId="3" borderId="7" xfId="0" applyNumberFormat="1" applyFont="1" applyFill="1" applyBorder="1"/>
    <xf numFmtId="3" fontId="9" fillId="3" borderId="8" xfId="0" applyNumberFormat="1" applyFont="1" applyFill="1" applyBorder="1"/>
    <xf numFmtId="0" fontId="19" fillId="0" borderId="1" xfId="0" applyFont="1" applyFill="1" applyBorder="1"/>
    <xf numFmtId="0" fontId="19" fillId="0" borderId="3" xfId="0" applyFont="1" applyBorder="1"/>
    <xf numFmtId="3" fontId="0" fillId="0" borderId="22" xfId="0" applyNumberFormat="1" applyFont="1" applyBorder="1"/>
    <xf numFmtId="0" fontId="0" fillId="0" borderId="22" xfId="0" applyFont="1" applyFill="1" applyBorder="1"/>
    <xf numFmtId="0" fontId="2" fillId="3" borderId="11" xfId="0" applyFont="1" applyFill="1" applyBorder="1"/>
    <xf numFmtId="3" fontId="2" fillId="0" borderId="10" xfId="0" applyNumberFormat="1" applyFont="1" applyBorder="1"/>
    <xf numFmtId="3" fontId="2" fillId="3" borderId="11" xfId="0" applyNumberFormat="1" applyFont="1" applyFill="1" applyBorder="1"/>
    <xf numFmtId="0" fontId="0" fillId="0" borderId="24" xfId="0" applyFont="1" applyFill="1" applyBorder="1"/>
    <xf numFmtId="0" fontId="0" fillId="0" borderId="23" xfId="0" applyFont="1" applyFill="1" applyBorder="1"/>
    <xf numFmtId="0" fontId="0" fillId="0" borderId="25" xfId="0" applyNumberFormat="1" applyFont="1" applyFill="1" applyBorder="1"/>
    <xf numFmtId="3" fontId="0" fillId="0" borderId="23" xfId="0" applyNumberFormat="1" applyFont="1" applyBorder="1"/>
    <xf numFmtId="3" fontId="0" fillId="0" borderId="25" xfId="0" applyNumberFormat="1" applyFont="1" applyBorder="1"/>
    <xf numFmtId="3" fontId="0" fillId="0" borderId="26" xfId="0" applyNumberFormat="1" applyFont="1" applyBorder="1"/>
    <xf numFmtId="3" fontId="0" fillId="0" borderId="0" xfId="0" applyNumberFormat="1" applyFont="1" applyFill="1" applyBorder="1"/>
    <xf numFmtId="3" fontId="0" fillId="0" borderId="10" xfId="0" applyNumberFormat="1" applyFont="1" applyFill="1" applyBorder="1"/>
    <xf numFmtId="3" fontId="0" fillId="0" borderId="5" xfId="0" applyNumberFormat="1" applyFont="1" applyFill="1" applyBorder="1"/>
    <xf numFmtId="0" fontId="0" fillId="0" borderId="25" xfId="0" applyFont="1" applyFill="1" applyBorder="1"/>
    <xf numFmtId="0" fontId="0" fillId="0" borderId="26" xfId="0" applyFont="1" applyFill="1" applyBorder="1"/>
    <xf numFmtId="0" fontId="0" fillId="0" borderId="4" xfId="0" applyBorder="1" applyAlignment="1"/>
    <xf numFmtId="0" fontId="0" fillId="0" borderId="7" xfId="0" applyFill="1" applyBorder="1"/>
    <xf numFmtId="0" fontId="0" fillId="0" borderId="22" xfId="0" applyBorder="1"/>
    <xf numFmtId="0" fontId="0" fillId="0" borderId="33" xfId="0" applyBorder="1"/>
    <xf numFmtId="0" fontId="0" fillId="4" borderId="1" xfId="0" applyFill="1" applyBorder="1"/>
    <xf numFmtId="0" fontId="0" fillId="5" borderId="4" xfId="0" applyFill="1" applyBorder="1"/>
    <xf numFmtId="0" fontId="10" fillId="0" borderId="0" xfId="0" applyFont="1" applyFill="1" applyBorder="1"/>
    <xf numFmtId="0" fontId="0" fillId="0" borderId="7" xfId="0" applyBorder="1"/>
    <xf numFmtId="0" fontId="10" fillId="0" borderId="10" xfId="0" applyFont="1" applyFill="1" applyBorder="1"/>
    <xf numFmtId="0" fontId="4" fillId="4" borderId="32" xfId="0" applyFont="1" applyFill="1" applyBorder="1"/>
    <xf numFmtId="0" fontId="4" fillId="4" borderId="32" xfId="0" applyFont="1" applyFill="1" applyBorder="1" applyAlignment="1">
      <alignment wrapText="1"/>
    </xf>
    <xf numFmtId="0" fontId="4" fillId="9" borderId="29" xfId="0" applyFont="1" applyFill="1" applyBorder="1"/>
    <xf numFmtId="0" fontId="0" fillId="9" borderId="33" xfId="0" applyFill="1" applyBorder="1"/>
    <xf numFmtId="0" fontId="4" fillId="9" borderId="22" xfId="0" applyFont="1" applyFill="1" applyBorder="1" applyAlignment="1">
      <alignment wrapText="1"/>
    </xf>
    <xf numFmtId="0" fontId="4" fillId="9" borderId="33" xfId="0" applyFont="1" applyFill="1" applyBorder="1" applyAlignment="1">
      <alignment wrapText="1"/>
    </xf>
    <xf numFmtId="0" fontId="4" fillId="9" borderId="22" xfId="0" applyFont="1" applyFill="1" applyBorder="1"/>
    <xf numFmtId="0" fontId="0" fillId="0" borderId="33" xfId="0" applyFill="1" applyBorder="1"/>
    <xf numFmtId="0" fontId="0" fillId="11" borderId="13" xfId="0" applyFill="1" applyBorder="1"/>
    <xf numFmtId="3" fontId="0" fillId="11" borderId="13" xfId="0" applyNumberFormat="1" applyFill="1" applyBorder="1"/>
    <xf numFmtId="0" fontId="0" fillId="5" borderId="6" xfId="0" applyFill="1" applyBorder="1"/>
    <xf numFmtId="0" fontId="4" fillId="9" borderId="30" xfId="0" applyFont="1" applyFill="1" applyBorder="1"/>
    <xf numFmtId="0" fontId="0" fillId="9" borderId="32" xfId="0" applyFill="1" applyBorder="1"/>
    <xf numFmtId="0" fontId="0" fillId="9" borderId="12" xfId="0" applyFill="1" applyBorder="1"/>
    <xf numFmtId="0" fontId="2" fillId="9" borderId="12" xfId="0" applyFont="1" applyFill="1" applyBorder="1"/>
    <xf numFmtId="0" fontId="15" fillId="9" borderId="32" xfId="0" applyFont="1" applyFill="1" applyBorder="1"/>
    <xf numFmtId="0" fontId="15" fillId="9" borderId="12" xfId="0" applyFont="1" applyFill="1" applyBorder="1"/>
    <xf numFmtId="0" fontId="4" fillId="9" borderId="32" xfId="0" applyFont="1" applyFill="1" applyBorder="1"/>
    <xf numFmtId="0" fontId="4" fillId="4" borderId="31" xfId="0" applyFont="1" applyFill="1" applyBorder="1" applyAlignment="1">
      <alignment wrapText="1"/>
    </xf>
    <xf numFmtId="3" fontId="0" fillId="0" borderId="4" xfId="0" applyNumberFormat="1" applyBorder="1" applyAlignment="1"/>
    <xf numFmtId="0" fontId="0" fillId="5" borderId="12" xfId="0" applyFont="1" applyFill="1" applyBorder="1" applyProtection="1">
      <protection locked="0"/>
    </xf>
    <xf numFmtId="0" fontId="0" fillId="5" borderId="13" xfId="0" applyFont="1" applyFill="1" applyBorder="1" applyProtection="1">
      <protection locked="0"/>
    </xf>
    <xf numFmtId="0" fontId="0" fillId="5" borderId="13" xfId="0" applyFill="1" applyBorder="1" applyAlignment="1" applyProtection="1">
      <alignment horizontal="right"/>
      <protection locked="0"/>
    </xf>
    <xf numFmtId="0" fontId="0" fillId="5" borderId="13" xfId="0" applyFill="1" applyBorder="1" applyProtection="1">
      <protection locked="0"/>
    </xf>
    <xf numFmtId="0" fontId="0" fillId="5" borderId="0" xfId="0" applyFill="1" applyBorder="1" applyProtection="1">
      <protection locked="0"/>
    </xf>
    <xf numFmtId="0" fontId="0" fillId="5" borderId="7" xfId="0" applyFill="1" applyBorder="1" applyProtection="1">
      <protection locked="0"/>
    </xf>
    <xf numFmtId="0" fontId="2" fillId="5" borderId="9" xfId="0" applyFont="1" applyFill="1" applyBorder="1" applyProtection="1">
      <protection locked="0"/>
    </xf>
    <xf numFmtId="0" fontId="2" fillId="5" borderId="14" xfId="0" applyFont="1" applyFill="1" applyBorder="1" applyProtection="1">
      <protection locked="0"/>
    </xf>
    <xf numFmtId="0" fontId="2" fillId="5" borderId="15" xfId="0" applyFont="1" applyFill="1" applyBorder="1" applyProtection="1">
      <protection locked="0"/>
    </xf>
    <xf numFmtId="3" fontId="0" fillId="5" borderId="13" xfId="0" applyNumberFormat="1" applyFill="1" applyBorder="1" applyProtection="1">
      <protection locked="0"/>
    </xf>
    <xf numFmtId="0" fontId="0" fillId="5" borderId="27" xfId="0" applyFill="1" applyBorder="1" applyProtection="1">
      <protection locked="0"/>
    </xf>
    <xf numFmtId="0" fontId="7" fillId="0" borderId="0" xfId="0" applyFont="1"/>
    <xf numFmtId="0" fontId="0" fillId="5" borderId="33" xfId="0" applyFill="1" applyBorder="1"/>
    <xf numFmtId="0" fontId="0" fillId="5" borderId="22" xfId="0" applyFont="1" applyFill="1" applyBorder="1" applyProtection="1">
      <protection locked="0"/>
    </xf>
    <xf numFmtId="0" fontId="0" fillId="0" borderId="0" xfId="0" applyAlignment="1">
      <alignment wrapText="1"/>
    </xf>
    <xf numFmtId="0" fontId="0" fillId="0" borderId="0" xfId="0" applyAlignment="1">
      <alignment vertical="top"/>
    </xf>
    <xf numFmtId="0" fontId="4" fillId="0" borderId="0" xfId="0" applyFont="1" applyAlignment="1">
      <alignment vertical="top"/>
    </xf>
    <xf numFmtId="0" fontId="2" fillId="0" borderId="0" xfId="0" applyFont="1"/>
    <xf numFmtId="0" fontId="0" fillId="5" borderId="27" xfId="0" applyFill="1" applyBorder="1" applyAlignment="1" applyProtection="1">
      <alignment horizontal="right"/>
      <protection locked="0"/>
    </xf>
    <xf numFmtId="3" fontId="0" fillId="0" borderId="0" xfId="0" applyNumberFormat="1" applyFill="1" applyBorder="1" applyAlignment="1"/>
    <xf numFmtId="3" fontId="0" fillId="0" borderId="0" xfId="0" applyNumberFormat="1" applyFill="1" applyBorder="1"/>
    <xf numFmtId="0" fontId="0" fillId="0" borderId="40" xfId="0" applyBorder="1"/>
    <xf numFmtId="0" fontId="0" fillId="0" borderId="41" xfId="0" applyBorder="1"/>
    <xf numFmtId="3" fontId="4" fillId="0" borderId="0" xfId="0" applyNumberFormat="1" applyFont="1" applyFill="1" applyBorder="1"/>
    <xf numFmtId="3" fontId="0" fillId="2" borderId="4" xfId="0" applyNumberFormat="1" applyFill="1" applyBorder="1" applyAlignment="1"/>
    <xf numFmtId="3" fontId="4" fillId="7" borderId="6" xfId="0" applyNumberFormat="1" applyFont="1" applyFill="1" applyBorder="1" applyAlignment="1"/>
    <xf numFmtId="0" fontId="4" fillId="0" borderId="0" xfId="0" applyFont="1" applyFill="1" applyBorder="1" applyAlignment="1">
      <alignment vertical="center" wrapText="1"/>
    </xf>
    <xf numFmtId="3" fontId="0" fillId="0" borderId="5" xfId="0" applyNumberFormat="1" applyBorder="1" applyAlignment="1"/>
    <xf numFmtId="3" fontId="0" fillId="2" borderId="5" xfId="0" applyNumberFormat="1" applyFill="1" applyBorder="1" applyAlignment="1"/>
    <xf numFmtId="3" fontId="4" fillId="7" borderId="8" xfId="0" applyNumberFormat="1" applyFont="1" applyFill="1" applyBorder="1" applyAlignment="1">
      <alignment horizontal="right"/>
    </xf>
    <xf numFmtId="2" fontId="0" fillId="3" borderId="21" xfId="0" applyNumberFormat="1" applyFill="1" applyBorder="1" applyAlignment="1"/>
    <xf numFmtId="3" fontId="9" fillId="7" borderId="8" xfId="0" applyNumberFormat="1" applyFont="1" applyFill="1" applyBorder="1" applyAlignment="1">
      <alignment horizontal="right"/>
    </xf>
    <xf numFmtId="0" fontId="9" fillId="0" borderId="0" xfId="0" applyFont="1" applyFill="1" applyBorder="1" applyAlignment="1">
      <alignment vertical="center" wrapText="1"/>
    </xf>
    <xf numFmtId="3" fontId="2" fillId="0" borderId="0" xfId="0" applyNumberFormat="1" applyFont="1" applyFill="1" applyBorder="1" applyAlignment="1"/>
    <xf numFmtId="0" fontId="0" fillId="0" borderId="0" xfId="0" applyFill="1" applyBorder="1" applyAlignment="1"/>
    <xf numFmtId="0" fontId="2" fillId="0" borderId="0" xfId="0" applyFont="1" applyFill="1" applyBorder="1" applyAlignment="1"/>
    <xf numFmtId="3" fontId="9" fillId="0" borderId="0" xfId="0" applyNumberFormat="1" applyFont="1" applyFill="1" applyBorder="1" applyAlignment="1"/>
    <xf numFmtId="0" fontId="0" fillId="0" borderId="4" xfId="0" applyBorder="1" applyAlignment="1">
      <alignment horizontal="right"/>
    </xf>
    <xf numFmtId="3" fontId="2" fillId="0" borderId="4" xfId="0" applyNumberFormat="1" applyFont="1" applyBorder="1" applyAlignment="1">
      <alignment horizontal="right"/>
    </xf>
    <xf numFmtId="0" fontId="0" fillId="0" borderId="0" xfId="0" applyAlignment="1">
      <alignment horizontal="center"/>
    </xf>
    <xf numFmtId="0" fontId="22" fillId="0" borderId="5" xfId="0" applyFont="1" applyFill="1" applyBorder="1"/>
    <xf numFmtId="3" fontId="2" fillId="2" borderId="4" xfId="0" applyNumberFormat="1" applyFont="1" applyFill="1" applyBorder="1" applyAlignment="1">
      <alignment horizontal="right"/>
    </xf>
    <xf numFmtId="0" fontId="2" fillId="0" borderId="4" xfId="0" applyFont="1" applyBorder="1" applyAlignment="1">
      <alignment horizontal="right"/>
    </xf>
    <xf numFmtId="3" fontId="9" fillId="7" borderId="6" xfId="0" applyNumberFormat="1" applyFont="1" applyFill="1" applyBorder="1" applyAlignment="1">
      <alignment horizontal="right"/>
    </xf>
    <xf numFmtId="2" fontId="2" fillId="3" borderId="9" xfId="0" applyNumberFormat="1" applyFont="1" applyFill="1" applyBorder="1" applyAlignment="1"/>
    <xf numFmtId="2" fontId="2" fillId="3" borderId="13" xfId="0" applyNumberFormat="1" applyFont="1" applyFill="1" applyBorder="1" applyAlignment="1"/>
    <xf numFmtId="0" fontId="9" fillId="0" borderId="4" xfId="0" applyFont="1" applyFill="1" applyBorder="1" applyAlignment="1">
      <alignment vertical="center" wrapText="1"/>
    </xf>
    <xf numFmtId="3" fontId="2" fillId="0" borderId="4" xfId="0" applyNumberFormat="1" applyFont="1" applyFill="1" applyBorder="1" applyAlignment="1"/>
    <xf numFmtId="0" fontId="0" fillId="0" borderId="4" xfId="0" applyFill="1" applyBorder="1" applyAlignment="1">
      <alignment horizontal="right"/>
    </xf>
    <xf numFmtId="3" fontId="2" fillId="0" borderId="4" xfId="0" applyNumberFormat="1" applyFont="1" applyFill="1" applyBorder="1" applyAlignment="1">
      <alignment horizontal="right"/>
    </xf>
    <xf numFmtId="0" fontId="2" fillId="0" borderId="4" xfId="0" applyFont="1" applyFill="1" applyBorder="1" applyAlignment="1"/>
    <xf numFmtId="3" fontId="9" fillId="0" borderId="4" xfId="0" applyNumberFormat="1" applyFont="1" applyFill="1" applyBorder="1" applyAlignment="1">
      <alignment horizontal="right"/>
    </xf>
    <xf numFmtId="0" fontId="2" fillId="0" borderId="0" xfId="0" applyFont="1" applyFill="1"/>
    <xf numFmtId="0" fontId="4" fillId="0" borderId="0" xfId="0" applyFont="1" applyFill="1" applyAlignment="1">
      <alignment vertical="top"/>
    </xf>
    <xf numFmtId="0" fontId="14" fillId="0" borderId="0" xfId="0" applyFont="1" applyFill="1"/>
    <xf numFmtId="0" fontId="2" fillId="0" borderId="0" xfId="0" applyFont="1" applyAlignment="1">
      <alignment wrapText="1"/>
    </xf>
    <xf numFmtId="0" fontId="0" fillId="7" borderId="34" xfId="0" applyFill="1" applyBorder="1" applyAlignment="1">
      <alignment horizontal="center" vertical="center"/>
    </xf>
    <xf numFmtId="0" fontId="24" fillId="12" borderId="34" xfId="0" applyFont="1" applyFill="1" applyBorder="1" applyAlignment="1">
      <alignment horizontal="center" vertical="center"/>
    </xf>
    <xf numFmtId="0" fontId="0" fillId="13" borderId="34" xfId="0" applyFill="1" applyBorder="1" applyAlignment="1">
      <alignment horizontal="center" vertical="center"/>
    </xf>
    <xf numFmtId="0" fontId="24" fillId="14" borderId="34" xfId="0" applyFont="1" applyFill="1" applyBorder="1" applyAlignment="1">
      <alignment horizontal="center" vertical="center"/>
    </xf>
    <xf numFmtId="0" fontId="24" fillId="15" borderId="34" xfId="0" applyFont="1" applyFill="1" applyBorder="1" applyAlignment="1">
      <alignment horizontal="center" vertical="center"/>
    </xf>
    <xf numFmtId="0" fontId="0" fillId="0" borderId="36" xfId="0" applyFill="1" applyBorder="1" applyAlignment="1">
      <alignment vertical="top"/>
    </xf>
    <xf numFmtId="0" fontId="24" fillId="0" borderId="36" xfId="0" applyFont="1" applyFill="1" applyBorder="1" applyAlignment="1">
      <alignment vertical="top"/>
    </xf>
    <xf numFmtId="0" fontId="0" fillId="0" borderId="0" xfId="0" applyFont="1" applyAlignment="1">
      <alignment vertical="top" wrapText="1"/>
    </xf>
    <xf numFmtId="0" fontId="0" fillId="0" borderId="38" xfId="0" quotePrefix="1" applyBorder="1" applyAlignment="1">
      <alignment vertical="center" wrapText="1"/>
    </xf>
    <xf numFmtId="0" fontId="0" fillId="3" borderId="0" xfId="0" applyFill="1" applyBorder="1"/>
    <xf numFmtId="0" fontId="0" fillId="0" borderId="0" xfId="0" applyBorder="1" applyAlignment="1">
      <alignment vertical="center"/>
    </xf>
    <xf numFmtId="0" fontId="6" fillId="16" borderId="0" xfId="0" applyFont="1" applyFill="1"/>
    <xf numFmtId="0" fontId="0" fillId="16" borderId="0" xfId="0" applyFill="1"/>
    <xf numFmtId="0" fontId="4" fillId="16" borderId="0" xfId="0" applyFont="1" applyFill="1"/>
    <xf numFmtId="0" fontId="0" fillId="17" borderId="13" xfId="0" applyFont="1" applyFill="1" applyBorder="1" applyProtection="1">
      <protection locked="0"/>
    </xf>
    <xf numFmtId="0" fontId="0" fillId="17" borderId="39" xfId="0" applyFill="1" applyBorder="1"/>
    <xf numFmtId="0" fontId="0" fillId="0" borderId="0" xfId="0" applyFont="1" applyAlignment="1">
      <alignment vertical="top" wrapText="1"/>
    </xf>
    <xf numFmtId="0" fontId="0" fillId="0" borderId="1" xfId="0" quotePrefix="1" applyFill="1" applyBorder="1"/>
    <xf numFmtId="3" fontId="0" fillId="0" borderId="1" xfId="0" applyNumberFormat="1" applyFill="1" applyBorder="1" applyAlignment="1"/>
    <xf numFmtId="3" fontId="0" fillId="0" borderId="3" xfId="0" applyNumberFormat="1" applyFill="1" applyBorder="1" applyAlignment="1"/>
    <xf numFmtId="3" fontId="0" fillId="0" borderId="37" xfId="0" applyNumberFormat="1" applyFill="1" applyBorder="1" applyAlignment="1"/>
    <xf numFmtId="0" fontId="0" fillId="0" borderId="37" xfId="0" quotePrefix="1" applyFill="1" applyBorder="1"/>
    <xf numFmtId="0" fontId="4" fillId="7" borderId="6" xfId="0" quotePrefix="1" applyFont="1" applyFill="1" applyBorder="1"/>
    <xf numFmtId="3" fontId="2" fillId="0" borderId="3" xfId="0" applyNumberFormat="1" applyFont="1" applyFill="1" applyBorder="1" applyAlignment="1"/>
    <xf numFmtId="3" fontId="2" fillId="0" borderId="37" xfId="0" applyNumberFormat="1" applyFont="1" applyFill="1" applyBorder="1" applyAlignment="1"/>
    <xf numFmtId="3" fontId="2" fillId="0" borderId="37" xfId="0" applyNumberFormat="1" applyFont="1" applyFill="1" applyBorder="1" applyAlignment="1">
      <alignment horizontal="right"/>
    </xf>
    <xf numFmtId="3" fontId="2" fillId="0" borderId="1" xfId="0" quotePrefix="1" applyNumberFormat="1" applyFont="1" applyFill="1" applyBorder="1" applyAlignment="1">
      <alignment horizontal="right"/>
    </xf>
    <xf numFmtId="0" fontId="0" fillId="0" borderId="10" xfId="0" quotePrefix="1" applyFill="1" applyBorder="1"/>
    <xf numFmtId="0" fontId="22" fillId="0" borderId="0" xfId="0" applyFont="1"/>
    <xf numFmtId="3" fontId="0" fillId="0" borderId="5" xfId="0" applyNumberFormat="1" applyFill="1" applyBorder="1"/>
    <xf numFmtId="3" fontId="0" fillId="0" borderId="28" xfId="0" applyNumberFormat="1" applyFill="1" applyBorder="1"/>
    <xf numFmtId="3" fontId="0" fillId="0" borderId="27" xfId="0" applyNumberFormat="1" applyFill="1" applyBorder="1"/>
    <xf numFmtId="3" fontId="0" fillId="0" borderId="8" xfId="0" applyNumberFormat="1" applyFill="1" applyBorder="1"/>
    <xf numFmtId="3" fontId="0" fillId="0" borderId="43" xfId="0" applyNumberFormat="1" applyFill="1" applyBorder="1"/>
    <xf numFmtId="0" fontId="4" fillId="18" borderId="28" xfId="0" applyFont="1" applyFill="1" applyBorder="1" applyAlignment="1">
      <alignment wrapText="1"/>
    </xf>
    <xf numFmtId="3" fontId="4" fillId="18" borderId="31" xfId="0" applyNumberFormat="1" applyFont="1" applyFill="1" applyBorder="1"/>
    <xf numFmtId="3" fontId="0" fillId="18" borderId="31" xfId="0" applyNumberFormat="1" applyFill="1" applyBorder="1"/>
    <xf numFmtId="0" fontId="26" fillId="4" borderId="32" xfId="0" applyFont="1" applyFill="1" applyBorder="1" applyAlignment="1">
      <alignment wrapText="1"/>
    </xf>
    <xf numFmtId="0" fontId="26" fillId="4" borderId="12" xfId="0" applyFont="1" applyFill="1" applyBorder="1" applyAlignment="1">
      <alignment wrapText="1"/>
    </xf>
    <xf numFmtId="0" fontId="26" fillId="9" borderId="33" xfId="0" applyFont="1" applyFill="1" applyBorder="1"/>
    <xf numFmtId="0" fontId="26" fillId="9" borderId="22" xfId="0" applyFont="1" applyFill="1" applyBorder="1" applyAlignment="1">
      <alignment wrapText="1"/>
    </xf>
    <xf numFmtId="0" fontId="28" fillId="4" borderId="12" xfId="0" applyFont="1" applyFill="1" applyBorder="1" applyAlignment="1">
      <alignment wrapText="1"/>
    </xf>
    <xf numFmtId="0" fontId="28" fillId="9" borderId="22" xfId="0" applyFont="1" applyFill="1" applyBorder="1" applyAlignment="1">
      <alignment wrapText="1"/>
    </xf>
    <xf numFmtId="3" fontId="27" fillId="0" borderId="11" xfId="0" applyNumberFormat="1" applyFont="1" applyFill="1" applyBorder="1"/>
    <xf numFmtId="3" fontId="27" fillId="9" borderId="12" xfId="0" applyNumberFormat="1" applyFont="1" applyFill="1" applyBorder="1"/>
    <xf numFmtId="3" fontId="14" fillId="0" borderId="10" xfId="0" applyNumberFormat="1" applyFont="1" applyBorder="1"/>
    <xf numFmtId="3" fontId="14" fillId="0" borderId="11" xfId="0" applyNumberFormat="1" applyFont="1" applyBorder="1"/>
    <xf numFmtId="3" fontId="28" fillId="9" borderId="12" xfId="0" applyNumberFormat="1" applyFont="1" applyFill="1" applyBorder="1"/>
    <xf numFmtId="3" fontId="14" fillId="0" borderId="22" xfId="0" applyNumberFormat="1" applyFont="1" applyBorder="1"/>
    <xf numFmtId="3" fontId="14" fillId="9" borderId="12" xfId="0" applyNumberFormat="1" applyFont="1" applyFill="1" applyBorder="1"/>
    <xf numFmtId="3" fontId="27" fillId="0" borderId="11" xfId="0" applyNumberFormat="1" applyFont="1" applyBorder="1"/>
    <xf numFmtId="4" fontId="2" fillId="0" borderId="0" xfId="0" applyNumberFormat="1" applyFont="1" applyFill="1" applyAlignment="1"/>
    <xf numFmtId="164" fontId="0" fillId="0" borderId="0" xfId="0" applyNumberFormat="1"/>
    <xf numFmtId="2" fontId="19" fillId="0" borderId="2" xfId="0" applyNumberFormat="1" applyFont="1" applyFill="1" applyBorder="1"/>
    <xf numFmtId="2" fontId="19" fillId="0" borderId="9" xfId="0" applyNumberFormat="1" applyFont="1" applyFill="1" applyBorder="1"/>
    <xf numFmtId="3" fontId="0" fillId="3" borderId="11" xfId="0" applyNumberFormat="1" applyFill="1" applyBorder="1"/>
    <xf numFmtId="3" fontId="0" fillId="0" borderId="10" xfId="0" applyNumberFormat="1" applyBorder="1"/>
    <xf numFmtId="3" fontId="0" fillId="0" borderId="0" xfId="0" applyNumberFormat="1" applyBorder="1"/>
    <xf numFmtId="3" fontId="0" fillId="0" borderId="22" xfId="0" applyNumberFormat="1" applyBorder="1"/>
    <xf numFmtId="3" fontId="0" fillId="0" borderId="0" xfId="0" applyNumberFormat="1" applyBorder="1" applyAlignment="1">
      <alignment wrapText="1"/>
    </xf>
    <xf numFmtId="3" fontId="0" fillId="17" borderId="13" xfId="0" applyNumberFormat="1" applyFill="1" applyBorder="1" applyProtection="1">
      <protection locked="0"/>
    </xf>
    <xf numFmtId="3" fontId="27" fillId="0" borderId="0" xfId="0" applyNumberFormat="1" applyFont="1" applyBorder="1"/>
    <xf numFmtId="3" fontId="27" fillId="0" borderId="10" xfId="0" applyNumberFormat="1" applyFont="1" applyBorder="1"/>
    <xf numFmtId="3" fontId="0" fillId="0" borderId="7" xfId="0" applyNumberFormat="1" applyBorder="1" applyAlignment="1">
      <alignment wrapText="1"/>
    </xf>
    <xf numFmtId="3" fontId="0" fillId="17" borderId="11" xfId="0" applyNumberFormat="1" applyFill="1" applyBorder="1" applyProtection="1">
      <protection locked="0"/>
    </xf>
    <xf numFmtId="3" fontId="27" fillId="0" borderId="7" xfId="0" applyNumberFormat="1" applyFont="1" applyBorder="1"/>
    <xf numFmtId="3" fontId="0" fillId="9" borderId="32" xfId="0" applyNumberFormat="1" applyFill="1" applyBorder="1" applyAlignment="1">
      <alignment wrapText="1"/>
    </xf>
    <xf numFmtId="3" fontId="0" fillId="9" borderId="12" xfId="0" applyNumberFormat="1" applyFill="1" applyBorder="1"/>
    <xf numFmtId="3" fontId="27" fillId="9" borderId="32" xfId="0" applyNumberFormat="1" applyFont="1" applyFill="1" applyBorder="1"/>
    <xf numFmtId="3" fontId="10" fillId="0" borderId="0" xfId="0" applyNumberFormat="1" applyFont="1" applyBorder="1"/>
    <xf numFmtId="3" fontId="15" fillId="9" borderId="32" xfId="0" applyNumberFormat="1" applyFont="1" applyFill="1" applyBorder="1"/>
    <xf numFmtId="3" fontId="4" fillId="9" borderId="12" xfId="0" applyNumberFormat="1" applyFont="1" applyFill="1" applyBorder="1"/>
    <xf numFmtId="3" fontId="26" fillId="9" borderId="32" xfId="0" applyNumberFormat="1" applyFont="1" applyFill="1" applyBorder="1"/>
    <xf numFmtId="3" fontId="26" fillId="9" borderId="12" xfId="0" applyNumberFormat="1" applyFont="1" applyFill="1" applyBorder="1"/>
    <xf numFmtId="3" fontId="0" fillId="0" borderId="7" xfId="0" applyNumberFormat="1" applyBorder="1"/>
    <xf numFmtId="3" fontId="0" fillId="5" borderId="15" xfId="0" applyNumberFormat="1" applyFill="1" applyBorder="1" applyProtection="1">
      <protection locked="0"/>
    </xf>
    <xf numFmtId="3" fontId="4" fillId="9" borderId="32" xfId="0" applyNumberFormat="1" applyFont="1" applyFill="1" applyBorder="1"/>
    <xf numFmtId="3" fontId="4" fillId="0" borderId="0" xfId="0" applyNumberFormat="1" applyFont="1"/>
    <xf numFmtId="3" fontId="0" fillId="0" borderId="10" xfId="0" applyNumberFormat="1" applyFill="1" applyBorder="1"/>
    <xf numFmtId="3" fontId="27" fillId="0" borderId="0" xfId="0" applyNumberFormat="1" applyFont="1" applyFill="1" applyBorder="1"/>
    <xf numFmtId="3" fontId="0" fillId="0" borderId="33" xfId="0" applyNumberFormat="1" applyBorder="1"/>
    <xf numFmtId="3" fontId="27" fillId="0" borderId="33" xfId="0" applyNumberFormat="1" applyFont="1" applyBorder="1"/>
    <xf numFmtId="3" fontId="27" fillId="0" borderId="22" xfId="0" applyNumberFormat="1" applyFont="1" applyBorder="1"/>
    <xf numFmtId="3" fontId="0" fillId="9" borderId="32" xfId="0" applyNumberFormat="1" applyFill="1" applyBorder="1"/>
    <xf numFmtId="3" fontId="0" fillId="0" borderId="13" xfId="0" applyNumberFormat="1" applyBorder="1"/>
    <xf numFmtId="3" fontId="0" fillId="5" borderId="11" xfId="0" applyNumberFormat="1" applyFill="1" applyBorder="1" applyProtection="1">
      <protection locked="0"/>
    </xf>
    <xf numFmtId="3" fontId="27" fillId="0" borderId="7" xfId="0" applyNumberFormat="1" applyFont="1" applyFill="1" applyBorder="1"/>
    <xf numFmtId="2" fontId="2" fillId="0" borderId="13" xfId="0" applyNumberFormat="1" applyFont="1" applyFill="1" applyBorder="1" applyAlignment="1">
      <alignment horizontal="center"/>
    </xf>
    <xf numFmtId="2" fontId="0" fillId="3" borderId="44" xfId="0" applyNumberFormat="1" applyFill="1" applyBorder="1" applyAlignment="1"/>
    <xf numFmtId="0" fontId="0" fillId="0" borderId="45" xfId="0" applyBorder="1"/>
    <xf numFmtId="0" fontId="5" fillId="7" borderId="0" xfId="0" applyFont="1" applyFill="1"/>
    <xf numFmtId="0" fontId="0" fillId="7" borderId="0" xfId="0" applyFill="1"/>
    <xf numFmtId="0" fontId="17" fillId="0" borderId="0" xfId="0" applyFont="1"/>
    <xf numFmtId="0" fontId="24" fillId="0" borderId="0" xfId="0" applyFont="1"/>
    <xf numFmtId="0" fontId="30" fillId="12" borderId="0" xfId="0" applyFont="1" applyFill="1"/>
    <xf numFmtId="0" fontId="13" fillId="12" borderId="0" xfId="0" applyFont="1" applyFill="1"/>
    <xf numFmtId="0" fontId="30" fillId="19" borderId="0" xfId="0" applyFont="1" applyFill="1"/>
    <xf numFmtId="0" fontId="0" fillId="19" borderId="0" xfId="0" applyFill="1"/>
    <xf numFmtId="165" fontId="0" fillId="0" borderId="0" xfId="0" applyNumberFormat="1"/>
    <xf numFmtId="165" fontId="12" fillId="13" borderId="0" xfId="0" applyNumberFormat="1" applyFont="1" applyFill="1"/>
    <xf numFmtId="165" fontId="1" fillId="13" borderId="0" xfId="0" applyNumberFormat="1" applyFont="1" applyFill="1"/>
    <xf numFmtId="165" fontId="0" fillId="13" borderId="0" xfId="0" applyNumberFormat="1" applyFill="1"/>
    <xf numFmtId="165" fontId="13" fillId="0" borderId="0" xfId="0" applyNumberFormat="1" applyFont="1"/>
    <xf numFmtId="165" fontId="12" fillId="0" borderId="0" xfId="0" applyNumberFormat="1" applyFont="1"/>
    <xf numFmtId="165" fontId="1" fillId="0" borderId="0" xfId="0" applyNumberFormat="1" applyFont="1"/>
    <xf numFmtId="165" fontId="4" fillId="8" borderId="0" xfId="0" applyNumberFormat="1" applyFont="1" applyFill="1"/>
    <xf numFmtId="165" fontId="0" fillId="8" borderId="0" xfId="0" applyNumberFormat="1" applyFill="1"/>
    <xf numFmtId="165" fontId="9" fillId="4" borderId="1" xfId="0" applyNumberFormat="1" applyFont="1" applyFill="1" applyBorder="1"/>
    <xf numFmtId="165" fontId="9" fillId="4" borderId="3" xfId="0" applyNumberFormat="1" applyFont="1" applyFill="1" applyBorder="1"/>
    <xf numFmtId="165" fontId="4" fillId="4" borderId="9" xfId="0" applyNumberFormat="1" applyFont="1" applyFill="1" applyBorder="1" applyAlignment="1">
      <alignment wrapText="1"/>
    </xf>
    <xf numFmtId="165" fontId="4" fillId="4" borderId="9" xfId="0" applyNumberFormat="1" applyFont="1" applyFill="1" applyBorder="1"/>
    <xf numFmtId="165" fontId="4" fillId="4" borderId="2" xfId="0" applyNumberFormat="1" applyFont="1" applyFill="1" applyBorder="1"/>
    <xf numFmtId="165" fontId="4" fillId="4" borderId="3" xfId="0" applyNumberFormat="1" applyFont="1" applyFill="1" applyBorder="1" applyAlignment="1">
      <alignment wrapText="1"/>
    </xf>
    <xf numFmtId="165" fontId="0" fillId="0" borderId="4" xfId="0" applyNumberFormat="1" applyBorder="1"/>
    <xf numFmtId="165" fontId="0" fillId="0" borderId="5" xfId="0" applyNumberFormat="1" applyBorder="1"/>
    <xf numFmtId="165" fontId="0" fillId="0" borderId="10" xfId="0" applyNumberFormat="1" applyBorder="1"/>
    <xf numFmtId="165" fontId="0" fillId="5" borderId="28" xfId="0" applyNumberFormat="1" applyFill="1" applyBorder="1" applyProtection="1">
      <protection locked="0"/>
    </xf>
    <xf numFmtId="165" fontId="0" fillId="0" borderId="35" xfId="0" applyNumberFormat="1" applyBorder="1"/>
    <xf numFmtId="165" fontId="0" fillId="0" borderId="4" xfId="0" applyNumberFormat="1" applyBorder="1" applyAlignment="1"/>
    <xf numFmtId="165" fontId="0" fillId="0" borderId="28" xfId="0" applyNumberFormat="1" applyBorder="1"/>
    <xf numFmtId="165" fontId="0" fillId="5" borderId="27" xfId="0" applyNumberFormat="1" applyFill="1" applyBorder="1" applyProtection="1">
      <protection locked="0"/>
    </xf>
    <xf numFmtId="165" fontId="0" fillId="3" borderId="6" xfId="0" applyNumberFormat="1" applyFill="1" applyBorder="1"/>
    <xf numFmtId="165" fontId="0" fillId="3" borderId="8" xfId="0" applyNumberFormat="1" applyFill="1" applyBorder="1"/>
    <xf numFmtId="165" fontId="0" fillId="3" borderId="11" xfId="0" applyNumberFormat="1" applyFill="1" applyBorder="1"/>
    <xf numFmtId="165" fontId="0" fillId="0" borderId="0" xfId="0" applyNumberFormat="1" applyFill="1" applyBorder="1"/>
    <xf numFmtId="165" fontId="0" fillId="0" borderId="2" xfId="0" applyNumberFormat="1" applyFill="1" applyBorder="1"/>
    <xf numFmtId="165" fontId="0" fillId="0" borderId="0" xfId="0" applyNumberFormat="1" applyFill="1"/>
    <xf numFmtId="165" fontId="0" fillId="0" borderId="0" xfId="0" applyNumberFormat="1" applyBorder="1"/>
    <xf numFmtId="165" fontId="4" fillId="8" borderId="0" xfId="0" applyNumberFormat="1" applyFont="1" applyFill="1" applyBorder="1"/>
    <xf numFmtId="165" fontId="2" fillId="8" borderId="7" xfId="0" applyNumberFormat="1" applyFont="1" applyFill="1" applyBorder="1"/>
    <xf numFmtId="165" fontId="0" fillId="0" borderId="7" xfId="0" applyNumberFormat="1" applyFill="1" applyBorder="1"/>
    <xf numFmtId="165" fontId="0" fillId="0" borderId="1" xfId="0" applyNumberFormat="1" applyBorder="1"/>
    <xf numFmtId="165" fontId="0" fillId="0" borderId="31" xfId="0" applyNumberFormat="1" applyBorder="1"/>
    <xf numFmtId="165" fontId="0" fillId="0" borderId="2" xfId="0" applyNumberFormat="1" applyBorder="1"/>
    <xf numFmtId="165" fontId="0" fillId="0" borderId="9" xfId="0" applyNumberFormat="1" applyBorder="1"/>
    <xf numFmtId="165" fontId="0" fillId="0" borderId="3" xfId="0" applyNumberFormat="1" applyBorder="1"/>
    <xf numFmtId="165" fontId="0" fillId="0" borderId="29" xfId="0" applyNumberFormat="1" applyBorder="1"/>
    <xf numFmtId="165" fontId="0" fillId="0" borderId="22" xfId="0" applyNumberFormat="1" applyBorder="1"/>
    <xf numFmtId="165" fontId="4" fillId="6" borderId="36" xfId="0" applyNumberFormat="1" applyFont="1" applyFill="1" applyBorder="1"/>
    <xf numFmtId="165" fontId="4" fillId="6" borderId="37" xfId="0" applyNumberFormat="1" applyFont="1" applyFill="1" applyBorder="1"/>
    <xf numFmtId="165" fontId="9" fillId="0" borderId="0" xfId="0" applyNumberFormat="1" applyFont="1"/>
    <xf numFmtId="165" fontId="2" fillId="0" borderId="3" xfId="0" applyNumberFormat="1" applyFont="1" applyBorder="1" applyAlignment="1">
      <alignment horizontal="right"/>
    </xf>
    <xf numFmtId="165" fontId="20" fillId="0" borderId="0" xfId="0" applyNumberFormat="1" applyFont="1"/>
    <xf numFmtId="165" fontId="19" fillId="0" borderId="4" xfId="0" applyNumberFormat="1" applyFont="1" applyBorder="1"/>
    <xf numFmtId="165" fontId="19" fillId="0" borderId="0" xfId="0" applyNumberFormat="1" applyFont="1" applyBorder="1"/>
    <xf numFmtId="165" fontId="19" fillId="0" borderId="0" xfId="0" applyNumberFormat="1" applyFont="1" applyFill="1" applyBorder="1"/>
    <xf numFmtId="165" fontId="19" fillId="0" borderId="10" xfId="0" applyNumberFormat="1" applyFont="1" applyFill="1" applyBorder="1"/>
    <xf numFmtId="165" fontId="19" fillId="0" borderId="5" xfId="0" applyNumberFormat="1" applyFont="1" applyBorder="1"/>
    <xf numFmtId="165" fontId="2" fillId="3" borderId="6" xfId="0" applyNumberFormat="1" applyFont="1" applyFill="1" applyBorder="1"/>
    <xf numFmtId="165" fontId="2" fillId="3" borderId="7" xfId="0" applyNumberFormat="1" applyFont="1" applyFill="1" applyBorder="1"/>
    <xf numFmtId="165" fontId="2" fillId="3" borderId="11" xfId="0" applyNumberFormat="1" applyFont="1" applyFill="1" applyBorder="1"/>
    <xf numFmtId="165" fontId="7" fillId="0" borderId="0" xfId="0" applyNumberFormat="1" applyFont="1" applyFill="1"/>
    <xf numFmtId="165" fontId="14" fillId="0" borderId="0" xfId="0" applyNumberFormat="1" applyFont="1"/>
    <xf numFmtId="166" fontId="0" fillId="0" borderId="0" xfId="2" applyNumberFormat="1" applyFont="1"/>
    <xf numFmtId="166" fontId="9" fillId="0" borderId="0" xfId="2" applyNumberFormat="1" applyFont="1"/>
    <xf numFmtId="166" fontId="20" fillId="0" borderId="0" xfId="2" applyNumberFormat="1" applyFont="1"/>
    <xf numFmtId="166" fontId="14" fillId="0" borderId="0" xfId="2" applyNumberFormat="1" applyFont="1"/>
    <xf numFmtId="43" fontId="0" fillId="0" borderId="1" xfId="2" applyNumberFormat="1" applyFont="1" applyBorder="1"/>
    <xf numFmtId="43" fontId="0" fillId="0" borderId="2" xfId="2" applyNumberFormat="1" applyFont="1" applyBorder="1"/>
    <xf numFmtId="43" fontId="0" fillId="0" borderId="9" xfId="2" applyNumberFormat="1" applyFont="1" applyBorder="1"/>
    <xf numFmtId="43" fontId="2" fillId="0" borderId="3" xfId="2" applyNumberFormat="1" applyFont="1" applyBorder="1" applyAlignment="1">
      <alignment horizontal="right"/>
    </xf>
    <xf numFmtId="43" fontId="19" fillId="0" borderId="4" xfId="2" applyNumberFormat="1" applyFont="1" applyBorder="1"/>
    <xf numFmtId="43" fontId="19" fillId="0" borderId="0" xfId="2" applyNumberFormat="1" applyFont="1" applyBorder="1"/>
    <xf numFmtId="43" fontId="19" fillId="0" borderId="10" xfId="2" applyNumberFormat="1" applyFont="1" applyFill="1" applyBorder="1"/>
    <xf numFmtId="43" fontId="19" fillId="0" borderId="0" xfId="2" applyNumberFormat="1" applyFont="1" applyFill="1" applyBorder="1"/>
    <xf numFmtId="43" fontId="19" fillId="0" borderId="5" xfId="2" applyNumberFormat="1" applyFont="1" applyBorder="1"/>
    <xf numFmtId="43" fontId="2" fillId="3" borderId="6" xfId="2" applyNumberFormat="1" applyFont="1" applyFill="1" applyBorder="1"/>
    <xf numFmtId="43" fontId="2" fillId="3" borderId="7" xfId="2" applyNumberFormat="1" applyFont="1" applyFill="1" applyBorder="1"/>
    <xf numFmtId="43" fontId="2" fillId="3" borderId="11" xfId="2" applyNumberFormat="1" applyFont="1" applyFill="1" applyBorder="1"/>
    <xf numFmtId="43" fontId="2" fillId="3" borderId="8" xfId="2" applyNumberFormat="1" applyFont="1" applyFill="1" applyBorder="1"/>
    <xf numFmtId="167" fontId="24" fillId="0" borderId="0" xfId="2" applyNumberFormat="1" applyFont="1"/>
    <xf numFmtId="167" fontId="30" fillId="14" borderId="0" xfId="2" applyNumberFormat="1" applyFont="1" applyFill="1"/>
    <xf numFmtId="167" fontId="24" fillId="14" borderId="0" xfId="2" applyNumberFormat="1" applyFont="1" applyFill="1"/>
    <xf numFmtId="167" fontId="0" fillId="0" borderId="0" xfId="2" applyNumberFormat="1" applyFont="1"/>
    <xf numFmtId="167" fontId="13" fillId="0" borderId="0" xfId="2" applyNumberFormat="1" applyFont="1"/>
    <xf numFmtId="167" fontId="5" fillId="0" borderId="0" xfId="2" applyNumberFormat="1" applyFont="1"/>
    <xf numFmtId="167" fontId="4" fillId="8" borderId="0" xfId="2" applyNumberFormat="1" applyFont="1" applyFill="1"/>
    <xf numFmtId="167" fontId="4" fillId="4" borderId="3" xfId="2" applyNumberFormat="1" applyFont="1" applyFill="1" applyBorder="1" applyAlignment="1">
      <alignment wrapText="1"/>
    </xf>
    <xf numFmtId="167" fontId="4" fillId="4" borderId="12" xfId="2" applyNumberFormat="1" applyFont="1" applyFill="1" applyBorder="1"/>
    <xf numFmtId="167" fontId="4" fillId="4" borderId="31" xfId="2" applyNumberFormat="1" applyFont="1" applyFill="1" applyBorder="1"/>
    <xf numFmtId="167" fontId="4" fillId="4" borderId="32" xfId="2" applyNumberFormat="1" applyFont="1" applyFill="1" applyBorder="1"/>
    <xf numFmtId="167" fontId="4" fillId="4" borderId="12" xfId="2" applyNumberFormat="1" applyFont="1" applyFill="1" applyBorder="1" applyAlignment="1">
      <alignment wrapText="1"/>
    </xf>
    <xf numFmtId="167" fontId="4" fillId="4" borderId="31" xfId="2" applyNumberFormat="1" applyFont="1" applyFill="1" applyBorder="1" applyAlignment="1">
      <alignment wrapText="1"/>
    </xf>
    <xf numFmtId="167" fontId="0" fillId="0" borderId="0" xfId="2" applyNumberFormat="1" applyFont="1" applyBorder="1"/>
    <xf numFmtId="167" fontId="0" fillId="3" borderId="8" xfId="2" applyNumberFormat="1" applyFont="1" applyFill="1" applyBorder="1"/>
    <xf numFmtId="167" fontId="0" fillId="0" borderId="0" xfId="2" applyNumberFormat="1" applyFont="1" applyFill="1" applyBorder="1"/>
    <xf numFmtId="167" fontId="4" fillId="8" borderId="0" xfId="2" applyNumberFormat="1" applyFont="1" applyFill="1" applyBorder="1"/>
    <xf numFmtId="167" fontId="4" fillId="0" borderId="0" xfId="2" applyNumberFormat="1" applyFont="1" applyFill="1" applyBorder="1"/>
    <xf numFmtId="167" fontId="4" fillId="4" borderId="30" xfId="2" applyNumberFormat="1" applyFont="1" applyFill="1" applyBorder="1"/>
    <xf numFmtId="167" fontId="4" fillId="6" borderId="38" xfId="2" applyNumberFormat="1" applyFont="1" applyFill="1" applyBorder="1"/>
    <xf numFmtId="167" fontId="4" fillId="6" borderId="34" xfId="2" applyNumberFormat="1" applyFont="1" applyFill="1" applyBorder="1"/>
    <xf numFmtId="167" fontId="0" fillId="0" borderId="0" xfId="2" applyNumberFormat="1" applyFont="1" applyFill="1"/>
    <xf numFmtId="167" fontId="4" fillId="0" borderId="0" xfId="2" applyNumberFormat="1" applyFont="1" applyFill="1"/>
    <xf numFmtId="167" fontId="0" fillId="0" borderId="9" xfId="2" applyNumberFormat="1" applyFont="1" applyBorder="1"/>
    <xf numFmtId="167" fontId="0" fillId="0" borderId="11" xfId="2" applyNumberFormat="1" applyFont="1" applyBorder="1"/>
    <xf numFmtId="167" fontId="0" fillId="0" borderId="8" xfId="2" applyNumberFormat="1" applyFont="1" applyBorder="1"/>
    <xf numFmtId="0" fontId="31" fillId="0" borderId="0" xfId="0" applyFont="1"/>
    <xf numFmtId="0" fontId="32" fillId="0" borderId="0" xfId="0" applyFont="1"/>
    <xf numFmtId="0" fontId="33" fillId="0" borderId="0" xfId="3"/>
    <xf numFmtId="0" fontId="0" fillId="5" borderId="5" xfId="0" applyFill="1" applyBorder="1" applyProtection="1">
      <protection locked="0"/>
    </xf>
    <xf numFmtId="0" fontId="2" fillId="0" borderId="42" xfId="0" applyFont="1" applyBorder="1"/>
    <xf numFmtId="0" fontId="2" fillId="0" borderId="17" xfId="0" applyFont="1" applyBorder="1"/>
    <xf numFmtId="0" fontId="2" fillId="0" borderId="10" xfId="0" applyFont="1" applyBorder="1"/>
    <xf numFmtId="2" fontId="2" fillId="3" borderId="21" xfId="0" applyNumberFormat="1" applyFont="1" applyFill="1" applyBorder="1" applyAlignment="1"/>
    <xf numFmtId="2" fontId="2" fillId="3" borderId="44" xfId="0" applyNumberFormat="1" applyFont="1" applyFill="1" applyBorder="1" applyAlignment="1"/>
    <xf numFmtId="0" fontId="2" fillId="0" borderId="45" xfId="0" applyFont="1" applyBorder="1"/>
    <xf numFmtId="167" fontId="0" fillId="0" borderId="10" xfId="2" applyNumberFormat="1" applyFont="1" applyBorder="1"/>
    <xf numFmtId="167" fontId="0" fillId="0" borderId="5" xfId="2" applyNumberFormat="1" applyFont="1" applyBorder="1"/>
    <xf numFmtId="3" fontId="0" fillId="0" borderId="0" xfId="0" applyNumberFormat="1" applyFill="1" applyBorder="1" applyProtection="1">
      <protection locked="0"/>
    </xf>
    <xf numFmtId="3" fontId="0" fillId="5" borderId="12" xfId="0" applyNumberFormat="1" applyFill="1" applyBorder="1" applyProtection="1">
      <protection locked="0"/>
    </xf>
    <xf numFmtId="3" fontId="0" fillId="11" borderId="14" xfId="0" applyNumberFormat="1" applyFill="1" applyBorder="1"/>
    <xf numFmtId="0" fontId="0" fillId="5" borderId="22" xfId="0" applyFill="1" applyBorder="1" applyProtection="1">
      <protection locked="0"/>
    </xf>
    <xf numFmtId="3" fontId="0" fillId="5" borderId="10" xfId="0" applyNumberFormat="1" applyFill="1" applyBorder="1" applyProtection="1">
      <protection locked="0"/>
    </xf>
    <xf numFmtId="167" fontId="4" fillId="8" borderId="7" xfId="2" applyNumberFormat="1" applyFont="1" applyFill="1" applyBorder="1"/>
    <xf numFmtId="167" fontId="0" fillId="0" borderId="7" xfId="2" applyNumberFormat="1" applyFont="1" applyBorder="1"/>
    <xf numFmtId="3" fontId="0" fillId="11" borderId="22" xfId="0" applyNumberFormat="1" applyFill="1" applyBorder="1"/>
    <xf numFmtId="167" fontId="9" fillId="4" borderId="12" xfId="2" applyNumberFormat="1" applyFont="1" applyFill="1" applyBorder="1"/>
    <xf numFmtId="167" fontId="0" fillId="0" borderId="22" xfId="2" applyNumberFormat="1" applyFont="1" applyBorder="1"/>
    <xf numFmtId="167" fontId="0" fillId="3" borderId="11" xfId="2" applyNumberFormat="1" applyFont="1" applyFill="1" applyBorder="1"/>
    <xf numFmtId="167" fontId="0" fillId="3" borderId="15" xfId="2" applyNumberFormat="1" applyFont="1" applyFill="1" applyBorder="1"/>
    <xf numFmtId="3" fontId="0" fillId="11" borderId="15" xfId="0" applyNumberFormat="1" applyFill="1" applyBorder="1"/>
    <xf numFmtId="3" fontId="0" fillId="11" borderId="10" xfId="0" applyNumberFormat="1" applyFill="1" applyBorder="1"/>
    <xf numFmtId="0" fontId="0" fillId="5" borderId="8" xfId="0" applyFont="1" applyFill="1" applyBorder="1" applyProtection="1">
      <protection locked="0"/>
    </xf>
    <xf numFmtId="165" fontId="0" fillId="0" borderId="31" xfId="0" applyNumberFormat="1" applyFill="1" applyBorder="1"/>
    <xf numFmtId="165" fontId="0" fillId="0" borderId="28" xfId="0" applyNumberFormat="1" applyFill="1" applyBorder="1" applyProtection="1">
      <protection locked="0"/>
    </xf>
    <xf numFmtId="165" fontId="0" fillId="0" borderId="27" xfId="0" applyNumberFormat="1" applyFill="1" applyBorder="1" applyProtection="1">
      <protection locked="0"/>
    </xf>
    <xf numFmtId="165" fontId="4" fillId="4" borderId="7" xfId="0" applyNumberFormat="1" applyFont="1" applyFill="1" applyBorder="1" applyAlignment="1">
      <alignment wrapText="1"/>
    </xf>
    <xf numFmtId="3" fontId="0" fillId="5" borderId="13" xfId="0" applyNumberFormat="1" applyFill="1" applyBorder="1"/>
    <xf numFmtId="167" fontId="0" fillId="0" borderId="7" xfId="2" applyNumberFormat="1" applyFont="1" applyFill="1" applyBorder="1"/>
    <xf numFmtId="3" fontId="0" fillId="5" borderId="12" xfId="0" applyNumberFormat="1" applyFill="1" applyBorder="1"/>
    <xf numFmtId="3" fontId="0" fillId="5" borderId="14" xfId="0" applyNumberFormat="1" applyFill="1" applyBorder="1"/>
    <xf numFmtId="0" fontId="0" fillId="0" borderId="39" xfId="0" applyFill="1" applyBorder="1" applyProtection="1">
      <protection locked="0"/>
    </xf>
    <xf numFmtId="0" fontId="0" fillId="0" borderId="0" xfId="0" applyFill="1" applyBorder="1" applyProtection="1">
      <protection locked="0"/>
    </xf>
    <xf numFmtId="3" fontId="0" fillId="0" borderId="12" xfId="0" applyNumberFormat="1" applyFill="1" applyBorder="1"/>
    <xf numFmtId="3" fontId="0" fillId="0" borderId="31" xfId="0" applyNumberFormat="1" applyFill="1" applyBorder="1"/>
    <xf numFmtId="3" fontId="0" fillId="0" borderId="13" xfId="0" applyNumberFormat="1" applyFill="1" applyBorder="1"/>
    <xf numFmtId="0" fontId="0" fillId="0" borderId="0" xfId="0" applyAlignment="1">
      <alignment vertical="center"/>
    </xf>
    <xf numFmtId="0" fontId="0" fillId="0" borderId="0" xfId="0" quotePrefix="1" applyAlignment="1">
      <alignment vertical="center"/>
    </xf>
    <xf numFmtId="0" fontId="0" fillId="5" borderId="10" xfId="0" applyFont="1" applyFill="1" applyBorder="1" applyProtection="1">
      <protection locked="0"/>
    </xf>
    <xf numFmtId="0" fontId="4" fillId="4" borderId="31" xfId="0" applyFont="1" applyFill="1" applyBorder="1"/>
    <xf numFmtId="0" fontId="0" fillId="17" borderId="27" xfId="0" applyFont="1" applyFill="1" applyBorder="1" applyProtection="1">
      <protection locked="0"/>
    </xf>
    <xf numFmtId="3" fontId="0" fillId="3" borderId="28" xfId="0" applyNumberFormat="1" applyFont="1" applyFill="1" applyBorder="1"/>
    <xf numFmtId="0" fontId="0" fillId="5" borderId="28" xfId="0" applyFont="1" applyFill="1" applyBorder="1" applyProtection="1">
      <protection locked="0"/>
    </xf>
    <xf numFmtId="0" fontId="0" fillId="0" borderId="28" xfId="0" applyFont="1" applyFill="1" applyBorder="1"/>
    <xf numFmtId="0" fontId="0" fillId="3" borderId="28" xfId="0" applyFont="1" applyFill="1" applyBorder="1"/>
    <xf numFmtId="0" fontId="0" fillId="0" borderId="10" xfId="0" applyNumberFormat="1" applyFont="1" applyFill="1" applyBorder="1"/>
    <xf numFmtId="0" fontId="0" fillId="0" borderId="23" xfId="0" applyNumberFormat="1" applyFont="1" applyFill="1" applyBorder="1"/>
    <xf numFmtId="3" fontId="4" fillId="6" borderId="11" xfId="0" applyNumberFormat="1" applyFont="1" applyFill="1" applyBorder="1"/>
    <xf numFmtId="3" fontId="4" fillId="6" borderId="15" xfId="0" applyNumberFormat="1" applyFont="1" applyFill="1" applyBorder="1"/>
    <xf numFmtId="0" fontId="0" fillId="0" borderId="10" xfId="0" applyFont="1" applyFill="1" applyBorder="1" applyProtection="1">
      <protection locked="0"/>
    </xf>
    <xf numFmtId="0" fontId="2" fillId="0" borderId="4" xfId="0" applyFont="1" applyFill="1" applyBorder="1"/>
    <xf numFmtId="2" fontId="0" fillId="3" borderId="46" xfId="0" applyNumberFormat="1" applyFill="1" applyBorder="1" applyAlignment="1"/>
    <xf numFmtId="0" fontId="0" fillId="0" borderId="11" xfId="0" applyFont="1" applyFill="1" applyBorder="1"/>
    <xf numFmtId="165" fontId="0" fillId="0" borderId="1" xfId="0" applyNumberFormat="1" applyFill="1" applyBorder="1"/>
    <xf numFmtId="165" fontId="0" fillId="0" borderId="4" xfId="0" applyNumberFormat="1" applyFill="1" applyBorder="1"/>
    <xf numFmtId="165" fontId="0" fillId="0" borderId="29" xfId="0" applyNumberFormat="1" applyFill="1" applyBorder="1"/>
    <xf numFmtId="165" fontId="0" fillId="0" borderId="5" xfId="0" applyNumberFormat="1" applyFill="1" applyBorder="1" applyProtection="1">
      <protection locked="0"/>
    </xf>
    <xf numFmtId="4" fontId="0" fillId="5" borderId="28" xfId="0" applyNumberFormat="1" applyFill="1" applyBorder="1" applyProtection="1">
      <protection locked="0"/>
    </xf>
    <xf numFmtId="4" fontId="0" fillId="5" borderId="5" xfId="0" applyNumberFormat="1" applyFill="1" applyBorder="1" applyProtection="1">
      <protection locked="0"/>
    </xf>
    <xf numFmtId="167" fontId="0" fillId="0" borderId="10" xfId="2" applyNumberFormat="1" applyFont="1" applyFill="1" applyBorder="1"/>
    <xf numFmtId="167" fontId="0" fillId="0" borderId="22" xfId="2" applyNumberFormat="1" applyFont="1" applyFill="1" applyBorder="1"/>
    <xf numFmtId="0" fontId="34" fillId="0" borderId="0" xfId="0" applyFont="1"/>
    <xf numFmtId="0" fontId="34" fillId="0" borderId="0" xfId="0" applyFont="1" applyBorder="1"/>
    <xf numFmtId="3" fontId="0" fillId="0" borderId="48" xfId="0" applyNumberFormat="1" applyFill="1" applyBorder="1"/>
    <xf numFmtId="3" fontId="0" fillId="5" borderId="14" xfId="0" applyNumberFormat="1" applyFill="1" applyBorder="1" applyProtection="1">
      <protection locked="0"/>
    </xf>
    <xf numFmtId="3" fontId="0" fillId="0" borderId="14" xfId="0" applyNumberFormat="1" applyFill="1" applyBorder="1"/>
    <xf numFmtId="2" fontId="0" fillId="3" borderId="20" xfId="0" applyNumberFormat="1" applyFill="1" applyBorder="1" applyAlignment="1"/>
    <xf numFmtId="2" fontId="0" fillId="3" borderId="47" xfId="0" applyNumberFormat="1" applyFill="1" applyBorder="1" applyAlignment="1"/>
    <xf numFmtId="0" fontId="0" fillId="0" borderId="4" xfId="0" quotePrefix="1" applyFill="1" applyBorder="1"/>
    <xf numFmtId="0" fontId="24" fillId="0" borderId="36" xfId="0" applyFont="1" applyBorder="1" applyAlignment="1">
      <alignment vertical="top"/>
    </xf>
    <xf numFmtId="0" fontId="4" fillId="3" borderId="37" xfId="0" applyFont="1" applyFill="1" applyBorder="1"/>
    <xf numFmtId="0" fontId="4" fillId="3" borderId="34" xfId="0" applyFont="1" applyFill="1" applyBorder="1"/>
    <xf numFmtId="0" fontId="26" fillId="3" borderId="37" xfId="0" applyFont="1" applyFill="1" applyBorder="1"/>
    <xf numFmtId="0" fontId="26" fillId="3" borderId="34" xfId="0" applyFont="1" applyFill="1" applyBorder="1"/>
    <xf numFmtId="3" fontId="4" fillId="7" borderId="38" xfId="0" applyNumberFormat="1" applyFont="1" applyFill="1" applyBorder="1"/>
    <xf numFmtId="3" fontId="28" fillId="3" borderId="34" xfId="0" applyNumberFormat="1" applyFont="1" applyFill="1" applyBorder="1"/>
    <xf numFmtId="0" fontId="4" fillId="3" borderId="36" xfId="0" applyFont="1" applyFill="1" applyBorder="1"/>
    <xf numFmtId="3" fontId="10" fillId="5" borderId="13" xfId="0" applyNumberFormat="1" applyFont="1" applyFill="1" applyBorder="1" applyProtection="1">
      <protection locked="0"/>
    </xf>
    <xf numFmtId="3" fontId="0" fillId="5" borderId="0" xfId="0" applyNumberFormat="1" applyFill="1" applyBorder="1" applyProtection="1">
      <protection locked="0"/>
    </xf>
    <xf numFmtId="0" fontId="0" fillId="0" borderId="0" xfId="0" applyAlignment="1">
      <alignment wrapText="1"/>
    </xf>
    <xf numFmtId="0" fontId="2" fillId="0" borderId="0" xfId="0" applyFont="1" applyAlignment="1">
      <alignment wrapText="1"/>
    </xf>
    <xf numFmtId="0" fontId="0" fillId="0" borderId="0" xfId="0" applyFont="1" applyAlignment="1">
      <alignment vertical="top"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2" fillId="0" borderId="1" xfId="0" applyFont="1" applyFill="1" applyBorder="1"/>
    <xf numFmtId="0" fontId="2" fillId="0" borderId="3" xfId="0" applyFont="1" applyFill="1" applyBorder="1"/>
    <xf numFmtId="0" fontId="2" fillId="0" borderId="4" xfId="0" applyFont="1" applyFill="1" applyBorder="1"/>
    <xf numFmtId="0" fontId="2" fillId="0" borderId="5" xfId="0" applyFont="1" applyFill="1" applyBorder="1"/>
    <xf numFmtId="0" fontId="2" fillId="0" borderId="6" xfId="0" applyFont="1" applyFill="1" applyBorder="1"/>
    <xf numFmtId="0" fontId="2" fillId="0" borderId="8" xfId="0" applyFont="1" applyFill="1" applyBorder="1"/>
    <xf numFmtId="0" fontId="35" fillId="0" borderId="0" xfId="3" applyFont="1" applyAlignment="1"/>
    <xf numFmtId="0" fontId="35" fillId="0" borderId="0" xfId="3" applyFont="1"/>
    <xf numFmtId="165" fontId="4" fillId="6" borderId="34" xfId="0" applyNumberFormat="1" applyFont="1" applyFill="1" applyBorder="1"/>
  </cellXfs>
  <cellStyles count="4">
    <cellStyle name="Komma" xfId="2" builtinId="3"/>
    <cellStyle name="Link" xfId="3" builtinId="8"/>
    <cellStyle name="Prozent" xfId="1" builtinId="5"/>
    <cellStyle name="Standard" xfId="0" builtinId="0"/>
  </cellStyles>
  <dxfs count="15">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ill>
        <patternFill>
          <fgColor rgb="FFFF3F3F"/>
          <bgColor rgb="FFFF5353"/>
        </patternFill>
      </fill>
    </dxf>
    <dxf>
      <fill>
        <patternFill>
          <fgColor rgb="FFFF3F3F"/>
          <bgColor rgb="FFFF5353"/>
        </patternFill>
      </fill>
    </dxf>
    <dxf>
      <font>
        <color rgb="FFC00000"/>
      </font>
    </dxf>
    <dxf>
      <fill>
        <patternFill>
          <bgColor rgb="FFFF3F3F"/>
        </patternFill>
      </fill>
    </dxf>
    <dxf>
      <font>
        <color rgb="FFC00000"/>
      </font>
    </dxf>
    <dxf>
      <font>
        <color rgb="FFFF0000"/>
      </font>
      <fill>
        <patternFill patternType="none">
          <bgColor auto="1"/>
        </patternFill>
      </fill>
    </dxf>
    <dxf>
      <font>
        <color rgb="FFC00000"/>
      </font>
    </dxf>
  </dxfs>
  <tableStyles count="0" defaultTableStyle="TableStyleMedium2" defaultPivotStyle="PivotStyleLight16"/>
  <colors>
    <mruColors>
      <color rgb="FFE3FBD6"/>
      <color rgb="FFFFCCCC"/>
      <color rgb="FFFCEAD6"/>
      <color rgb="FFC7E98F"/>
      <color rgb="FFFBE3C9"/>
      <color rgb="FFF9EACB"/>
      <color rgb="FFD3EEA8"/>
      <color rgb="FF82BB25"/>
      <color rgb="FF98D632"/>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Rechentabelle!$A3" lockText="1" noThreeD="1"/>
</file>

<file path=xl/ctrlProps/ctrlProp10.xml><?xml version="1.0" encoding="utf-8"?>
<formControlPr xmlns="http://schemas.microsoft.com/office/spreadsheetml/2009/9/main" objectType="CheckBox" fmlaLink="Rechentabelle!$A$20" lockText="1" noThreeD="1"/>
</file>

<file path=xl/ctrlProps/ctrlProp11.xml><?xml version="1.0" encoding="utf-8"?>
<formControlPr xmlns="http://schemas.microsoft.com/office/spreadsheetml/2009/9/main" objectType="CheckBox" fmlaLink="Rechentabelle!$A$21" lockText="1" noThreeD="1"/>
</file>

<file path=xl/ctrlProps/ctrlProp12.xml><?xml version="1.0" encoding="utf-8"?>
<formControlPr xmlns="http://schemas.microsoft.com/office/spreadsheetml/2009/9/main" objectType="CheckBox" checked="Checked" fmlaLink="Rechentabelle!$A$2" lockText="1" noThreeD="1"/>
</file>

<file path=xl/ctrlProps/ctrlProp13.xml><?xml version="1.0" encoding="utf-8"?>
<formControlPr xmlns="http://schemas.microsoft.com/office/spreadsheetml/2009/9/main" objectType="CheckBox" fmlaLink="Rechentabelle!$A4" lockText="1" noThreeD="1"/>
</file>

<file path=xl/ctrlProps/ctrlProp14.xml><?xml version="1.0" encoding="utf-8"?>
<formControlPr xmlns="http://schemas.microsoft.com/office/spreadsheetml/2009/9/main" objectType="CheckBox" fmlaLink="Rechentabelle!A5" lockText="1" noThreeD="1"/>
</file>

<file path=xl/ctrlProps/ctrlProp15.xml><?xml version="1.0" encoding="utf-8"?>
<formControlPr xmlns="http://schemas.microsoft.com/office/spreadsheetml/2009/9/main" objectType="CheckBox" fmlaLink="Rechentabelle!$A$22" lockText="1" noThreeD="1"/>
</file>

<file path=xl/ctrlProps/ctrlProp16.xml><?xml version="1.0" encoding="utf-8"?>
<formControlPr xmlns="http://schemas.microsoft.com/office/spreadsheetml/2009/9/main" objectType="CheckBox" fmlaLink="Rechentabelle!$A$23" lockText="1" noThreeD="1"/>
</file>

<file path=xl/ctrlProps/ctrlProp17.xml><?xml version="1.0" encoding="utf-8"?>
<formControlPr xmlns="http://schemas.microsoft.com/office/spreadsheetml/2009/9/main" objectType="CheckBox" fmlaLink="Rechentabelle!$A$24" lockText="1" noThreeD="1"/>
</file>

<file path=xl/ctrlProps/ctrlProp18.xml><?xml version="1.0" encoding="utf-8"?>
<formControlPr xmlns="http://schemas.microsoft.com/office/spreadsheetml/2009/9/main" objectType="CheckBox" fmlaLink="Rechentabelle!$A$25" lockText="1" noThreeD="1"/>
</file>

<file path=xl/ctrlProps/ctrlProp19.xml><?xml version="1.0" encoding="utf-8"?>
<formControlPr xmlns="http://schemas.microsoft.com/office/spreadsheetml/2009/9/main" objectType="CheckBox" fmlaLink="Rechentabelle!$A$27"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Rechentabelle!$A$6" lockText="1" noThreeD="1"/>
</file>

<file path=xl/ctrlProps/ctrlProp4.xml><?xml version="1.0" encoding="utf-8"?>
<formControlPr xmlns="http://schemas.microsoft.com/office/spreadsheetml/2009/9/main" objectType="CheckBox" fmlaLink="Rechentabelle!$A7" lockText="1" noThreeD="1"/>
</file>

<file path=xl/ctrlProps/ctrlProp5.xml><?xml version="1.0" encoding="utf-8"?>
<formControlPr xmlns="http://schemas.microsoft.com/office/spreadsheetml/2009/9/main" objectType="CheckBox" checked="Checked" fmlaLink="Rechentabelle!$A$8" lockText="1" noThreeD="1"/>
</file>

<file path=xl/ctrlProps/ctrlProp6.xml><?xml version="1.0" encoding="utf-8"?>
<formControlPr xmlns="http://schemas.microsoft.com/office/spreadsheetml/2009/9/main" objectType="CheckBox" fmlaLink="Rechentabelle!$A$13" lockText="1" noThreeD="1"/>
</file>

<file path=xl/ctrlProps/ctrlProp7.xml><?xml version="1.0" encoding="utf-8"?>
<formControlPr xmlns="http://schemas.microsoft.com/office/spreadsheetml/2009/9/main" objectType="CheckBox" fmlaLink="Rechentabelle!$A$14" lockText="1" noThreeD="1"/>
</file>

<file path=xl/ctrlProps/ctrlProp8.xml><?xml version="1.0" encoding="utf-8"?>
<formControlPr xmlns="http://schemas.microsoft.com/office/spreadsheetml/2009/9/main" objectType="CheckBox" fmlaLink="Rechentabelle!$A$15" lockText="1" noThreeD="1"/>
</file>

<file path=xl/ctrlProps/ctrlProp9.xml><?xml version="1.0" encoding="utf-8"?>
<formControlPr xmlns="http://schemas.microsoft.com/office/spreadsheetml/2009/9/main" objectType="CheckBox" fmlaLink="Rechentabelle!$A$1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6012180</xdr:colOff>
      <xdr:row>48</xdr:row>
      <xdr:rowOff>70968</xdr:rowOff>
    </xdr:from>
    <xdr:to>
      <xdr:col>3</xdr:col>
      <xdr:colOff>6858000</xdr:colOff>
      <xdr:row>50</xdr:row>
      <xdr:rowOff>167640</xdr:rowOff>
    </xdr:to>
    <xdr:pic>
      <xdr:nvPicPr>
        <xdr:cNvPr id="3" name="Grafik 2">
          <a:extLst>
            <a:ext uri="{FF2B5EF4-FFF2-40B4-BE49-F238E27FC236}">
              <a16:creationId xmlns:a16="http://schemas.microsoft.com/office/drawing/2014/main" id="{12B1B50E-97EC-1D10-83B3-25DE7D576B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3280" y="16316808"/>
          <a:ext cx="845820" cy="4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228600</xdr:colOff>
      <xdr:row>48</xdr:row>
      <xdr:rowOff>68580</xdr:rowOff>
    </xdr:from>
    <xdr:to>
      <xdr:col>9</xdr:col>
      <xdr:colOff>83820</xdr:colOff>
      <xdr:row>50</xdr:row>
      <xdr:rowOff>165252</xdr:rowOff>
    </xdr:to>
    <xdr:pic>
      <xdr:nvPicPr>
        <xdr:cNvPr id="2" name="Grafik 1">
          <a:extLst>
            <a:ext uri="{FF2B5EF4-FFF2-40B4-BE49-F238E27FC236}">
              <a16:creationId xmlns:a16="http://schemas.microsoft.com/office/drawing/2014/main" id="{CA0355FB-F230-4D89-8968-199FD74B21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10538460"/>
          <a:ext cx="845820" cy="4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236220</xdr:colOff>
      <xdr:row>47</xdr:row>
      <xdr:rowOff>83820</xdr:rowOff>
    </xdr:from>
    <xdr:to>
      <xdr:col>9</xdr:col>
      <xdr:colOff>1082040</xdr:colOff>
      <xdr:row>49</xdr:row>
      <xdr:rowOff>165252</xdr:rowOff>
    </xdr:to>
    <xdr:pic>
      <xdr:nvPicPr>
        <xdr:cNvPr id="2" name="Grafik 1">
          <a:extLst>
            <a:ext uri="{FF2B5EF4-FFF2-40B4-BE49-F238E27FC236}">
              <a16:creationId xmlns:a16="http://schemas.microsoft.com/office/drawing/2014/main" id="{5B1D7229-6A3E-4762-A186-E765C5C48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0" y="8938260"/>
          <a:ext cx="845820" cy="4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342900</xdr:colOff>
      <xdr:row>41</xdr:row>
      <xdr:rowOff>167640</xdr:rowOff>
    </xdr:from>
    <xdr:to>
      <xdr:col>10</xdr:col>
      <xdr:colOff>1188720</xdr:colOff>
      <xdr:row>44</xdr:row>
      <xdr:rowOff>81432</xdr:rowOff>
    </xdr:to>
    <xdr:pic>
      <xdr:nvPicPr>
        <xdr:cNvPr id="3" name="Grafik 2">
          <a:extLst>
            <a:ext uri="{FF2B5EF4-FFF2-40B4-BE49-F238E27FC236}">
              <a16:creationId xmlns:a16="http://schemas.microsoft.com/office/drawing/2014/main" id="{5B6339F4-D487-497B-AF16-B2136076B6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8300" y="7894320"/>
          <a:ext cx="845820" cy="4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251460</xdr:colOff>
      <xdr:row>46</xdr:row>
      <xdr:rowOff>137160</xdr:rowOff>
    </xdr:from>
    <xdr:to>
      <xdr:col>10</xdr:col>
      <xdr:colOff>15240</xdr:colOff>
      <xdr:row>49</xdr:row>
      <xdr:rowOff>50952</xdr:rowOff>
    </xdr:to>
    <xdr:pic>
      <xdr:nvPicPr>
        <xdr:cNvPr id="3" name="Grafik 2">
          <a:extLst>
            <a:ext uri="{FF2B5EF4-FFF2-40B4-BE49-F238E27FC236}">
              <a16:creationId xmlns:a16="http://schemas.microsoft.com/office/drawing/2014/main" id="{CF413DE0-22FC-45A5-9908-1330B65521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8770620"/>
          <a:ext cx="845820" cy="4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xdr:colOff>
          <xdr:row>8</xdr:row>
          <xdr:rowOff>7620</xdr:rowOff>
        </xdr:from>
        <xdr:to>
          <xdr:col>1</xdr:col>
          <xdr:colOff>251460</xdr:colOff>
          <xdr:row>8</xdr:row>
          <xdr:rowOff>175260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7620</xdr:rowOff>
        </xdr:from>
        <xdr:to>
          <xdr:col>1</xdr:col>
          <xdr:colOff>251460</xdr:colOff>
          <xdr:row>9</xdr:row>
          <xdr:rowOff>175260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27</xdr:row>
          <xdr:rowOff>7620</xdr:rowOff>
        </xdr:from>
        <xdr:to>
          <xdr:col>1</xdr:col>
          <xdr:colOff>251460</xdr:colOff>
          <xdr:row>27</xdr:row>
          <xdr:rowOff>175260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28</xdr:row>
          <xdr:rowOff>7620</xdr:rowOff>
        </xdr:from>
        <xdr:to>
          <xdr:col>1</xdr:col>
          <xdr:colOff>251460</xdr:colOff>
          <xdr:row>28</xdr:row>
          <xdr:rowOff>175260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29</xdr:row>
          <xdr:rowOff>7620</xdr:rowOff>
        </xdr:from>
        <xdr:to>
          <xdr:col>1</xdr:col>
          <xdr:colOff>251460</xdr:colOff>
          <xdr:row>29</xdr:row>
          <xdr:rowOff>175260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7620</xdr:rowOff>
        </xdr:from>
        <xdr:to>
          <xdr:col>1</xdr:col>
          <xdr:colOff>251460</xdr:colOff>
          <xdr:row>17</xdr:row>
          <xdr:rowOff>175260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18</xdr:row>
          <xdr:rowOff>0</xdr:rowOff>
        </xdr:from>
        <xdr:to>
          <xdr:col>1</xdr:col>
          <xdr:colOff>251460</xdr:colOff>
          <xdr:row>18</xdr:row>
          <xdr:rowOff>167640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xdr:row>
          <xdr:rowOff>7620</xdr:rowOff>
        </xdr:from>
        <xdr:to>
          <xdr:col>1</xdr:col>
          <xdr:colOff>251460</xdr:colOff>
          <xdr:row>12</xdr:row>
          <xdr:rowOff>175260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xdr:row>
          <xdr:rowOff>7620</xdr:rowOff>
        </xdr:from>
        <xdr:to>
          <xdr:col>1</xdr:col>
          <xdr:colOff>251460</xdr:colOff>
          <xdr:row>13</xdr:row>
          <xdr:rowOff>175260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xdr:row>
          <xdr:rowOff>0</xdr:rowOff>
        </xdr:from>
        <xdr:to>
          <xdr:col>1</xdr:col>
          <xdr:colOff>251460</xdr:colOff>
          <xdr:row>14</xdr:row>
          <xdr:rowOff>167640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20</xdr:row>
          <xdr:rowOff>0</xdr:rowOff>
        </xdr:from>
        <xdr:to>
          <xdr:col>1</xdr:col>
          <xdr:colOff>251460</xdr:colOff>
          <xdr:row>20</xdr:row>
          <xdr:rowOff>167640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7620</xdr:rowOff>
        </xdr:from>
        <xdr:to>
          <xdr:col>1</xdr:col>
          <xdr:colOff>251460</xdr:colOff>
          <xdr:row>9</xdr:row>
          <xdr:rowOff>175260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9</xdr:row>
          <xdr:rowOff>7620</xdr:rowOff>
        </xdr:from>
        <xdr:to>
          <xdr:col>1</xdr:col>
          <xdr:colOff>251460</xdr:colOff>
          <xdr:row>9</xdr:row>
          <xdr:rowOff>175260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10</xdr:row>
          <xdr:rowOff>22860</xdr:rowOff>
        </xdr:from>
        <xdr:to>
          <xdr:col>1</xdr:col>
          <xdr:colOff>251460</xdr:colOff>
          <xdr:row>11</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22</xdr:row>
          <xdr:rowOff>7620</xdr:rowOff>
        </xdr:from>
        <xdr:to>
          <xdr:col>1</xdr:col>
          <xdr:colOff>251460</xdr:colOff>
          <xdr:row>22</xdr:row>
          <xdr:rowOff>175260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7620</xdr:rowOff>
        </xdr:from>
        <xdr:to>
          <xdr:col>1</xdr:col>
          <xdr:colOff>251460</xdr:colOff>
          <xdr:row>15</xdr:row>
          <xdr:rowOff>175260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21</xdr:row>
          <xdr:rowOff>7620</xdr:rowOff>
        </xdr:from>
        <xdr:to>
          <xdr:col>1</xdr:col>
          <xdr:colOff>251460</xdr:colOff>
          <xdr:row>21</xdr:row>
          <xdr:rowOff>175260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24</xdr:row>
          <xdr:rowOff>0</xdr:rowOff>
        </xdr:from>
        <xdr:to>
          <xdr:col>1</xdr:col>
          <xdr:colOff>251460</xdr:colOff>
          <xdr:row>24</xdr:row>
          <xdr:rowOff>167640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7620</xdr:rowOff>
        </xdr:from>
        <xdr:to>
          <xdr:col>1</xdr:col>
          <xdr:colOff>251460</xdr:colOff>
          <xdr:row>25</xdr:row>
          <xdr:rowOff>175260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510540</xdr:colOff>
      <xdr:row>31</xdr:row>
      <xdr:rowOff>83820</xdr:rowOff>
    </xdr:from>
    <xdr:to>
      <xdr:col>11</xdr:col>
      <xdr:colOff>1356360</xdr:colOff>
      <xdr:row>33</xdr:row>
      <xdr:rowOff>180492</xdr:rowOff>
    </xdr:to>
    <xdr:pic>
      <xdr:nvPicPr>
        <xdr:cNvPr id="2" name="Grafik 1">
          <a:extLst>
            <a:ext uri="{FF2B5EF4-FFF2-40B4-BE49-F238E27FC236}">
              <a16:creationId xmlns:a16="http://schemas.microsoft.com/office/drawing/2014/main" id="{6B9E4A77-8761-49D5-8F08-55B021037A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0320" y="6156960"/>
          <a:ext cx="845820" cy="462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melf.bayern.de/service/haftungsausschluss-links-und-verweise/index.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omments" Target="../comments6.xml"/><Relationship Id="rId3" Type="http://schemas.openxmlformats.org/officeDocument/2006/relationships/hyperlink" Target="https://www.alp-bayern.de/wp-content/uploads/2026/03/SP_Infografik_Foerderungen_BF-260306.pdf" TargetMode="External"/><Relationship Id="rId21" Type="http://schemas.openxmlformats.org/officeDocument/2006/relationships/ctrlProp" Target="../ctrlProps/ctrlProp15.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2" Type="http://schemas.openxmlformats.org/officeDocument/2006/relationships/hyperlink" Target="https://www.lfl.bayern.de/iab/kulturlandschaft/030830/index.php" TargetMode="External"/><Relationship Id="rId16" Type="http://schemas.openxmlformats.org/officeDocument/2006/relationships/ctrlProp" Target="../ctrlProps/ctrlProp10.xml"/><Relationship Id="rId20" Type="http://schemas.openxmlformats.org/officeDocument/2006/relationships/ctrlProp" Target="../ctrlProps/ctrlProp14.xml"/><Relationship Id="rId1" Type="http://schemas.openxmlformats.org/officeDocument/2006/relationships/hyperlink" Target="https://www.stmelf.bayern.de/foerderung/foerderung-von-agrarumweltmassnahmen-in-bayern/index.html" TargetMode="External"/><Relationship Id="rId6" Type="http://schemas.openxmlformats.org/officeDocument/2006/relationships/vmlDrawing" Target="../drawings/vmlDrawing6.vml"/><Relationship Id="rId11" Type="http://schemas.openxmlformats.org/officeDocument/2006/relationships/ctrlProp" Target="../ctrlProps/ctrlProp5.xml"/><Relationship Id="rId24" Type="http://schemas.openxmlformats.org/officeDocument/2006/relationships/ctrlProp" Target="../ctrlProps/ctrlProp18.xml"/><Relationship Id="rId5" Type="http://schemas.openxmlformats.org/officeDocument/2006/relationships/drawing" Target="../drawings/drawing6.xml"/><Relationship Id="rId15" Type="http://schemas.openxmlformats.org/officeDocument/2006/relationships/ctrlProp" Target="../ctrlProps/ctrlProp9.xml"/><Relationship Id="rId23" Type="http://schemas.openxmlformats.org/officeDocument/2006/relationships/ctrlProp" Target="../ctrlProps/ctrlProp17.xml"/><Relationship Id="rId10" Type="http://schemas.openxmlformats.org/officeDocument/2006/relationships/ctrlProp" Target="../ctrlProps/ctrlProp4.xml"/><Relationship Id="rId19" Type="http://schemas.openxmlformats.org/officeDocument/2006/relationships/ctrlProp" Target="../ctrlProps/ctrlProp13.xml"/><Relationship Id="rId4" Type="http://schemas.openxmlformats.org/officeDocument/2006/relationships/printerSettings" Target="../printerSettings/printerSettings6.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1115-768D-414E-87EB-3DD351DBB23B}">
  <sheetPr codeName="Tabelle7">
    <tabColor theme="0"/>
  </sheetPr>
  <dimension ref="A1:I51"/>
  <sheetViews>
    <sheetView showGridLines="0" tabSelected="1" zoomScaleNormal="100" workbookViewId="0"/>
  </sheetViews>
  <sheetFormatPr baseColWidth="10" defaultRowHeight="14.4" x14ac:dyDescent="0.3"/>
  <cols>
    <col min="1" max="1" width="3.5546875" style="26" customWidth="1"/>
    <col min="3" max="3" width="2.109375" style="6" customWidth="1"/>
    <col min="4" max="4" width="100.6640625" customWidth="1"/>
  </cols>
  <sheetData>
    <row r="1" spans="2:9" s="26" customFormat="1" ht="22.8" customHeight="1" x14ac:dyDescent="0.4">
      <c r="B1" s="199" t="s">
        <v>134</v>
      </c>
      <c r="C1" s="199"/>
      <c r="D1" s="200"/>
    </row>
    <row r="2" spans="2:9" s="26" customFormat="1" x14ac:dyDescent="0.3">
      <c r="B2" s="201" t="s">
        <v>126</v>
      </c>
      <c r="C2" s="200"/>
      <c r="D2" s="200"/>
    </row>
    <row r="3" spans="2:9" s="26" customFormat="1" x14ac:dyDescent="0.3">
      <c r="B3" s="200"/>
      <c r="C3" s="200"/>
      <c r="D3" s="200"/>
    </row>
    <row r="4" spans="2:9" s="26" customFormat="1" ht="63" customHeight="1" x14ac:dyDescent="0.3">
      <c r="B4" s="467" t="s">
        <v>254</v>
      </c>
      <c r="C4" s="467"/>
      <c r="D4" s="467"/>
      <c r="E4" s="146"/>
      <c r="F4" s="146"/>
    </row>
    <row r="5" spans="2:9" s="26" customFormat="1" ht="70.8" customHeight="1" x14ac:dyDescent="0.3">
      <c r="B5" s="467" t="s">
        <v>212</v>
      </c>
      <c r="C5" s="467"/>
      <c r="D5" s="467"/>
      <c r="E5" s="146"/>
      <c r="F5" s="146"/>
    </row>
    <row r="6" spans="2:9" s="26" customFormat="1" ht="21.6" customHeight="1" x14ac:dyDescent="0.3">
      <c r="B6" s="468" t="s">
        <v>135</v>
      </c>
      <c r="C6" s="468"/>
      <c r="D6" s="468"/>
      <c r="E6" s="187"/>
      <c r="F6" s="187"/>
    </row>
    <row r="7" spans="2:9" s="26" customFormat="1" x14ac:dyDescent="0.3">
      <c r="B7" s="149"/>
      <c r="C7" s="184"/>
    </row>
    <row r="8" spans="2:9" s="26" customFormat="1" x14ac:dyDescent="0.3">
      <c r="B8" s="18" t="s">
        <v>128</v>
      </c>
      <c r="C8" s="11"/>
    </row>
    <row r="9" spans="2:9" s="26" customFormat="1" ht="23.4" customHeight="1" x14ac:dyDescent="0.3">
      <c r="B9" s="144"/>
      <c r="C9" s="3"/>
      <c r="D9" s="198" t="s">
        <v>133</v>
      </c>
    </row>
    <row r="10" spans="2:9" s="26" customFormat="1" ht="23.4" customHeight="1" x14ac:dyDescent="0.3">
      <c r="B10" s="203"/>
      <c r="C10" s="3"/>
      <c r="D10" s="198" t="s">
        <v>129</v>
      </c>
    </row>
    <row r="11" spans="2:9" s="26" customFormat="1" ht="23.4" customHeight="1" x14ac:dyDescent="0.3">
      <c r="B11" s="197"/>
      <c r="C11" s="3"/>
      <c r="D11" s="198" t="s">
        <v>141</v>
      </c>
    </row>
    <row r="12" spans="2:9" s="26" customFormat="1" x14ac:dyDescent="0.3">
      <c r="C12" s="6"/>
      <c r="I12" s="7"/>
    </row>
    <row r="13" spans="2:9" s="26" customFormat="1" x14ac:dyDescent="0.3">
      <c r="B13" s="18" t="s">
        <v>140</v>
      </c>
      <c r="C13" s="11"/>
      <c r="G13" s="106"/>
    </row>
    <row r="14" spans="2:9" s="26" customFormat="1" x14ac:dyDescent="0.3">
      <c r="B14" s="26" t="s">
        <v>252</v>
      </c>
      <c r="C14" s="6"/>
    </row>
    <row r="15" spans="2:9" s="26" customFormat="1" ht="8.4" customHeight="1" x14ac:dyDescent="0.3">
      <c r="C15" s="6"/>
    </row>
    <row r="16" spans="2:9" s="26" customFormat="1" ht="36.6" customHeight="1" x14ac:dyDescent="0.3">
      <c r="B16" s="188" t="s">
        <v>130</v>
      </c>
      <c r="C16" s="193"/>
      <c r="D16" s="196" t="s">
        <v>251</v>
      </c>
    </row>
    <row r="17" spans="2:9" s="26" customFormat="1" ht="40.200000000000003" customHeight="1" x14ac:dyDescent="0.3">
      <c r="B17" s="189" t="s">
        <v>8</v>
      </c>
      <c r="C17" s="194"/>
      <c r="D17" s="196" t="s">
        <v>142</v>
      </c>
      <c r="F17" s="171"/>
    </row>
    <row r="18" spans="2:9" s="26" customFormat="1" ht="69.599999999999994" customHeight="1" x14ac:dyDescent="0.3">
      <c r="B18" s="190" t="s">
        <v>131</v>
      </c>
      <c r="C18" s="193"/>
      <c r="D18" s="196" t="s">
        <v>143</v>
      </c>
      <c r="I18" s="7"/>
    </row>
    <row r="19" spans="2:9" s="26" customFormat="1" ht="69.599999999999994" customHeight="1" x14ac:dyDescent="0.3">
      <c r="B19" s="191" t="s">
        <v>132</v>
      </c>
      <c r="C19" s="194"/>
      <c r="D19" s="196" t="s">
        <v>152</v>
      </c>
    </row>
    <row r="20" spans="2:9" s="26" customFormat="1" ht="50.4" customHeight="1" x14ac:dyDescent="0.3">
      <c r="B20" s="192" t="s">
        <v>34</v>
      </c>
      <c r="C20" s="457"/>
      <c r="D20" s="196" t="s">
        <v>255</v>
      </c>
    </row>
    <row r="21" spans="2:9" s="26" customFormat="1" x14ac:dyDescent="0.3">
      <c r="B21" s="148"/>
      <c r="C21" s="185"/>
      <c r="D21" s="147"/>
    </row>
    <row r="22" spans="2:9" s="26" customFormat="1" x14ac:dyDescent="0.3">
      <c r="B22" s="148" t="s">
        <v>73</v>
      </c>
      <c r="C22" s="185"/>
      <c r="D22" s="147"/>
    </row>
    <row r="23" spans="2:9" s="26" customFormat="1" ht="94.2" customHeight="1" x14ac:dyDescent="0.3">
      <c r="B23" s="469" t="s">
        <v>169</v>
      </c>
      <c r="C23" s="469"/>
      <c r="D23" s="469"/>
      <c r="E23" s="195"/>
      <c r="F23" s="195"/>
    </row>
    <row r="24" spans="2:9" s="26" customFormat="1" x14ac:dyDescent="0.3">
      <c r="B24" s="148"/>
      <c r="C24" s="185"/>
      <c r="D24" s="147"/>
    </row>
    <row r="25" spans="2:9" s="26" customFormat="1" x14ac:dyDescent="0.3">
      <c r="B25" s="148" t="s">
        <v>150</v>
      </c>
      <c r="C25" s="185"/>
      <c r="D25" s="147"/>
    </row>
    <row r="26" spans="2:9" s="26" customFormat="1" ht="33" customHeight="1" x14ac:dyDescent="0.3">
      <c r="B26" s="469" t="s">
        <v>151</v>
      </c>
      <c r="C26" s="469"/>
      <c r="D26" s="469"/>
      <c r="E26" s="204"/>
      <c r="F26" s="204"/>
    </row>
    <row r="27" spans="2:9" s="26" customFormat="1" x14ac:dyDescent="0.3">
      <c r="C27" s="6"/>
    </row>
    <row r="28" spans="2:9" s="26" customFormat="1" x14ac:dyDescent="0.3">
      <c r="B28" s="18" t="s">
        <v>177</v>
      </c>
      <c r="C28" s="6"/>
    </row>
    <row r="29" spans="2:9" s="26" customFormat="1" x14ac:dyDescent="0.3">
      <c r="B29" s="26" t="s">
        <v>179</v>
      </c>
      <c r="C29" s="6"/>
      <c r="D29" s="26" t="s">
        <v>185</v>
      </c>
    </row>
    <row r="30" spans="2:9" s="26" customFormat="1" x14ac:dyDescent="0.3">
      <c r="B30" s="26" t="s">
        <v>181</v>
      </c>
      <c r="C30" s="6"/>
      <c r="D30" s="26" t="s">
        <v>186</v>
      </c>
    </row>
    <row r="31" spans="2:9" s="26" customFormat="1" x14ac:dyDescent="0.3">
      <c r="B31" s="26" t="s">
        <v>32</v>
      </c>
      <c r="C31" s="6"/>
      <c r="D31" s="26" t="s">
        <v>187</v>
      </c>
    </row>
    <row r="32" spans="2:9" s="26" customFormat="1" x14ac:dyDescent="0.3">
      <c r="B32" s="26" t="s">
        <v>9</v>
      </c>
      <c r="C32" s="6"/>
      <c r="D32" s="26" t="s">
        <v>188</v>
      </c>
    </row>
    <row r="33" spans="2:6" s="26" customFormat="1" x14ac:dyDescent="0.3">
      <c r="B33" s="26" t="s">
        <v>182</v>
      </c>
      <c r="C33" s="6"/>
      <c r="D33" s="26" t="s">
        <v>189</v>
      </c>
    </row>
    <row r="34" spans="2:6" s="26" customFormat="1" x14ac:dyDescent="0.3">
      <c r="B34" s="26" t="s">
        <v>184</v>
      </c>
      <c r="C34" s="6"/>
      <c r="D34" s="26" t="s">
        <v>190</v>
      </c>
    </row>
    <row r="35" spans="2:6" s="26" customFormat="1" x14ac:dyDescent="0.3">
      <c r="B35" s="26" t="s">
        <v>4</v>
      </c>
      <c r="C35" s="6"/>
      <c r="D35" s="26" t="s">
        <v>191</v>
      </c>
    </row>
    <row r="36" spans="2:6" s="26" customFormat="1" x14ac:dyDescent="0.3">
      <c r="B36" s="26" t="s">
        <v>178</v>
      </c>
      <c r="C36" s="6"/>
      <c r="D36" s="26" t="s">
        <v>192</v>
      </c>
    </row>
    <row r="37" spans="2:6" s="26" customFormat="1" x14ac:dyDescent="0.3">
      <c r="B37" s="26" t="s">
        <v>256</v>
      </c>
      <c r="D37" s="26" t="s">
        <v>257</v>
      </c>
    </row>
    <row r="38" spans="2:6" s="26" customFormat="1" x14ac:dyDescent="0.3">
      <c r="B38" s="26" t="s">
        <v>183</v>
      </c>
      <c r="C38" s="6"/>
      <c r="D38" s="26" t="s">
        <v>193</v>
      </c>
    </row>
    <row r="39" spans="2:6" s="26" customFormat="1" x14ac:dyDescent="0.3">
      <c r="B39" s="26" t="s">
        <v>94</v>
      </c>
      <c r="C39" s="6"/>
      <c r="D39" s="26" t="s">
        <v>195</v>
      </c>
    </row>
    <row r="40" spans="2:6" s="26" customFormat="1" x14ac:dyDescent="0.3">
      <c r="B40" s="26" t="s">
        <v>19</v>
      </c>
      <c r="C40" s="6"/>
      <c r="D40" s="26" t="s">
        <v>194</v>
      </c>
    </row>
    <row r="41" spans="2:6" s="26" customFormat="1" x14ac:dyDescent="0.3">
      <c r="B41" s="26" t="s">
        <v>93</v>
      </c>
      <c r="D41" s="26" t="s">
        <v>196</v>
      </c>
    </row>
    <row r="42" spans="2:6" s="26" customFormat="1" x14ac:dyDescent="0.3">
      <c r="B42" s="26" t="s">
        <v>245</v>
      </c>
      <c r="D42" s="26" t="s">
        <v>258</v>
      </c>
    </row>
    <row r="43" spans="2:6" s="26" customFormat="1" x14ac:dyDescent="0.3">
      <c r="C43" s="6"/>
    </row>
    <row r="44" spans="2:6" s="26" customFormat="1" x14ac:dyDescent="0.3">
      <c r="B44" s="18" t="s">
        <v>127</v>
      </c>
      <c r="C44" s="11"/>
      <c r="F44" s="143"/>
    </row>
    <row r="45" spans="2:6" s="26" customFormat="1" ht="147.6" customHeight="1" x14ac:dyDescent="0.3">
      <c r="B45" s="467" t="s">
        <v>206</v>
      </c>
      <c r="C45" s="467"/>
      <c r="D45" s="467"/>
    </row>
    <row r="46" spans="2:6" x14ac:dyDescent="0.3">
      <c r="B46" s="386" t="s">
        <v>207</v>
      </c>
    </row>
    <row r="47" spans="2:6" s="26" customFormat="1" x14ac:dyDescent="0.3">
      <c r="C47" s="6"/>
    </row>
    <row r="48" spans="2:6" ht="34.799999999999997" customHeight="1" x14ac:dyDescent="0.3">
      <c r="B48" s="468" t="s">
        <v>253</v>
      </c>
      <c r="C48" s="468"/>
      <c r="D48" s="468"/>
    </row>
    <row r="51" spans="2:3" x14ac:dyDescent="0.3">
      <c r="B51" s="17" t="str">
        <f>Übersicht!B51</f>
        <v>Erstellt: Clarissa Schmelzle, LfL - Agrarökologie und Biologischer Landbau IAB 4a, Version 4, Stand: 20.02.2026</v>
      </c>
      <c r="C51" s="186"/>
    </row>
  </sheetData>
  <sheetProtection algorithmName="SHA-512" hashValue="3/N3vjh+2+zCSVQ/CqekxlTJI4oWATQyGq3ZOg1O5GB2aQzSos9tExHPYTvxjB5jQ5WN4ihBk5j1HlCvooHqtA==" saltValue="BXedK+sT9JaizvfM91C2pQ==" spinCount="100000" sheet="1" objects="1" scenarios="1"/>
  <mergeCells count="7">
    <mergeCell ref="B45:D45"/>
    <mergeCell ref="B48:D48"/>
    <mergeCell ref="B4:D4"/>
    <mergeCell ref="B5:D5"/>
    <mergeCell ref="B6:D6"/>
    <mergeCell ref="B23:D23"/>
    <mergeCell ref="B26:D26"/>
  </mergeCells>
  <hyperlinks>
    <hyperlink ref="B46" r:id="rId1" xr:uid="{DFB3E9F0-3477-433A-A233-0E95742B160B}"/>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5BB86-60CC-41D6-834F-B453351838EB}">
  <sheetPr codeName="Tabelle1">
    <tabColor theme="8" tint="0.59999389629810485"/>
  </sheetPr>
  <dimension ref="A1:N54"/>
  <sheetViews>
    <sheetView showGridLines="0" zoomScaleNormal="100" workbookViewId="0"/>
  </sheetViews>
  <sheetFormatPr baseColWidth="10" defaultRowHeight="14.4" x14ac:dyDescent="0.3"/>
  <cols>
    <col min="1" max="1" width="2.109375" style="26" customWidth="1"/>
    <col min="2" max="2" width="33" customWidth="1"/>
    <col min="3" max="3" width="13.6640625" customWidth="1"/>
    <col min="4" max="4" width="10.6640625" customWidth="1"/>
    <col min="5" max="5" width="9.44140625" customWidth="1"/>
    <col min="6" max="6" width="13.88671875" style="26" customWidth="1"/>
    <col min="7" max="8" width="8" customWidth="1"/>
    <col min="9" max="9" width="6.44140625" customWidth="1"/>
  </cols>
  <sheetData>
    <row r="1" spans="2:11" s="26" customFormat="1" ht="18" x14ac:dyDescent="0.35">
      <c r="B1" s="278" t="s">
        <v>42</v>
      </c>
      <c r="C1" s="279"/>
      <c r="D1" s="280"/>
      <c r="E1" s="25" t="s">
        <v>96</v>
      </c>
      <c r="F1" s="9"/>
      <c r="G1" s="9"/>
      <c r="H1" s="9"/>
    </row>
    <row r="2" spans="2:11" s="3" customFormat="1" ht="13.2" customHeight="1" x14ac:dyDescent="0.4">
      <c r="B2" s="27"/>
      <c r="D2" s="28"/>
      <c r="E2" s="28"/>
      <c r="F2" s="28"/>
    </row>
    <row r="3" spans="2:11" x14ac:dyDescent="0.3">
      <c r="B3" s="10" t="s">
        <v>50</v>
      </c>
      <c r="F3" s="16" t="s">
        <v>73</v>
      </c>
    </row>
    <row r="4" spans="2:11" x14ac:dyDescent="0.3">
      <c r="B4" s="33" t="s">
        <v>15</v>
      </c>
      <c r="C4" s="397">
        <v>1</v>
      </c>
      <c r="D4" s="33" t="s">
        <v>4</v>
      </c>
      <c r="F4" s="474" t="s">
        <v>57</v>
      </c>
      <c r="G4" s="475"/>
      <c r="H4" s="138">
        <v>2</v>
      </c>
      <c r="I4" s="29" t="s">
        <v>19</v>
      </c>
    </row>
    <row r="5" spans="2:11" x14ac:dyDescent="0.3">
      <c r="B5" s="34" t="s">
        <v>16</v>
      </c>
      <c r="C5" s="135">
        <v>80</v>
      </c>
      <c r="D5" s="34" t="s">
        <v>19</v>
      </c>
      <c r="F5" s="476" t="s">
        <v>51</v>
      </c>
      <c r="G5" s="477"/>
      <c r="H5" s="139">
        <v>3</v>
      </c>
      <c r="I5" s="30" t="s">
        <v>19</v>
      </c>
    </row>
    <row r="6" spans="2:11" x14ac:dyDescent="0.3">
      <c r="B6" s="34" t="s">
        <v>17</v>
      </c>
      <c r="C6" s="120">
        <f>C5/C4</f>
        <v>80</v>
      </c>
      <c r="D6" s="34" t="s">
        <v>18</v>
      </c>
      <c r="F6" s="476" t="s">
        <v>52</v>
      </c>
      <c r="G6" s="477"/>
      <c r="H6" s="139">
        <v>5</v>
      </c>
      <c r="I6" s="30" t="s">
        <v>19</v>
      </c>
    </row>
    <row r="7" spans="2:11" x14ac:dyDescent="0.3">
      <c r="B7" s="32"/>
      <c r="C7" s="7"/>
      <c r="D7" s="32"/>
      <c r="F7" s="476" t="s">
        <v>53</v>
      </c>
      <c r="G7" s="477"/>
      <c r="H7" s="139">
        <v>10</v>
      </c>
      <c r="I7" s="30" t="s">
        <v>19</v>
      </c>
      <c r="K7" s="26"/>
    </row>
    <row r="8" spans="2:11" x14ac:dyDescent="0.3">
      <c r="B8" s="32" t="s">
        <v>56</v>
      </c>
      <c r="C8" s="134" t="s">
        <v>55</v>
      </c>
      <c r="D8" s="32"/>
      <c r="F8" s="478" t="s">
        <v>54</v>
      </c>
      <c r="G8" s="479"/>
      <c r="H8" s="140">
        <v>60</v>
      </c>
      <c r="I8" s="31" t="s">
        <v>19</v>
      </c>
    </row>
    <row r="9" spans="2:11" x14ac:dyDescent="0.3">
      <c r="B9" s="32" t="s">
        <v>43</v>
      </c>
      <c r="C9" s="135">
        <v>15</v>
      </c>
      <c r="D9" s="34" t="s">
        <v>6</v>
      </c>
      <c r="G9" s="172" t="s">
        <v>125</v>
      </c>
    </row>
    <row r="10" spans="2:11" x14ac:dyDescent="0.3">
      <c r="B10" s="32" t="s">
        <v>201</v>
      </c>
      <c r="C10" s="136">
        <v>0</v>
      </c>
      <c r="D10" s="34" t="s">
        <v>6</v>
      </c>
      <c r="G10" s="3"/>
      <c r="H10" s="4"/>
      <c r="I10" s="3"/>
    </row>
    <row r="11" spans="2:11" x14ac:dyDescent="0.3">
      <c r="B11" s="34" t="s">
        <v>44</v>
      </c>
      <c r="C11" s="135">
        <v>0</v>
      </c>
      <c r="D11" s="34" t="s">
        <v>32</v>
      </c>
      <c r="G11" s="3"/>
      <c r="H11" s="4"/>
      <c r="I11" s="3"/>
    </row>
    <row r="12" spans="2:11" x14ac:dyDescent="0.3">
      <c r="B12" s="36" t="s">
        <v>200</v>
      </c>
      <c r="C12" s="137">
        <v>0</v>
      </c>
      <c r="D12" s="36" t="s">
        <v>7</v>
      </c>
      <c r="G12" s="3"/>
      <c r="H12" s="4"/>
      <c r="I12" s="3"/>
    </row>
    <row r="13" spans="2:11" s="7" customFormat="1" x14ac:dyDescent="0.3">
      <c r="B13" s="3"/>
      <c r="C13" s="24"/>
      <c r="D13" s="3"/>
      <c r="G13" s="3"/>
      <c r="H13" s="4"/>
      <c r="I13" s="3"/>
    </row>
    <row r="14" spans="2:11" x14ac:dyDescent="0.3">
      <c r="B14" s="33" t="s">
        <v>219</v>
      </c>
      <c r="C14" s="397">
        <v>0</v>
      </c>
      <c r="D14" s="33" t="s">
        <v>7</v>
      </c>
      <c r="G14" s="3"/>
      <c r="H14" s="4"/>
      <c r="I14" s="3"/>
    </row>
    <row r="15" spans="2:11" s="26" customFormat="1" x14ac:dyDescent="0.3">
      <c r="B15" s="34" t="s">
        <v>217</v>
      </c>
      <c r="C15" s="141">
        <v>0</v>
      </c>
      <c r="D15" s="34" t="s">
        <v>7</v>
      </c>
      <c r="G15" s="3"/>
      <c r="H15" s="4"/>
      <c r="I15" s="3"/>
    </row>
    <row r="16" spans="2:11" x14ac:dyDescent="0.3">
      <c r="B16" s="34" t="s">
        <v>153</v>
      </c>
      <c r="C16" s="398">
        <f>(Arbeitszeit!$E$36*Übersicht!$C$9+Kosten!$D$32-Ertrag!$D$35)+(Arbeitszeit!$F$36*Übersicht!$C$9+Kosten!$E$32-Ertrag!E35)*5+(Arbeitszeit!$G$36*Übersicht!$C$9+Kosten!$F$32-Ertrag!F35)*5</f>
        <v>28507</v>
      </c>
      <c r="D16" s="34" t="s">
        <v>7</v>
      </c>
      <c r="F16" s="5"/>
      <c r="G16" s="3"/>
      <c r="H16" s="57"/>
      <c r="I16" s="3"/>
    </row>
    <row r="17" spans="2:13" s="26" customFormat="1" x14ac:dyDescent="0.3">
      <c r="B17" s="215" t="s">
        <v>176</v>
      </c>
      <c r="C17" s="121">
        <f>Kosten!$D$32-Ertrag!D35+(Kosten!$E$32-Ertrag!E35)*5+(Kosten!$F$32-Ertrag!F35)*5</f>
        <v>10530.8</v>
      </c>
      <c r="D17" s="32" t="s">
        <v>7</v>
      </c>
      <c r="G17" s="3"/>
      <c r="H17" s="57"/>
      <c r="I17" s="3"/>
    </row>
    <row r="18" spans="2:13" s="26" customFormat="1" x14ac:dyDescent="0.3">
      <c r="B18" s="34" t="s">
        <v>218</v>
      </c>
      <c r="C18" s="135">
        <v>2.75</v>
      </c>
      <c r="D18" s="34" t="s">
        <v>5</v>
      </c>
      <c r="G18" s="3"/>
      <c r="H18" s="4"/>
      <c r="I18" s="3"/>
    </row>
    <row r="19" spans="2:13" x14ac:dyDescent="0.3">
      <c r="B19" s="34" t="s">
        <v>220</v>
      </c>
      <c r="C19" s="399">
        <v>4</v>
      </c>
      <c r="D19" s="34" t="s">
        <v>5</v>
      </c>
      <c r="G19" s="3"/>
      <c r="H19" s="4"/>
      <c r="I19" s="3"/>
    </row>
    <row r="20" spans="2:13" x14ac:dyDescent="0.3">
      <c r="B20" s="35" t="s">
        <v>215</v>
      </c>
      <c r="C20" s="137">
        <v>500</v>
      </c>
      <c r="D20" s="35" t="s">
        <v>45</v>
      </c>
      <c r="M20" s="7"/>
    </row>
    <row r="21" spans="2:13" s="7" customFormat="1" x14ac:dyDescent="0.3">
      <c r="B21" s="3"/>
      <c r="C21" s="24"/>
      <c r="D21" s="3"/>
      <c r="G21" s="3"/>
      <c r="H21" s="4"/>
      <c r="I21" s="3"/>
    </row>
    <row r="22" spans="2:13" x14ac:dyDescent="0.3">
      <c r="B22" s="10" t="s">
        <v>89</v>
      </c>
      <c r="E22" s="6"/>
      <c r="H22" s="7"/>
      <c r="J22" s="6"/>
    </row>
    <row r="23" spans="2:13" ht="30" customHeight="1" x14ac:dyDescent="0.3">
      <c r="B23" s="43"/>
      <c r="C23" s="470" t="s">
        <v>197</v>
      </c>
      <c r="D23" s="471"/>
      <c r="E23" s="158"/>
      <c r="F23" s="472" t="s">
        <v>73</v>
      </c>
      <c r="G23" s="473"/>
      <c r="H23" s="178"/>
      <c r="I23" s="164"/>
      <c r="J23" s="6"/>
    </row>
    <row r="24" spans="2:13" x14ac:dyDescent="0.3">
      <c r="B24" s="44" t="s">
        <v>8</v>
      </c>
      <c r="C24" s="131">
        <f>Ertrag!I35</f>
        <v>4855.6000000000004</v>
      </c>
      <c r="D24" s="159"/>
      <c r="E24" s="151"/>
      <c r="F24" s="170">
        <f>Ertrag!I47+Ertrag!I34</f>
        <v>4699.6000000000004</v>
      </c>
      <c r="G24" s="45"/>
      <c r="H24" s="179"/>
      <c r="I24" s="165"/>
      <c r="J24" s="38"/>
    </row>
    <row r="25" spans="2:13" x14ac:dyDescent="0.3">
      <c r="B25" s="46" t="s">
        <v>47</v>
      </c>
      <c r="C25" s="131">
        <f>Kosten!I32</f>
        <v>1730.68</v>
      </c>
      <c r="D25" s="159"/>
      <c r="E25" s="152"/>
      <c r="F25" s="170">
        <f>Kosten!I46</f>
        <v>1856.1800000000003</v>
      </c>
      <c r="G25" s="45"/>
      <c r="H25" s="179"/>
      <c r="I25" s="165"/>
      <c r="J25" s="38"/>
      <c r="K25" s="7"/>
    </row>
    <row r="26" spans="2:13" x14ac:dyDescent="0.3">
      <c r="B26" s="47" t="s">
        <v>48</v>
      </c>
      <c r="C26" s="156">
        <f>C24-C25</f>
        <v>3124.92</v>
      </c>
      <c r="D26" s="160"/>
      <c r="E26" s="152"/>
      <c r="F26" s="173">
        <f>F24-F25</f>
        <v>2843.42</v>
      </c>
      <c r="G26" s="48"/>
      <c r="H26" s="179"/>
      <c r="I26" s="165"/>
      <c r="J26" s="38"/>
    </row>
    <row r="27" spans="2:13" x14ac:dyDescent="0.3">
      <c r="B27" s="456" t="s">
        <v>203</v>
      </c>
      <c r="C27" s="131">
        <f>Kosten!C37</f>
        <v>0</v>
      </c>
      <c r="D27" s="159"/>
      <c r="E27" s="3"/>
      <c r="F27" s="169" t="s">
        <v>97</v>
      </c>
      <c r="G27" s="50"/>
      <c r="H27" s="180"/>
      <c r="I27" s="166"/>
      <c r="J27" s="39"/>
    </row>
    <row r="28" spans="2:13" x14ac:dyDescent="0.3">
      <c r="B28" s="456" t="s">
        <v>46</v>
      </c>
      <c r="C28" s="131">
        <f>Kosten!C38</f>
        <v>263.27</v>
      </c>
      <c r="D28" s="159"/>
      <c r="E28" s="3"/>
      <c r="F28" s="169" t="s">
        <v>97</v>
      </c>
      <c r="G28" s="50"/>
      <c r="H28" s="180"/>
      <c r="I28" s="166"/>
      <c r="J28" s="39"/>
    </row>
    <row r="29" spans="2:13" x14ac:dyDescent="0.3">
      <c r="B29" s="49" t="s">
        <v>208</v>
      </c>
      <c r="C29" s="131">
        <f>C12</f>
        <v>0</v>
      </c>
      <c r="D29" s="159"/>
      <c r="E29" s="3"/>
      <c r="F29" s="170">
        <f>C12</f>
        <v>0</v>
      </c>
      <c r="G29" s="45"/>
      <c r="H29" s="181"/>
      <c r="I29" s="165"/>
    </row>
    <row r="30" spans="2:13" x14ac:dyDescent="0.3">
      <c r="B30" s="456" t="s">
        <v>180</v>
      </c>
      <c r="C30" s="131">
        <f>Kosten!C39+Kosten!C41+((C15/2*C19/100)*Kosten!C35)/40</f>
        <v>210.61599999999999</v>
      </c>
      <c r="D30" s="159"/>
      <c r="E30" s="3"/>
      <c r="F30" s="169" t="s">
        <v>97</v>
      </c>
      <c r="G30" s="50"/>
      <c r="H30" s="180"/>
      <c r="I30" s="166"/>
      <c r="J30" s="38"/>
      <c r="K30" s="7"/>
    </row>
    <row r="31" spans="2:13" x14ac:dyDescent="0.3">
      <c r="B31" s="49" t="s">
        <v>3</v>
      </c>
      <c r="C31" s="131">
        <f>C20</f>
        <v>500</v>
      </c>
      <c r="D31" s="159"/>
      <c r="E31" s="3"/>
      <c r="F31" s="170">
        <f>C31</f>
        <v>500</v>
      </c>
      <c r="G31" s="45"/>
      <c r="H31" s="181"/>
      <c r="I31" s="165"/>
      <c r="J31" s="38"/>
    </row>
    <row r="32" spans="2:13" x14ac:dyDescent="0.3">
      <c r="B32" s="51" t="s">
        <v>49</v>
      </c>
      <c r="C32" s="156">
        <f>C26-C27-C28-C29-C30-C31</f>
        <v>2151.0340000000001</v>
      </c>
      <c r="D32" s="160"/>
      <c r="E32" s="152"/>
      <c r="F32" s="173">
        <f>F26-F29-F31</f>
        <v>2343.42</v>
      </c>
      <c r="G32" s="48"/>
      <c r="H32" s="179"/>
      <c r="I32" s="165"/>
      <c r="J32" s="239"/>
      <c r="K32" s="240"/>
    </row>
    <row r="33" spans="2:14" x14ac:dyDescent="0.3">
      <c r="B33" s="49" t="s">
        <v>2</v>
      </c>
      <c r="C33" s="103">
        <f>C11*C10</f>
        <v>0</v>
      </c>
      <c r="D33" s="50"/>
      <c r="E33" s="3"/>
      <c r="F33" s="174">
        <f>C33</f>
        <v>0</v>
      </c>
      <c r="G33" s="52"/>
      <c r="H33" s="182"/>
      <c r="I33" s="167"/>
      <c r="J33" s="40"/>
    </row>
    <row r="34" spans="2:14" x14ac:dyDescent="0.3">
      <c r="B34" s="49" t="s">
        <v>74</v>
      </c>
      <c r="C34" s="131">
        <f>(Arbeitszeit!J36-Übersicht!C11)*Übersicht!C9</f>
        <v>2460.87</v>
      </c>
      <c r="D34" s="159"/>
      <c r="E34" s="3"/>
      <c r="F34" s="170">
        <f>(Arbeitszeit!J41-Übersicht!C11)*Übersicht!C9</f>
        <v>2433.6324999999997</v>
      </c>
      <c r="G34" s="45"/>
      <c r="H34" s="179"/>
      <c r="I34" s="165"/>
      <c r="J34" s="38"/>
    </row>
    <row r="35" spans="2:14" x14ac:dyDescent="0.3">
      <c r="B35" s="210" t="s">
        <v>204</v>
      </c>
      <c r="C35" s="157">
        <f>C32-C33-C34</f>
        <v>-309.83599999999979</v>
      </c>
      <c r="D35" s="161" t="s">
        <v>45</v>
      </c>
      <c r="E35" s="152"/>
      <c r="F35" s="175">
        <f>F32-F33-F34</f>
        <v>-90.212499999999636</v>
      </c>
      <c r="G35" s="163" t="s">
        <v>45</v>
      </c>
      <c r="H35" s="179"/>
      <c r="I35" s="165"/>
      <c r="J35" s="165"/>
    </row>
    <row r="36" spans="2:14" s="26" customFormat="1" x14ac:dyDescent="0.3">
      <c r="B36" s="209"/>
      <c r="C36" s="208"/>
      <c r="D36" s="151"/>
      <c r="E36" s="152"/>
      <c r="F36" s="213"/>
      <c r="G36" s="212"/>
      <c r="H36" s="165"/>
      <c r="I36" s="165"/>
      <c r="J36" s="38"/>
    </row>
    <row r="37" spans="2:14" s="26" customFormat="1" x14ac:dyDescent="0.3">
      <c r="B37" s="205" t="s">
        <v>155</v>
      </c>
      <c r="C37" s="206">
        <f>(Förderung!I31+Förderung!J31*10)/40</f>
        <v>100</v>
      </c>
      <c r="D37" s="207"/>
      <c r="E37" s="152"/>
      <c r="F37" s="214" t="s">
        <v>149</v>
      </c>
      <c r="G37" s="211"/>
      <c r="H37" s="179"/>
      <c r="I37" s="165"/>
      <c r="J37" s="38"/>
    </row>
    <row r="38" spans="2:14" x14ac:dyDescent="0.3">
      <c r="B38" s="49" t="s">
        <v>1</v>
      </c>
      <c r="C38" s="131">
        <f>Förderung!J31</f>
        <v>400</v>
      </c>
      <c r="D38" s="159"/>
      <c r="E38" s="3"/>
      <c r="F38" s="170">
        <f>Förderung!L31</f>
        <v>400</v>
      </c>
      <c r="G38" s="45"/>
      <c r="H38" s="179"/>
      <c r="I38" s="165"/>
      <c r="J38" s="38"/>
    </row>
    <row r="39" spans="2:14" x14ac:dyDescent="0.3">
      <c r="B39" s="53" t="s">
        <v>154</v>
      </c>
      <c r="C39" s="157">
        <f>C35+C38+C37</f>
        <v>190.16400000000021</v>
      </c>
      <c r="D39" s="161" t="s">
        <v>45</v>
      </c>
      <c r="E39" s="155"/>
      <c r="F39" s="175">
        <f>F35+F38</f>
        <v>309.78750000000036</v>
      </c>
      <c r="G39" s="163" t="s">
        <v>45</v>
      </c>
      <c r="H39" s="183"/>
      <c r="I39" s="168"/>
      <c r="J39" s="41"/>
    </row>
    <row r="40" spans="2:14" x14ac:dyDescent="0.3">
      <c r="E40" s="7"/>
      <c r="F40" s="3"/>
      <c r="G40" s="26"/>
      <c r="H40" s="166"/>
      <c r="I40" s="39"/>
      <c r="J40" s="39"/>
    </row>
    <row r="41" spans="2:14" x14ac:dyDescent="0.3">
      <c r="B41" s="10" t="s">
        <v>90</v>
      </c>
      <c r="F41" s="3"/>
      <c r="G41" s="26"/>
      <c r="H41" s="37"/>
      <c r="I41" s="37"/>
      <c r="J41" s="39"/>
    </row>
    <row r="42" spans="2:14" ht="28.8" x14ac:dyDescent="0.3">
      <c r="B42" s="55" t="s">
        <v>76</v>
      </c>
      <c r="C42" s="454">
        <f>(C32-C33)/(Arbeitszeit!K36-C11)</f>
        <v>14.123787470233927</v>
      </c>
      <c r="D42" s="153" t="s">
        <v>6</v>
      </c>
      <c r="E42" s="154"/>
      <c r="F42" s="176">
        <f>(F32-F33)/(Arbeitszeit!J41-C11)</f>
        <v>14.443963909916556</v>
      </c>
      <c r="G42" s="388" t="s">
        <v>6</v>
      </c>
      <c r="J42" s="42"/>
      <c r="L42" s="26"/>
      <c r="M42" s="424"/>
      <c r="N42" s="424"/>
    </row>
    <row r="43" spans="2:14" ht="28.8" x14ac:dyDescent="0.3">
      <c r="B43" s="55" t="s">
        <v>77</v>
      </c>
      <c r="C43" s="455">
        <f>(C32-C33+C38+C37)/(Arbeitszeit!K36-C11)</f>
        <v>17.406810302563386</v>
      </c>
      <c r="D43" s="154" t="s">
        <v>6</v>
      </c>
      <c r="E43" s="154"/>
      <c r="F43" s="177">
        <f>(F32-F33+F38)/(Arbeitszeit!J41-C11)</f>
        <v>16.909414219279206</v>
      </c>
      <c r="G43" s="389" t="s">
        <v>6</v>
      </c>
      <c r="J43" s="54"/>
      <c r="M43" s="424"/>
      <c r="N43" s="424"/>
    </row>
    <row r="44" spans="2:14" s="26" customFormat="1" ht="25.8" customHeight="1" x14ac:dyDescent="0.3">
      <c r="B44" s="56" t="s">
        <v>210</v>
      </c>
      <c r="C44" s="439">
        <f>Arbeitszeit!J36/C4</f>
        <v>164.05799999999999</v>
      </c>
      <c r="D44" s="154" t="s">
        <v>211</v>
      </c>
      <c r="E44" s="154"/>
      <c r="F44" s="177">
        <f>Arbeitszeit!J41/C4</f>
        <v>162.24216666666666</v>
      </c>
      <c r="G44" s="30" t="s">
        <v>211</v>
      </c>
      <c r="J44" s="42"/>
      <c r="M44" s="424"/>
      <c r="N44" s="424"/>
    </row>
    <row r="45" spans="2:14" ht="43.2" x14ac:dyDescent="0.3">
      <c r="B45" s="56" t="s">
        <v>248</v>
      </c>
      <c r="C45" s="162">
        <f>(C35+C30+C34)/C16*100</f>
        <v>8.2844564492931561</v>
      </c>
      <c r="D45" s="154" t="s">
        <v>5</v>
      </c>
      <c r="E45" s="154"/>
      <c r="F45" s="275" t="s">
        <v>97</v>
      </c>
      <c r="G45" s="390"/>
      <c r="J45" s="6"/>
      <c r="M45" s="424"/>
      <c r="N45" s="424"/>
    </row>
    <row r="46" spans="2:14" s="26" customFormat="1" ht="43.2" x14ac:dyDescent="0.3">
      <c r="B46" s="55" t="s">
        <v>249</v>
      </c>
      <c r="C46" s="162">
        <f>(C35+C34)/C5</f>
        <v>26.887925000000003</v>
      </c>
      <c r="D46" s="154" t="s">
        <v>198</v>
      </c>
      <c r="E46" s="154"/>
      <c r="F46" s="391">
        <f>(F34+F35)/C5</f>
        <v>29.292750000000002</v>
      </c>
      <c r="G46" s="390" t="s">
        <v>198</v>
      </c>
      <c r="J46" s="54"/>
      <c r="M46" s="424"/>
      <c r="N46" s="424"/>
    </row>
    <row r="47" spans="2:14" s="26" customFormat="1" ht="31.8" customHeight="1" x14ac:dyDescent="0.3">
      <c r="B47" s="55" t="s">
        <v>250</v>
      </c>
      <c r="C47" s="276">
        <f>C35/C4</f>
        <v>-309.83599999999979</v>
      </c>
      <c r="D47" s="277" t="s">
        <v>199</v>
      </c>
      <c r="E47" s="154"/>
      <c r="F47" s="392">
        <f>F35/C4</f>
        <v>-90.212499999999636</v>
      </c>
      <c r="G47" s="393" t="s">
        <v>199</v>
      </c>
      <c r="J47" s="54"/>
      <c r="M47" s="424"/>
      <c r="N47" s="424"/>
    </row>
    <row r="48" spans="2:14" x14ac:dyDescent="0.3">
      <c r="E48" s="7"/>
      <c r="G48" s="26"/>
      <c r="H48" s="26"/>
    </row>
    <row r="49" spans="2:14" x14ac:dyDescent="0.3">
      <c r="G49" s="26"/>
      <c r="H49" s="26"/>
      <c r="M49" s="425"/>
      <c r="N49" s="424"/>
    </row>
    <row r="50" spans="2:14" x14ac:dyDescent="0.3">
      <c r="B50" s="8"/>
      <c r="G50" s="26"/>
      <c r="H50" s="26"/>
    </row>
    <row r="51" spans="2:14" x14ac:dyDescent="0.3">
      <c r="B51" s="17" t="s">
        <v>259</v>
      </c>
    </row>
    <row r="52" spans="2:14" x14ac:dyDescent="0.3">
      <c r="B52" s="8"/>
    </row>
    <row r="53" spans="2:14" x14ac:dyDescent="0.3">
      <c r="B53" s="8"/>
    </row>
    <row r="54" spans="2:14" x14ac:dyDescent="0.3">
      <c r="B54" s="8"/>
    </row>
  </sheetData>
  <sheetProtection algorithmName="SHA-512" hashValue="eOiNEeKDhMIbsvYmN7FH+3gWqQROXUT+AaRK5jES/pSDuxk+hxoAps/JVT0ivMfuQiZ0172GZRfYuC5U3Pqw3w==" saltValue="MICVSaIvWheulUnLd32ctA==" spinCount="100000" sheet="1" objects="1" scenarios="1"/>
  <mergeCells count="7">
    <mergeCell ref="C23:D23"/>
    <mergeCell ref="F23:G23"/>
    <mergeCell ref="F4:G4"/>
    <mergeCell ref="F5:G5"/>
    <mergeCell ref="F6:G6"/>
    <mergeCell ref="F7:G7"/>
    <mergeCell ref="F8:G8"/>
  </mergeCells>
  <conditionalFormatting sqref="C26:F26 C32:F32 C35:F37 C39:I39">
    <cfRule type="cellIs" dxfId="14" priority="7" operator="lessThan">
      <formula>0</formula>
    </cfRule>
  </conditionalFormatting>
  <conditionalFormatting sqref="G9">
    <cfRule type="expression" dxfId="13" priority="3">
      <formula>IF(SUM($H$4:$H$8)=$C$5,FALSE,TRUE)</formula>
    </cfRule>
  </conditionalFormatting>
  <conditionalFormatting sqref="G35">
    <cfRule type="cellIs" dxfId="12" priority="1" operator="lessThan">
      <formula>0</formula>
    </cfRule>
  </conditionalFormatting>
  <conditionalFormatting sqref="H4:H8">
    <cfRule type="expression" dxfId="11" priority="4">
      <formula>IF(SUM($H$4:$H$8)=$C$5,FALSE,TRUE)</formula>
    </cfRule>
  </conditionalFormatting>
  <conditionalFormatting sqref="H26:I26 H32 H35:H37">
    <cfRule type="cellIs" dxfId="10" priority="2" operator="lessThan">
      <formula>0</formula>
    </cfRule>
  </conditionalFormatting>
  <dataValidations count="1">
    <dataValidation type="list" allowBlank="1" showInputMessage="1" showErrorMessage="1" sqref="C8" xr:uid="{C8DC43D2-322A-4803-A693-3C19350FE81C}">
      <formula1>"ja,nein"</formula1>
    </dataValidation>
  </dataValidations>
  <pageMargins left="0.7" right="0.7" top="0.78740157499999996" bottom="0.78740157499999996" header="0.3" footer="0.3"/>
  <pageSetup paperSize="9" orientation="portrait" r:id="rId1"/>
  <ignoredErrors>
    <ignoredError sqref="F32"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F017-CFAC-4688-8176-9D496A43AEC9}">
  <sheetPr codeName="Tabelle4">
    <tabColor theme="9" tint="-0.249977111117893"/>
  </sheetPr>
  <dimension ref="A1:N50"/>
  <sheetViews>
    <sheetView showGridLines="0" zoomScaleNormal="100" workbookViewId="0"/>
  </sheetViews>
  <sheetFormatPr baseColWidth="10" defaultColWidth="11.5546875" defaultRowHeight="14.4" x14ac:dyDescent="0.3"/>
  <cols>
    <col min="1" max="1" width="2.44140625" style="14" customWidth="1"/>
    <col min="2" max="2" width="21.33203125" style="14" customWidth="1"/>
    <col min="3" max="3" width="9.21875" style="14" customWidth="1"/>
    <col min="4" max="5" width="9.6640625" style="14" customWidth="1"/>
    <col min="6" max="8" width="11.5546875" style="14"/>
    <col min="9" max="9" width="16.21875" style="14" customWidth="1"/>
    <col min="10" max="10" width="16.33203125" style="14" customWidth="1"/>
    <col min="11" max="16384" width="11.5546875" style="14"/>
  </cols>
  <sheetData>
    <row r="1" spans="1:11" s="26" customFormat="1" ht="18" x14ac:dyDescent="0.35">
      <c r="A1" s="281"/>
      <c r="B1" s="282" t="s">
        <v>80</v>
      </c>
      <c r="C1" s="283"/>
      <c r="D1" s="15"/>
      <c r="E1" s="15" t="s">
        <v>113</v>
      </c>
    </row>
    <row r="2" spans="1:11" ht="15.6" x14ac:dyDescent="0.3">
      <c r="B2" s="20"/>
      <c r="C2" s="19"/>
      <c r="D2" s="19"/>
      <c r="E2" s="19"/>
      <c r="F2" s="19"/>
      <c r="G2" s="19"/>
      <c r="H2" s="19"/>
      <c r="I2" s="19"/>
    </row>
    <row r="3" spans="1:11" x14ac:dyDescent="0.3">
      <c r="B3" s="22" t="s">
        <v>10</v>
      </c>
      <c r="C3" s="19"/>
      <c r="D3" s="19"/>
      <c r="E3" s="19"/>
      <c r="F3" s="19"/>
      <c r="G3" s="19"/>
      <c r="H3" s="19"/>
      <c r="I3" s="19"/>
    </row>
    <row r="4" spans="1:11" x14ac:dyDescent="0.3">
      <c r="B4" s="58" t="s">
        <v>98</v>
      </c>
      <c r="C4" s="132">
        <v>100</v>
      </c>
      <c r="D4" s="59" t="s">
        <v>103</v>
      </c>
      <c r="I4" s="19"/>
    </row>
    <row r="5" spans="1:11" x14ac:dyDescent="0.3">
      <c r="B5" s="60" t="s">
        <v>99</v>
      </c>
      <c r="C5" s="133">
        <v>15</v>
      </c>
      <c r="D5" s="61" t="s">
        <v>103</v>
      </c>
      <c r="F5" s="19"/>
      <c r="G5" s="19"/>
      <c r="H5" s="19"/>
      <c r="I5" s="19"/>
    </row>
    <row r="6" spans="1:11" x14ac:dyDescent="0.3">
      <c r="B6" s="60" t="s">
        <v>100</v>
      </c>
      <c r="C6" s="133">
        <v>180</v>
      </c>
      <c r="D6" s="61" t="s">
        <v>103</v>
      </c>
      <c r="F6" s="19"/>
      <c r="G6" s="19"/>
      <c r="H6" s="19"/>
      <c r="I6" s="19"/>
    </row>
    <row r="7" spans="1:11" x14ac:dyDescent="0.3">
      <c r="B7" s="60" t="s">
        <v>101</v>
      </c>
      <c r="C7" s="133">
        <v>20</v>
      </c>
      <c r="D7" s="61" t="s">
        <v>103</v>
      </c>
      <c r="F7" s="19"/>
      <c r="G7" s="19"/>
      <c r="H7" s="19"/>
      <c r="I7" s="19"/>
    </row>
    <row r="8" spans="1:11" x14ac:dyDescent="0.3">
      <c r="B8" s="60"/>
      <c r="C8" s="64"/>
      <c r="D8" s="61"/>
      <c r="F8" s="19"/>
      <c r="G8" s="19"/>
      <c r="H8" s="19"/>
      <c r="I8" s="19"/>
    </row>
    <row r="9" spans="1:11" x14ac:dyDescent="0.3">
      <c r="B9" s="60" t="s">
        <v>102</v>
      </c>
      <c r="C9" s="133">
        <v>10</v>
      </c>
      <c r="D9" s="61" t="s">
        <v>103</v>
      </c>
      <c r="F9" s="19"/>
      <c r="G9" s="19"/>
      <c r="H9" s="19"/>
      <c r="I9" s="19"/>
    </row>
    <row r="10" spans="1:11" x14ac:dyDescent="0.3">
      <c r="B10" s="60"/>
      <c r="C10" s="64"/>
      <c r="D10" s="61"/>
      <c r="F10" s="19"/>
      <c r="G10" s="19"/>
      <c r="H10" s="19"/>
      <c r="I10" s="19"/>
    </row>
    <row r="11" spans="1:11" x14ac:dyDescent="0.3">
      <c r="B11" s="63" t="s">
        <v>78</v>
      </c>
      <c r="C11" s="133">
        <v>7</v>
      </c>
      <c r="D11" s="63" t="s">
        <v>5</v>
      </c>
      <c r="K11" s="19"/>
    </row>
    <row r="12" spans="1:11" x14ac:dyDescent="0.3">
      <c r="B12" s="440" t="s">
        <v>226</v>
      </c>
      <c r="C12" s="410">
        <v>0</v>
      </c>
      <c r="D12" s="62" t="s">
        <v>5</v>
      </c>
      <c r="K12" s="19"/>
    </row>
    <row r="14" spans="1:11" x14ac:dyDescent="0.3">
      <c r="C14" s="19"/>
      <c r="D14" s="19"/>
      <c r="E14" s="19"/>
    </row>
    <row r="15" spans="1:11" x14ac:dyDescent="0.3">
      <c r="B15" s="22" t="s">
        <v>95</v>
      </c>
      <c r="C15" s="19"/>
      <c r="D15" s="19"/>
      <c r="E15" s="19"/>
      <c r="F15" s="19"/>
      <c r="G15" s="19"/>
      <c r="H15" s="19"/>
      <c r="I15" s="19"/>
    </row>
    <row r="16" spans="1:11" ht="30" customHeight="1" x14ac:dyDescent="0.3">
      <c r="B16" s="78" t="s">
        <v>29</v>
      </c>
      <c r="C16" s="78"/>
      <c r="D16" s="76" t="s">
        <v>24</v>
      </c>
      <c r="E16" s="427" t="s">
        <v>20</v>
      </c>
      <c r="F16" s="76" t="s">
        <v>11</v>
      </c>
      <c r="G16" s="76" t="s">
        <v>12</v>
      </c>
      <c r="H16" s="76" t="s">
        <v>13</v>
      </c>
      <c r="I16" s="77" t="s">
        <v>170</v>
      </c>
      <c r="J16" s="77" t="s">
        <v>171</v>
      </c>
    </row>
    <row r="17" spans="2:14" x14ac:dyDescent="0.3">
      <c r="B17" s="60" t="s">
        <v>79</v>
      </c>
      <c r="C17" s="63" t="s">
        <v>14</v>
      </c>
      <c r="D17" s="437"/>
      <c r="E17" s="428">
        <v>0</v>
      </c>
      <c r="F17" s="202">
        <v>20</v>
      </c>
      <c r="G17" s="202">
        <v>60</v>
      </c>
      <c r="H17" s="202">
        <v>210</v>
      </c>
      <c r="I17" s="74">
        <f>(G17*10+H17*30)/40</f>
        <v>172.5</v>
      </c>
      <c r="J17" s="61">
        <f>F17*0.1+G17*0.2+H17*0.6</f>
        <v>140</v>
      </c>
    </row>
    <row r="18" spans="2:14" x14ac:dyDescent="0.3">
      <c r="B18" s="60" t="s">
        <v>104</v>
      </c>
      <c r="C18" s="63" t="s">
        <v>9</v>
      </c>
      <c r="D18" s="74"/>
      <c r="E18" s="65">
        <f>IF(Übersicht!$C$8="nein",E17*$C$11/100*Übersicht!C5/100,0)</f>
        <v>0</v>
      </c>
      <c r="F18" s="74">
        <f>IF(Übersicht!$C$8="nein",F17*$C$11/100*Übersicht!C5/100,0)</f>
        <v>0</v>
      </c>
      <c r="G18" s="65">
        <f>IF(Übersicht!C8="nein",$G$17*$C$11/100*Übersicht!$C$5/100,0)</f>
        <v>0</v>
      </c>
      <c r="H18" s="74">
        <f>IF(Übersicht!C8="nein",$H$17*$C$11/100*Übersicht!$C$5/100,0)</f>
        <v>0</v>
      </c>
      <c r="I18" s="74">
        <f t="shared" ref="I18:I24" si="0">(G18*10+H18*30)/40</f>
        <v>0</v>
      </c>
      <c r="J18" s="67">
        <f>F18*0.1+G18*0.2+H18*0.6</f>
        <v>0</v>
      </c>
    </row>
    <row r="19" spans="2:14" x14ac:dyDescent="0.3">
      <c r="B19" s="60" t="s">
        <v>105</v>
      </c>
      <c r="C19" s="63" t="s">
        <v>9</v>
      </c>
      <c r="D19" s="433"/>
      <c r="E19" s="21">
        <f>IF(Übersicht!$C$8="nein",E17*(100-$C$11-$C$12)/100*Übersicht!$C$5/100,0)</f>
        <v>0</v>
      </c>
      <c r="F19" s="74">
        <f>IF(Übersicht!$C$8="nein",F17*(100-$C$11-$C$12)/100*Übersicht!$C$5/100,0)</f>
        <v>0</v>
      </c>
      <c r="G19" s="65">
        <f>IF(Übersicht!C8="nein",$G$17*(100-$C$11-$C$12)/100*Übersicht!$C$5/100,0)</f>
        <v>0</v>
      </c>
      <c r="H19" s="74">
        <f>IF(Übersicht!C8="nein",$H$17*(100-$C$11-$C$12)/100*Übersicht!$C$5/100,0)</f>
        <v>0</v>
      </c>
      <c r="I19" s="74">
        <f t="shared" si="0"/>
        <v>0</v>
      </c>
      <c r="J19" s="67">
        <f>F19*0.1+G19*0.2+H19*0.6</f>
        <v>0</v>
      </c>
    </row>
    <row r="20" spans="2:14" x14ac:dyDescent="0.3">
      <c r="B20" s="60" t="s">
        <v>107</v>
      </c>
      <c r="C20" s="63" t="s">
        <v>9</v>
      </c>
      <c r="D20" s="433"/>
      <c r="E20" s="21">
        <f>IF(Übersicht!$C$8="ja",E17*$C$11/100*Übersicht!$C$5/100,0)</f>
        <v>0</v>
      </c>
      <c r="F20" s="74">
        <f>IF(Übersicht!$C$8="ja",F17*$C$11/100*Übersicht!$C$5/100,0)</f>
        <v>1.1200000000000001</v>
      </c>
      <c r="G20" s="65">
        <f>IF(Übersicht!C8="ja",$G$17*$C$11/100*Übersicht!$C$5/100,0)</f>
        <v>3.36</v>
      </c>
      <c r="H20" s="74">
        <f>IF(Übersicht!C8="ja",$H$17*$C$11/100*Übersicht!$C$5/100,0)</f>
        <v>11.76</v>
      </c>
      <c r="I20" s="74">
        <f t="shared" si="0"/>
        <v>9.66</v>
      </c>
      <c r="J20" s="67">
        <f>F20*0.1+G20*0.2+H20*0.6</f>
        <v>7.84</v>
      </c>
    </row>
    <row r="21" spans="2:14" x14ac:dyDescent="0.3">
      <c r="B21" s="60" t="s">
        <v>106</v>
      </c>
      <c r="C21" s="63" t="s">
        <v>9</v>
      </c>
      <c r="D21" s="433"/>
      <c r="E21" s="21">
        <f>IF(Übersicht!$C$8="ja",E17*(100-$C$11-$C$12)/100*Übersicht!$C$5/100,0)</f>
        <v>0</v>
      </c>
      <c r="F21" s="74">
        <f>IF(Übersicht!$C$8="ja",F17*(100-$C$11-$C$12)/100*Übersicht!$C$5/100,0)</f>
        <v>14.88</v>
      </c>
      <c r="G21" s="65">
        <f>IF(Übersicht!C8="ja",$G$17*(100-$C$11-$C$12)/100*Übersicht!$C$5/100,0)</f>
        <v>44.64</v>
      </c>
      <c r="H21" s="74">
        <f>IF(Übersicht!C8="ja",$H$17*(100-$C$11-$C$12)/100*Übersicht!$C$5/100,0)</f>
        <v>156.24</v>
      </c>
      <c r="I21" s="74">
        <f t="shared" si="0"/>
        <v>128.34</v>
      </c>
      <c r="J21" s="67">
        <f>F21*0.1+G21*0.2+H21*0.6</f>
        <v>104.16</v>
      </c>
      <c r="L21" s="19"/>
      <c r="N21" s="13"/>
    </row>
    <row r="22" spans="2:14" x14ac:dyDescent="0.3">
      <c r="B22" s="92"/>
      <c r="C22" s="93"/>
      <c r="D22" s="434"/>
      <c r="E22" s="94"/>
      <c r="F22" s="95"/>
      <c r="G22" s="96"/>
      <c r="H22" s="95"/>
      <c r="I22" s="97"/>
      <c r="J22" s="97"/>
      <c r="L22" s="19"/>
      <c r="N22" s="13"/>
    </row>
    <row r="23" spans="2:14" x14ac:dyDescent="0.3">
      <c r="B23" s="60" t="s">
        <v>81</v>
      </c>
      <c r="C23" s="63" t="s">
        <v>7</v>
      </c>
      <c r="D23" s="433"/>
      <c r="E23" s="21">
        <f>$C$4*E18+$C$6*E20</f>
        <v>0</v>
      </c>
      <c r="F23" s="74">
        <f>$C$4*F18+$C$6*F20</f>
        <v>201.60000000000002</v>
      </c>
      <c r="G23" s="65">
        <f>$C$4*G18+$C$6*G20</f>
        <v>604.79999999999995</v>
      </c>
      <c r="H23" s="74">
        <f>$C$4*H18+$C$6*H20</f>
        <v>2116.8000000000002</v>
      </c>
      <c r="I23" s="74">
        <f t="shared" si="0"/>
        <v>1738.8</v>
      </c>
      <c r="J23" s="67">
        <f>F23*0.1+G23*0.2+H23*0.6</f>
        <v>1411.2000000000003</v>
      </c>
    </row>
    <row r="24" spans="2:14" x14ac:dyDescent="0.3">
      <c r="B24" s="60" t="s">
        <v>82</v>
      </c>
      <c r="C24" s="63" t="s">
        <v>7</v>
      </c>
      <c r="D24" s="433"/>
      <c r="E24" s="21">
        <f>$C$5*E19+$C$7*E21</f>
        <v>0</v>
      </c>
      <c r="F24" s="74">
        <f t="shared" ref="F24:H24" si="1">$C$5*F19+$C$7*F21</f>
        <v>297.60000000000002</v>
      </c>
      <c r="G24" s="65">
        <f t="shared" si="1"/>
        <v>892.8</v>
      </c>
      <c r="H24" s="74">
        <f t="shared" si="1"/>
        <v>3124.8</v>
      </c>
      <c r="I24" s="74">
        <f t="shared" si="0"/>
        <v>2566.8000000000002</v>
      </c>
      <c r="J24" s="67">
        <f>F24*0.1+G24*0.2+H24*0.6</f>
        <v>2083.2000000000003</v>
      </c>
      <c r="N24" s="13"/>
    </row>
    <row r="25" spans="2:14" x14ac:dyDescent="0.3">
      <c r="B25" s="79" t="s">
        <v>85</v>
      </c>
      <c r="C25" s="79" t="s">
        <v>7</v>
      </c>
      <c r="D25" s="80"/>
      <c r="E25" s="429">
        <f>SUM(E23:E24)</f>
        <v>0</v>
      </c>
      <c r="F25" s="80">
        <f t="shared" ref="F25:I25" si="2">SUM(F23:F24)</f>
        <v>499.20000000000005</v>
      </c>
      <c r="G25" s="80">
        <f t="shared" si="2"/>
        <v>1497.6</v>
      </c>
      <c r="H25" s="80">
        <f t="shared" si="2"/>
        <v>5241.6000000000004</v>
      </c>
      <c r="I25" s="80">
        <f t="shared" si="2"/>
        <v>4305.6000000000004</v>
      </c>
      <c r="J25" s="80">
        <f>SUM(J23:J24)</f>
        <v>3494.4000000000005</v>
      </c>
      <c r="N25" s="12"/>
    </row>
    <row r="26" spans="2:14" x14ac:dyDescent="0.3">
      <c r="B26" s="60"/>
      <c r="C26" s="63"/>
      <c r="D26" s="99"/>
      <c r="E26" s="98"/>
      <c r="F26" s="99"/>
      <c r="G26" s="98"/>
      <c r="H26" s="99"/>
      <c r="I26" s="100"/>
      <c r="J26" s="100"/>
      <c r="N26" s="12"/>
    </row>
    <row r="27" spans="2:14" x14ac:dyDescent="0.3">
      <c r="B27" s="60" t="s">
        <v>230</v>
      </c>
      <c r="C27" s="63" t="s">
        <v>7</v>
      </c>
      <c r="D27" s="426"/>
      <c r="E27" s="430"/>
      <c r="F27" s="145"/>
      <c r="G27" s="145"/>
      <c r="H27" s="145"/>
      <c r="I27" s="80">
        <f t="shared" ref="I27" si="3">(G27*10+H27*30)/40</f>
        <v>0</v>
      </c>
      <c r="J27" s="80">
        <f>E27*0.1+F27*0.1+G27*0.2+H27*0.6</f>
        <v>0</v>
      </c>
      <c r="N27" s="12"/>
    </row>
    <row r="28" spans="2:14" x14ac:dyDescent="0.3">
      <c r="B28" s="60"/>
      <c r="C28" s="63"/>
      <c r="D28" s="99"/>
      <c r="E28" s="98"/>
      <c r="F28" s="99"/>
      <c r="G28" s="98"/>
      <c r="H28" s="99"/>
      <c r="I28" s="100"/>
      <c r="J28" s="100"/>
      <c r="N28" s="12"/>
    </row>
    <row r="29" spans="2:14" x14ac:dyDescent="0.3">
      <c r="B29" s="68" t="s">
        <v>30</v>
      </c>
      <c r="C29" s="72"/>
      <c r="D29" s="75"/>
      <c r="E29" s="66"/>
      <c r="F29" s="75"/>
      <c r="G29" s="66"/>
      <c r="H29" s="75"/>
      <c r="I29" s="69"/>
      <c r="J29" s="69"/>
      <c r="N29" s="12"/>
    </row>
    <row r="30" spans="2:14" x14ac:dyDescent="0.3">
      <c r="B30" s="60" t="s">
        <v>83</v>
      </c>
      <c r="C30" s="63" t="s">
        <v>9</v>
      </c>
      <c r="D30" s="63"/>
      <c r="E30" s="61">
        <f>IF(Arbeitszeit!$C$26="ja",55*Übersicht!$C$4,0)</f>
        <v>55</v>
      </c>
      <c r="F30" s="63">
        <f>IF(Arbeitszeit!$C$26="ja",55*Übersicht!$C$4,0)</f>
        <v>55</v>
      </c>
      <c r="G30" s="63">
        <f>IF(Arbeitszeit!$C$26="ja",55*Übersicht!$C$4,0)</f>
        <v>55</v>
      </c>
      <c r="H30" s="63">
        <f>IF(Arbeitszeit!$C$26="ja",55*Übersicht!$C$4,0)</f>
        <v>55</v>
      </c>
      <c r="I30" s="61">
        <f t="shared" ref="I30" si="4">(G30*10+H30*30)/40</f>
        <v>55</v>
      </c>
      <c r="J30" s="67">
        <f>E30*0.1+F30*0.1+G30*0.2+H30*0.6</f>
        <v>55</v>
      </c>
    </row>
    <row r="31" spans="2:14" x14ac:dyDescent="0.3">
      <c r="B31" s="92"/>
      <c r="C31" s="93"/>
      <c r="D31" s="93"/>
      <c r="E31" s="101"/>
      <c r="F31" s="93"/>
      <c r="G31" s="101"/>
      <c r="H31" s="93"/>
      <c r="I31" s="102"/>
      <c r="J31" s="97"/>
    </row>
    <row r="32" spans="2:14" x14ac:dyDescent="0.3">
      <c r="B32" s="60" t="s">
        <v>84</v>
      </c>
      <c r="C32" s="63" t="s">
        <v>7</v>
      </c>
      <c r="D32" s="63"/>
      <c r="E32" s="431">
        <f>E30*$C$9</f>
        <v>550</v>
      </c>
      <c r="F32" s="88">
        <f t="shared" ref="F32:H32" si="5">F30*$C$9</f>
        <v>550</v>
      </c>
      <c r="G32" s="88">
        <f t="shared" si="5"/>
        <v>550</v>
      </c>
      <c r="H32" s="88">
        <f t="shared" si="5"/>
        <v>550</v>
      </c>
      <c r="I32" s="61">
        <f t="shared" ref="I32:I34" si="6">(G32*10+H32*30)/40</f>
        <v>550</v>
      </c>
      <c r="J32" s="67">
        <f>E32*0.1+F32*0.1+G32*0.2+H32*0.6</f>
        <v>550</v>
      </c>
    </row>
    <row r="33" spans="2:10" x14ac:dyDescent="0.3">
      <c r="B33" s="60" t="s">
        <v>231</v>
      </c>
      <c r="C33" s="88" t="s">
        <v>7</v>
      </c>
      <c r="D33" s="145"/>
      <c r="E33" s="430"/>
      <c r="F33" s="145"/>
      <c r="G33" s="145"/>
      <c r="H33" s="145"/>
      <c r="I33" s="61">
        <f t="shared" si="6"/>
        <v>0</v>
      </c>
      <c r="J33" s="87">
        <f>E33*0.1+F33*0.1+G33*0.2+H33*0.6</f>
        <v>0</v>
      </c>
    </row>
    <row r="34" spans="2:10" x14ac:dyDescent="0.3">
      <c r="B34" s="79" t="s">
        <v>86</v>
      </c>
      <c r="C34" s="79" t="s">
        <v>7</v>
      </c>
      <c r="D34" s="79"/>
      <c r="E34" s="432">
        <f>SUM(E32:E33)</f>
        <v>550</v>
      </c>
      <c r="F34" s="79">
        <f t="shared" ref="F34:H34" si="7">SUM(F32:F33)</f>
        <v>550</v>
      </c>
      <c r="G34" s="79">
        <f t="shared" si="7"/>
        <v>550</v>
      </c>
      <c r="H34" s="79">
        <f t="shared" si="7"/>
        <v>550</v>
      </c>
      <c r="I34" s="80">
        <f t="shared" si="6"/>
        <v>550</v>
      </c>
      <c r="J34" s="80">
        <f>E34*0.1+F34*0.1+G34*0.2+H34*0.6</f>
        <v>550</v>
      </c>
    </row>
    <row r="35" spans="2:10" x14ac:dyDescent="0.3">
      <c r="B35" s="70" t="s">
        <v>87</v>
      </c>
      <c r="C35" s="73" t="s">
        <v>225</v>
      </c>
      <c r="D35" s="435">
        <v>0</v>
      </c>
      <c r="E35" s="436">
        <f>E34+E25+E27</f>
        <v>550</v>
      </c>
      <c r="F35" s="436">
        <f t="shared" ref="F35:H35" si="8">F34+F25+F27</f>
        <v>1049.2</v>
      </c>
      <c r="G35" s="436">
        <f t="shared" si="8"/>
        <v>2047.6</v>
      </c>
      <c r="H35" s="436">
        <f t="shared" si="8"/>
        <v>5791.6</v>
      </c>
      <c r="I35" s="71">
        <f>I34+I25+I27</f>
        <v>4855.6000000000004</v>
      </c>
      <c r="J35" s="71">
        <f>J34+J25+J27</f>
        <v>4044.4000000000005</v>
      </c>
    </row>
    <row r="37" spans="2:10" x14ac:dyDescent="0.3">
      <c r="B37" s="23" t="s">
        <v>73</v>
      </c>
    </row>
    <row r="38" spans="2:10" x14ac:dyDescent="0.3">
      <c r="B38" s="85" t="s">
        <v>91</v>
      </c>
      <c r="C38" s="29"/>
      <c r="D38" s="242"/>
      <c r="E38" s="241">
        <f>Übersicht!$H5/Übersicht!$C$5</f>
        <v>3.7499999999999999E-2</v>
      </c>
      <c r="F38" s="242">
        <f>Übersicht!H6/Übersicht!$C$5</f>
        <v>6.25E-2</v>
      </c>
      <c r="G38" s="241">
        <f>Übersicht!H7/Übersicht!$C$5</f>
        <v>0.125</v>
      </c>
      <c r="H38" s="242">
        <f>Übersicht!H8/Übersicht!$C$5</f>
        <v>0.75</v>
      </c>
      <c r="I38" s="86"/>
    </row>
    <row r="39" spans="2:10" x14ac:dyDescent="0.3">
      <c r="B39" s="438" t="s">
        <v>104</v>
      </c>
      <c r="C39" s="30" t="s">
        <v>9</v>
      </c>
      <c r="D39" s="90"/>
      <c r="E39" s="81">
        <f t="shared" ref="E39:H42" si="9">E18*E$38</f>
        <v>0</v>
      </c>
      <c r="F39" s="90">
        <f t="shared" si="9"/>
        <v>0</v>
      </c>
      <c r="G39" s="81">
        <f t="shared" si="9"/>
        <v>0</v>
      </c>
      <c r="H39" s="90">
        <f t="shared" si="9"/>
        <v>0</v>
      </c>
      <c r="I39" s="61"/>
    </row>
    <row r="40" spans="2:10" x14ac:dyDescent="0.3">
      <c r="B40" s="438" t="s">
        <v>105</v>
      </c>
      <c r="C40" s="30" t="s">
        <v>9</v>
      </c>
      <c r="D40" s="90"/>
      <c r="E40" s="81">
        <f t="shared" si="9"/>
        <v>0</v>
      </c>
      <c r="F40" s="90">
        <f t="shared" si="9"/>
        <v>0</v>
      </c>
      <c r="G40" s="81">
        <f t="shared" si="9"/>
        <v>0</v>
      </c>
      <c r="H40" s="90">
        <f t="shared" si="9"/>
        <v>0</v>
      </c>
      <c r="I40" s="61"/>
    </row>
    <row r="41" spans="2:10" x14ac:dyDescent="0.3">
      <c r="B41" s="438" t="s">
        <v>107</v>
      </c>
      <c r="C41" s="30" t="s">
        <v>9</v>
      </c>
      <c r="D41" s="90"/>
      <c r="E41" s="81">
        <f t="shared" si="9"/>
        <v>0</v>
      </c>
      <c r="F41" s="90">
        <f t="shared" si="9"/>
        <v>7.0000000000000007E-2</v>
      </c>
      <c r="G41" s="81">
        <f t="shared" si="9"/>
        <v>0.42</v>
      </c>
      <c r="H41" s="90">
        <f t="shared" si="9"/>
        <v>8.82</v>
      </c>
      <c r="I41" s="61"/>
    </row>
    <row r="42" spans="2:10" x14ac:dyDescent="0.3">
      <c r="B42" s="438" t="s">
        <v>106</v>
      </c>
      <c r="C42" s="30" t="s">
        <v>9</v>
      </c>
      <c r="D42" s="90"/>
      <c r="E42" s="81">
        <f t="shared" si="9"/>
        <v>0</v>
      </c>
      <c r="F42" s="90">
        <f t="shared" si="9"/>
        <v>0.93</v>
      </c>
      <c r="G42" s="81">
        <f>G21*G$38</f>
        <v>5.58</v>
      </c>
      <c r="H42" s="90">
        <f t="shared" si="9"/>
        <v>117.18</v>
      </c>
      <c r="I42" s="61"/>
    </row>
    <row r="43" spans="2:10" x14ac:dyDescent="0.3">
      <c r="B43" s="438"/>
      <c r="C43" s="30"/>
      <c r="D43" s="90"/>
      <c r="E43" s="81"/>
      <c r="F43" s="90"/>
      <c r="G43" s="81"/>
      <c r="H43" s="90"/>
      <c r="I43" s="61"/>
    </row>
    <row r="44" spans="2:10" x14ac:dyDescent="0.3">
      <c r="B44" s="438" t="s">
        <v>81</v>
      </c>
      <c r="C44" s="30" t="s">
        <v>7</v>
      </c>
      <c r="D44" s="90"/>
      <c r="E44" s="81">
        <f t="shared" ref="E44:H44" si="10">E23*E$38</f>
        <v>0</v>
      </c>
      <c r="F44" s="90">
        <f t="shared" si="10"/>
        <v>12.600000000000001</v>
      </c>
      <c r="G44" s="81">
        <f t="shared" si="10"/>
        <v>75.599999999999994</v>
      </c>
      <c r="H44" s="90">
        <f t="shared" si="10"/>
        <v>1587.6000000000001</v>
      </c>
      <c r="I44" s="61"/>
    </row>
    <row r="45" spans="2:10" x14ac:dyDescent="0.3">
      <c r="B45" s="438" t="s">
        <v>82</v>
      </c>
      <c r="C45" s="30" t="s">
        <v>7</v>
      </c>
      <c r="D45" s="90"/>
      <c r="E45" s="81">
        <f>E24*E$38</f>
        <v>0</v>
      </c>
      <c r="F45" s="90">
        <f>F24*F$38</f>
        <v>18.600000000000001</v>
      </c>
      <c r="G45" s="81">
        <f>G24*G$38</f>
        <v>111.6</v>
      </c>
      <c r="H45" s="90">
        <f>H24*H$38</f>
        <v>2343.6000000000004</v>
      </c>
      <c r="I45" s="61"/>
    </row>
    <row r="46" spans="2:10" x14ac:dyDescent="0.3">
      <c r="B46" s="438" t="s">
        <v>230</v>
      </c>
      <c r="C46" s="30" t="s">
        <v>7</v>
      </c>
      <c r="D46" s="90">
        <f>D27</f>
        <v>0</v>
      </c>
      <c r="E46" s="81">
        <f>E27*E38</f>
        <v>0</v>
      </c>
      <c r="F46" s="90">
        <f t="shared" ref="F46:H46" si="11">F27*F38</f>
        <v>0</v>
      </c>
      <c r="G46" s="81">
        <f t="shared" si="11"/>
        <v>0</v>
      </c>
      <c r="H46" s="90">
        <f t="shared" si="11"/>
        <v>0</v>
      </c>
      <c r="I46" s="61"/>
    </row>
    <row r="47" spans="2:10" x14ac:dyDescent="0.3">
      <c r="B47" s="82" t="s">
        <v>85</v>
      </c>
      <c r="C47" s="89" t="s">
        <v>7</v>
      </c>
      <c r="D47" s="91">
        <f>D46</f>
        <v>0</v>
      </c>
      <c r="E47" s="83">
        <f>SUM(E44:E46)</f>
        <v>0</v>
      </c>
      <c r="F47" s="91">
        <f>SUM(F44:F45)</f>
        <v>31.200000000000003</v>
      </c>
      <c r="G47" s="83">
        <f>SUM(G44:G45)</f>
        <v>187.2</v>
      </c>
      <c r="H47" s="91">
        <f>SUM(H44:H45)</f>
        <v>3931.2000000000007</v>
      </c>
      <c r="I47" s="84">
        <f>SUM(D47:H47)</f>
        <v>4149.6000000000004</v>
      </c>
    </row>
    <row r="48" spans="2:10" ht="15.6" x14ac:dyDescent="0.3">
      <c r="B48" s="20"/>
    </row>
    <row r="50" spans="2:2" s="2" customFormat="1" x14ac:dyDescent="0.3">
      <c r="B50" s="17" t="str">
        <f>Übersicht!$B$51</f>
        <v>Erstellt: Clarissa Schmelzle, LfL - Agrarökologie und Biologischer Landbau IAB 4a, Version 4, Stand: 20.02.2026</v>
      </c>
    </row>
  </sheetData>
  <sheetProtection algorithmName="SHA-512" hashValue="a6xrAhxZ7iwtvy+qzO/JuT3O4JKSMWPlIHMvwgwQ9IvF28+TogswLADr3O9cZEMwCrciuqL8mO03DVhcqPmtcA==" saltValue="4+Xw5ceD/lx4BWr2gb41zg==" spinCount="100000" sheet="1" objects="1" scenarios="1"/>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0BF9-CAC8-4FE6-9325-DB066E902AD7}">
  <sheetPr codeName="Tabelle2">
    <tabColor theme="7"/>
  </sheetPr>
  <dimension ref="A1:Q45"/>
  <sheetViews>
    <sheetView showGridLines="0" workbookViewId="0"/>
  </sheetViews>
  <sheetFormatPr baseColWidth="10" defaultRowHeight="14.4" x14ac:dyDescent="0.3"/>
  <cols>
    <col min="1" max="1" width="2.33203125" style="286" customWidth="1"/>
    <col min="2" max="2" width="32" style="286" customWidth="1"/>
    <col min="3" max="3" width="7.33203125" style="286" customWidth="1"/>
    <col min="4" max="4" width="13.5546875" style="286" customWidth="1"/>
    <col min="5" max="8" width="11.5546875" style="286"/>
    <col min="9" max="9" width="12.88671875" style="286" customWidth="1"/>
    <col min="10" max="10" width="15.6640625" style="286" customWidth="1"/>
    <col min="11" max="11" width="17.44140625" style="286" customWidth="1"/>
    <col min="12" max="16384" width="11.5546875" style="286"/>
  </cols>
  <sheetData>
    <row r="1" spans="2:13" ht="18" x14ac:dyDescent="0.35">
      <c r="B1" s="287" t="s">
        <v>117</v>
      </c>
      <c r="C1" s="288"/>
      <c r="D1" s="289"/>
      <c r="F1" s="290" t="s">
        <v>115</v>
      </c>
    </row>
    <row r="2" spans="2:13" ht="14.4" customHeight="1" x14ac:dyDescent="0.35">
      <c r="B2" s="291"/>
      <c r="C2" s="292"/>
      <c r="F2" s="290"/>
    </row>
    <row r="3" spans="2:13" x14ac:dyDescent="0.3">
      <c r="B3" s="293" t="s">
        <v>29</v>
      </c>
      <c r="C3" s="294"/>
    </row>
    <row r="4" spans="2:13" ht="28.8" x14ac:dyDescent="0.3">
      <c r="B4" s="295"/>
      <c r="C4" s="296"/>
      <c r="D4" s="297" t="s">
        <v>116</v>
      </c>
      <c r="E4" s="298" t="s">
        <v>24</v>
      </c>
      <c r="F4" s="298" t="s">
        <v>20</v>
      </c>
      <c r="G4" s="298" t="s">
        <v>11</v>
      </c>
      <c r="H4" s="298" t="s">
        <v>12</v>
      </c>
      <c r="I4" s="299" t="s">
        <v>13</v>
      </c>
      <c r="J4" s="297" t="s">
        <v>172</v>
      </c>
      <c r="K4" s="300" t="s">
        <v>171</v>
      </c>
    </row>
    <row r="5" spans="2:13" x14ac:dyDescent="0.3">
      <c r="B5" s="301" t="s">
        <v>28</v>
      </c>
      <c r="C5" s="302"/>
      <c r="D5" s="303"/>
      <c r="E5" s="303">
        <v>20</v>
      </c>
      <c r="F5" s="303">
        <v>5</v>
      </c>
      <c r="G5" s="303">
        <v>5</v>
      </c>
      <c r="H5" s="303">
        <v>5</v>
      </c>
      <c r="I5" s="303">
        <v>5</v>
      </c>
      <c r="J5" s="303">
        <f t="shared" ref="J5:J15" si="0">(H5*10+I5*30)/40</f>
        <v>5</v>
      </c>
      <c r="K5" s="303">
        <f t="shared" ref="K5:K19" si="1">(F5*5+G5*5+H5*10+I5*30)/50</f>
        <v>5</v>
      </c>
    </row>
    <row r="6" spans="2:13" x14ac:dyDescent="0.3">
      <c r="B6" s="301" t="s">
        <v>0</v>
      </c>
      <c r="C6" s="302"/>
      <c r="D6" s="303"/>
      <c r="E6" s="303">
        <v>1</v>
      </c>
      <c r="F6" s="303">
        <v>0</v>
      </c>
      <c r="G6" s="303">
        <v>0</v>
      </c>
      <c r="H6" s="303">
        <v>0.1</v>
      </c>
      <c r="I6" s="303">
        <v>0.1</v>
      </c>
      <c r="J6" s="303">
        <f t="shared" si="0"/>
        <v>0.1</v>
      </c>
      <c r="K6" s="303">
        <f t="shared" si="1"/>
        <v>0.08</v>
      </c>
    </row>
    <row r="7" spans="2:13" x14ac:dyDescent="0.3">
      <c r="B7" s="301" t="s">
        <v>25</v>
      </c>
      <c r="C7" s="302"/>
      <c r="D7" s="445">
        <v>0.04</v>
      </c>
      <c r="E7" s="303">
        <f>$D$7*Übersicht!$C$5</f>
        <v>3.2</v>
      </c>
      <c r="F7" s="303">
        <f>$D$7*Übersicht!$C$5*2</f>
        <v>6.4</v>
      </c>
      <c r="G7" s="303">
        <f>$D$7*Übersicht!$C$5</f>
        <v>3.2</v>
      </c>
      <c r="H7" s="303">
        <v>0</v>
      </c>
      <c r="I7" s="303">
        <v>0</v>
      </c>
      <c r="J7" s="303">
        <f t="shared" si="0"/>
        <v>0</v>
      </c>
      <c r="K7" s="303">
        <f t="shared" si="1"/>
        <v>0.96</v>
      </c>
    </row>
    <row r="8" spans="2:13" x14ac:dyDescent="0.3">
      <c r="B8" s="301" t="s">
        <v>31</v>
      </c>
      <c r="C8" s="302"/>
      <c r="D8" s="445">
        <v>0.8</v>
      </c>
      <c r="E8" s="303">
        <f>D8*Übersicht!$C$5</f>
        <v>64</v>
      </c>
      <c r="F8" s="303">
        <v>0</v>
      </c>
      <c r="G8" s="303">
        <v>0</v>
      </c>
      <c r="H8" s="303">
        <v>0</v>
      </c>
      <c r="I8" s="303">
        <v>0</v>
      </c>
      <c r="J8" s="303">
        <f t="shared" si="0"/>
        <v>0</v>
      </c>
      <c r="K8" s="303">
        <f t="shared" si="1"/>
        <v>0</v>
      </c>
    </row>
    <row r="9" spans="2:13" x14ac:dyDescent="0.3">
      <c r="B9" s="301" t="s">
        <v>36</v>
      </c>
      <c r="C9" s="302"/>
      <c r="D9" s="445">
        <v>2.5000000000000001E-2</v>
      </c>
      <c r="E9" s="303">
        <f>D9*2*Übersicht!$C$5</f>
        <v>4</v>
      </c>
      <c r="F9" s="303">
        <f>$D$9*Übersicht!$C$5</f>
        <v>2</v>
      </c>
      <c r="G9" s="303">
        <f>$D$9*Übersicht!$C$5</f>
        <v>2</v>
      </c>
      <c r="H9" s="303">
        <v>0</v>
      </c>
      <c r="I9" s="303">
        <v>0</v>
      </c>
      <c r="J9" s="303">
        <f t="shared" si="0"/>
        <v>0</v>
      </c>
      <c r="K9" s="303">
        <f t="shared" si="1"/>
        <v>0.4</v>
      </c>
    </row>
    <row r="10" spans="2:13" x14ac:dyDescent="0.3">
      <c r="B10" s="301" t="s">
        <v>21</v>
      </c>
      <c r="C10" s="302"/>
      <c r="D10" s="445">
        <v>0.1</v>
      </c>
      <c r="E10" s="303">
        <f>$D$10*Übersicht!$C$5</f>
        <v>8</v>
      </c>
      <c r="F10" s="303">
        <f>$D$10*Übersicht!$C$5</f>
        <v>8</v>
      </c>
      <c r="G10" s="303">
        <v>0</v>
      </c>
      <c r="H10" s="303">
        <v>0</v>
      </c>
      <c r="I10" s="303">
        <v>0</v>
      </c>
      <c r="J10" s="303">
        <f t="shared" si="0"/>
        <v>0</v>
      </c>
      <c r="K10" s="303">
        <f t="shared" si="1"/>
        <v>0.8</v>
      </c>
      <c r="M10" s="305"/>
    </row>
    <row r="11" spans="2:13" x14ac:dyDescent="0.3">
      <c r="B11" s="301" t="s">
        <v>27</v>
      </c>
      <c r="C11" s="302"/>
      <c r="D11" s="445">
        <v>0.7</v>
      </c>
      <c r="E11" s="303">
        <f>$D$11*Übersicht!$C$5/10</f>
        <v>5.6</v>
      </c>
      <c r="F11" s="303">
        <f>$D$11*Übersicht!$C$5/2</f>
        <v>28</v>
      </c>
      <c r="G11" s="303">
        <f>$D$11*Übersicht!$C$5/1.2</f>
        <v>46.666666666666671</v>
      </c>
      <c r="H11" s="303">
        <f>$D$11*Übersicht!$C$5</f>
        <v>56</v>
      </c>
      <c r="I11" s="303">
        <f>$D$11*Übersicht!$C$5</f>
        <v>56</v>
      </c>
      <c r="J11" s="303">
        <f t="shared" si="0"/>
        <v>56</v>
      </c>
      <c r="K11" s="303">
        <f t="shared" si="1"/>
        <v>52.266666666666673</v>
      </c>
    </row>
    <row r="12" spans="2:13" x14ac:dyDescent="0.3">
      <c r="B12" s="301" t="s">
        <v>22</v>
      </c>
      <c r="C12" s="302"/>
      <c r="D12" s="445">
        <v>0.05</v>
      </c>
      <c r="E12" s="303">
        <f>$D$12*Übersicht!$C$5</f>
        <v>4</v>
      </c>
      <c r="F12" s="303">
        <f>$D$12*Übersicht!$C$5</f>
        <v>4</v>
      </c>
      <c r="G12" s="303">
        <f>$D$12*Übersicht!$C$5</f>
        <v>4</v>
      </c>
      <c r="H12" s="303">
        <f>$D$12*Übersicht!$C$5</f>
        <v>4</v>
      </c>
      <c r="I12" s="303">
        <f>$D$12*Übersicht!$C$5</f>
        <v>4</v>
      </c>
      <c r="J12" s="303">
        <f t="shared" si="0"/>
        <v>4</v>
      </c>
      <c r="K12" s="303">
        <f t="shared" si="1"/>
        <v>4</v>
      </c>
    </row>
    <row r="13" spans="2:13" x14ac:dyDescent="0.3">
      <c r="B13" s="306" t="s">
        <v>202</v>
      </c>
      <c r="C13" s="302"/>
      <c r="D13" s="445">
        <v>0.3</v>
      </c>
      <c r="E13" s="303">
        <v>0</v>
      </c>
      <c r="F13" s="303">
        <f>$D$13*Übersicht!$C$5</f>
        <v>24</v>
      </c>
      <c r="G13" s="303">
        <f>$D$13*Übersicht!$C$5</f>
        <v>24</v>
      </c>
      <c r="H13" s="303">
        <f>$D$13*Übersicht!$C$5</f>
        <v>24</v>
      </c>
      <c r="I13" s="303">
        <f>$D$13*Übersicht!$C$5</f>
        <v>24</v>
      </c>
      <c r="J13" s="303">
        <f t="shared" si="0"/>
        <v>24</v>
      </c>
      <c r="K13" s="303">
        <f t="shared" si="1"/>
        <v>24</v>
      </c>
    </row>
    <row r="14" spans="2:13" x14ac:dyDescent="0.3">
      <c r="B14" s="301" t="s">
        <v>118</v>
      </c>
      <c r="C14" s="307"/>
      <c r="D14" s="445">
        <v>1.5</v>
      </c>
      <c r="E14" s="303">
        <v>0</v>
      </c>
      <c r="F14" s="303">
        <f>1.5*(Ertrag!E18+Ertrag!E20)</f>
        <v>0</v>
      </c>
      <c r="G14" s="303">
        <f>$D$14*(Ertrag!F18+Ertrag!F20)</f>
        <v>1.6800000000000002</v>
      </c>
      <c r="H14" s="303">
        <f>$D$14*(Ertrag!G18+Ertrag!G20)</f>
        <v>5.04</v>
      </c>
      <c r="I14" s="303">
        <f>$D$14*(Ertrag!H18+Ertrag!H20)</f>
        <v>17.64</v>
      </c>
      <c r="J14" s="303">
        <f t="shared" si="0"/>
        <v>14.49</v>
      </c>
      <c r="K14" s="303">
        <f t="shared" si="1"/>
        <v>11.76</v>
      </c>
    </row>
    <row r="15" spans="2:13" x14ac:dyDescent="0.3">
      <c r="B15" s="301" t="s">
        <v>144</v>
      </c>
      <c r="C15" s="304" t="s">
        <v>75</v>
      </c>
      <c r="D15" s="445">
        <v>0.7</v>
      </c>
      <c r="E15" s="303">
        <v>0</v>
      </c>
      <c r="F15" s="303">
        <v>0</v>
      </c>
      <c r="G15" s="303">
        <f>IF($C$15="ja", $D$15*(Ertrag!F$19+Ertrag!F$21), 0)</f>
        <v>0</v>
      </c>
      <c r="H15" s="303">
        <f>IF($C$15="ja", $D$15*(Ertrag!G$19+Ertrag!G$21), 0)</f>
        <v>0</v>
      </c>
      <c r="I15" s="303">
        <f>IF($C$15="ja", $D$15*(Ertrag!H$19+Ertrag!H$21), 0)</f>
        <v>0</v>
      </c>
      <c r="J15" s="303">
        <f t="shared" si="0"/>
        <v>0</v>
      </c>
      <c r="K15" s="303">
        <f t="shared" si="1"/>
        <v>0</v>
      </c>
    </row>
    <row r="16" spans="2:13" x14ac:dyDescent="0.3">
      <c r="B16" s="301" t="s">
        <v>145</v>
      </c>
      <c r="C16" s="308" t="s">
        <v>55</v>
      </c>
      <c r="D16" s="445">
        <v>0.2</v>
      </c>
      <c r="E16" s="303">
        <v>0</v>
      </c>
      <c r="F16" s="303">
        <v>0</v>
      </c>
      <c r="G16" s="303">
        <f>IF($C$16="ja",$D$16*(Ertrag!F$19+Ertrag!F$21),0)</f>
        <v>2.9760000000000004</v>
      </c>
      <c r="H16" s="303">
        <f>IF($C$16="ja",$D$16*(Ertrag!G$19+Ertrag!G$21),0)</f>
        <v>8.9280000000000008</v>
      </c>
      <c r="I16" s="303">
        <f>IF($C$16="ja",$D$16*(Ertrag!H$19+Ertrag!H$21),0)</f>
        <v>31.248000000000005</v>
      </c>
      <c r="J16" s="303">
        <f t="shared" ref="J16:J19" si="2">(H16*10+I16*30)/40</f>
        <v>25.668000000000006</v>
      </c>
      <c r="K16" s="303">
        <f t="shared" si="1"/>
        <v>20.832000000000004</v>
      </c>
    </row>
    <row r="17" spans="1:14" x14ac:dyDescent="0.3">
      <c r="B17" s="301" t="s">
        <v>146</v>
      </c>
      <c r="C17" s="302"/>
      <c r="D17" s="445">
        <v>0.1</v>
      </c>
      <c r="E17" s="303">
        <v>0</v>
      </c>
      <c r="F17" s="303">
        <f>0.1*SUM(Ertrag!E18:E21)</f>
        <v>0</v>
      </c>
      <c r="G17" s="303">
        <f>0.1*SUM(Ertrag!F18:F21)</f>
        <v>1.6</v>
      </c>
      <c r="H17" s="303">
        <f>0.1*SUM(Ertrag!G18:G21)</f>
        <v>4.8000000000000007</v>
      </c>
      <c r="I17" s="303">
        <f>0.1*SUM(Ertrag!H18:H21)</f>
        <v>16.8</v>
      </c>
      <c r="J17" s="303">
        <f t="shared" si="2"/>
        <v>13.8</v>
      </c>
      <c r="K17" s="303">
        <f t="shared" si="1"/>
        <v>11.2</v>
      </c>
    </row>
    <row r="18" spans="1:14" x14ac:dyDescent="0.3">
      <c r="B18" s="301" t="s">
        <v>147</v>
      </c>
      <c r="C18" s="302"/>
      <c r="D18" s="445">
        <v>4</v>
      </c>
      <c r="E18" s="303">
        <f>4*Übersicht!$C$4*Arbeitszeit!$D$18</f>
        <v>16</v>
      </c>
      <c r="F18" s="303">
        <f>2*Übersicht!$C$4*Arbeitszeit!$D$18</f>
        <v>8</v>
      </c>
      <c r="G18" s="303">
        <f>Übersicht!$C$4*Arbeitszeit!$D$18</f>
        <v>4</v>
      </c>
      <c r="H18" s="303">
        <f>Übersicht!$C$4*Arbeitszeit!$D$18</f>
        <v>4</v>
      </c>
      <c r="I18" s="303">
        <f>Übersicht!$C$4*Arbeitszeit!$D$18</f>
        <v>4</v>
      </c>
      <c r="J18" s="303">
        <f t="shared" si="2"/>
        <v>4</v>
      </c>
      <c r="K18" s="303">
        <f t="shared" si="1"/>
        <v>4.4000000000000004</v>
      </c>
    </row>
    <row r="19" spans="1:14" x14ac:dyDescent="0.3">
      <c r="B19" s="301" t="s">
        <v>41</v>
      </c>
      <c r="C19" s="302"/>
      <c r="D19" s="445">
        <v>5</v>
      </c>
      <c r="E19" s="303">
        <f>2*D19</f>
        <v>10</v>
      </c>
      <c r="F19" s="303">
        <f>D19</f>
        <v>5</v>
      </c>
      <c r="G19" s="303">
        <f>D19</f>
        <v>5</v>
      </c>
      <c r="H19" s="303">
        <f>D19</f>
        <v>5</v>
      </c>
      <c r="I19" s="303">
        <f>D19</f>
        <v>5</v>
      </c>
      <c r="J19" s="303">
        <f t="shared" si="2"/>
        <v>5</v>
      </c>
      <c r="K19" s="303">
        <f t="shared" si="1"/>
        <v>5</v>
      </c>
    </row>
    <row r="20" spans="1:14" x14ac:dyDescent="0.3">
      <c r="B20" s="301" t="s">
        <v>23</v>
      </c>
      <c r="C20" s="302"/>
      <c r="D20" s="446">
        <v>0</v>
      </c>
      <c r="E20" s="303">
        <f>D20</f>
        <v>0</v>
      </c>
      <c r="F20" s="301">
        <f>D20</f>
        <v>0</v>
      </c>
      <c r="G20" s="303">
        <f>D20</f>
        <v>0</v>
      </c>
      <c r="H20" s="301">
        <f>D20</f>
        <v>0</v>
      </c>
      <c r="I20" s="301">
        <f>D20</f>
        <v>0</v>
      </c>
      <c r="J20" s="303"/>
      <c r="K20" s="302"/>
    </row>
    <row r="21" spans="1:14" x14ac:dyDescent="0.3">
      <c r="B21" s="309" t="s">
        <v>119</v>
      </c>
      <c r="C21" s="310"/>
      <c r="D21" s="311"/>
      <c r="E21" s="311">
        <f>SUM(E5:E19)</f>
        <v>135.80000000000001</v>
      </c>
      <c r="F21" s="309">
        <f>SUM(F5:F19)</f>
        <v>90.4</v>
      </c>
      <c r="G21" s="311">
        <f>SUM(G5:G19)</f>
        <v>100.12266666666667</v>
      </c>
      <c r="H21" s="309">
        <f>SUM(H5:H19)</f>
        <v>116.86799999999999</v>
      </c>
      <c r="I21" s="309">
        <f>SUM(I5:I19)</f>
        <v>163.78800000000001</v>
      </c>
      <c r="J21" s="311">
        <f>(H21*10+I21*30)/40</f>
        <v>152.05799999999999</v>
      </c>
      <c r="K21" s="310">
        <f>(F21*5+G21*5+H21*10+I21*30)/50</f>
        <v>140.69866666666667</v>
      </c>
    </row>
    <row r="22" spans="1:14" s="314" customFormat="1" x14ac:dyDescent="0.3">
      <c r="A22" s="312"/>
      <c r="B22" s="312"/>
      <c r="C22" s="313"/>
      <c r="D22" s="313"/>
      <c r="E22" s="313"/>
      <c r="F22" s="312"/>
      <c r="G22" s="313"/>
      <c r="H22" s="313"/>
      <c r="I22" s="313"/>
      <c r="J22" s="313"/>
      <c r="K22" s="313"/>
      <c r="N22" s="286"/>
    </row>
    <row r="23" spans="1:14" x14ac:dyDescent="0.3">
      <c r="A23" s="315"/>
      <c r="B23" s="316" t="s">
        <v>30</v>
      </c>
      <c r="C23" s="317"/>
      <c r="D23" s="318"/>
      <c r="E23" s="318"/>
      <c r="F23" s="318"/>
      <c r="G23" s="318"/>
      <c r="H23" s="318"/>
      <c r="I23" s="318"/>
      <c r="J23" s="318"/>
      <c r="K23" s="318"/>
      <c r="N23" s="314"/>
    </row>
    <row r="24" spans="1:14" x14ac:dyDescent="0.3">
      <c r="B24" s="319" t="s">
        <v>26</v>
      </c>
      <c r="C24" s="320"/>
      <c r="D24" s="304">
        <v>0</v>
      </c>
      <c r="E24" s="321">
        <f>D24*Übersicht!C4</f>
        <v>0</v>
      </c>
      <c r="F24" s="322">
        <v>0</v>
      </c>
      <c r="G24" s="321">
        <v>0</v>
      </c>
      <c r="H24" s="322">
        <v>0</v>
      </c>
      <c r="I24" s="321">
        <v>0</v>
      </c>
      <c r="J24" s="322"/>
      <c r="K24" s="323"/>
    </row>
    <row r="25" spans="1:14" x14ac:dyDescent="0.3">
      <c r="B25" s="301" t="s">
        <v>68</v>
      </c>
      <c r="C25" s="304" t="s">
        <v>75</v>
      </c>
      <c r="D25" s="304">
        <v>3</v>
      </c>
      <c r="E25" s="303">
        <f>IF($C$25="ja",$D$25*Übersicht!$C$4, 0)</f>
        <v>0</v>
      </c>
      <c r="F25" s="303">
        <f>IF($C$25="ja",$D$25*Übersicht!$C$4, 0)</f>
        <v>0</v>
      </c>
      <c r="G25" s="303">
        <f>IF($C$25="ja",$D$25*Übersicht!$C$4, 0)</f>
        <v>0</v>
      </c>
      <c r="H25" s="303">
        <f>IF($C$25="ja",$D$25*Übersicht!$C$4*1.5, 0)</f>
        <v>0</v>
      </c>
      <c r="I25" s="303">
        <f>IF($C$25="ja",$D$25*Übersicht!$C$4*1.5, 0)</f>
        <v>0</v>
      </c>
      <c r="J25" s="303"/>
      <c r="K25" s="302"/>
    </row>
    <row r="26" spans="1:14" x14ac:dyDescent="0.3">
      <c r="B26" s="324" t="s">
        <v>69</v>
      </c>
      <c r="C26" s="308" t="s">
        <v>55</v>
      </c>
      <c r="D26" s="304">
        <v>10</v>
      </c>
      <c r="E26" s="325">
        <f>IF($C$26="ja",$D$26*Übersicht!$C$4, 0)</f>
        <v>10</v>
      </c>
      <c r="F26" s="325">
        <f>IF($C$26="ja",$D$26*Übersicht!$C$4, 0)</f>
        <v>10</v>
      </c>
      <c r="G26" s="325">
        <f>IF($C$26="ja",$D$26*Übersicht!$C$4, 0)</f>
        <v>10</v>
      </c>
      <c r="H26" s="325">
        <f>IF($C$26="ja",$D$26*Übersicht!$C$4*1.2, 0)</f>
        <v>12</v>
      </c>
      <c r="I26" s="325">
        <f>IF($C$26="ja",$D$26*Übersicht!$C$4*1.2, 0)</f>
        <v>12</v>
      </c>
      <c r="J26" s="325"/>
      <c r="K26" s="307"/>
    </row>
    <row r="27" spans="1:14" x14ac:dyDescent="0.3">
      <c r="B27" s="309" t="s">
        <v>120</v>
      </c>
      <c r="C27" s="310"/>
      <c r="D27" s="310"/>
      <c r="E27" s="311">
        <f>SUM(E24:E26)</f>
        <v>10</v>
      </c>
      <c r="F27" s="311">
        <f t="shared" ref="F27:I27" si="3">SUM(F24:F26)</f>
        <v>10</v>
      </c>
      <c r="G27" s="311">
        <f t="shared" si="3"/>
        <v>10</v>
      </c>
      <c r="H27" s="311">
        <f t="shared" si="3"/>
        <v>12</v>
      </c>
      <c r="I27" s="310">
        <f t="shared" si="3"/>
        <v>12</v>
      </c>
      <c r="J27" s="311">
        <f>(H27*10+I27*30)/40</f>
        <v>12</v>
      </c>
      <c r="K27" s="310">
        <f>(F27*5+G27*5+H27*10+I27*30)/50</f>
        <v>11.6</v>
      </c>
    </row>
    <row r="28" spans="1:14" s="314" customFormat="1" x14ac:dyDescent="0.3">
      <c r="A28" s="312"/>
      <c r="B28" s="312"/>
      <c r="C28" s="313"/>
      <c r="D28" s="313"/>
      <c r="E28" s="313"/>
      <c r="F28" s="312"/>
      <c r="G28" s="313"/>
      <c r="H28" s="313"/>
      <c r="I28" s="313"/>
      <c r="J28" s="313"/>
      <c r="K28" s="313"/>
      <c r="N28" s="286"/>
    </row>
    <row r="29" spans="1:14" x14ac:dyDescent="0.3">
      <c r="A29" s="315"/>
      <c r="B29" s="316" t="s">
        <v>229</v>
      </c>
      <c r="C29" s="317"/>
      <c r="D29" s="414" t="s">
        <v>233</v>
      </c>
      <c r="E29" s="318"/>
      <c r="F29" s="318"/>
      <c r="G29" s="318"/>
      <c r="H29" s="318"/>
      <c r="I29" s="318"/>
      <c r="J29" s="318"/>
      <c r="K29" s="318"/>
      <c r="N29" s="314"/>
    </row>
    <row r="30" spans="1:14" x14ac:dyDescent="0.3">
      <c r="B30" s="441" t="s">
        <v>232</v>
      </c>
      <c r="C30" s="411"/>
      <c r="D30" s="412"/>
      <c r="E30" s="304"/>
      <c r="F30" s="304"/>
      <c r="G30" s="304"/>
      <c r="H30" s="304"/>
      <c r="I30" s="304"/>
      <c r="J30" s="322"/>
      <c r="K30" s="323"/>
    </row>
    <row r="31" spans="1:14" x14ac:dyDescent="0.3">
      <c r="B31" s="442" t="s">
        <v>234</v>
      </c>
      <c r="C31" s="412"/>
      <c r="D31" s="412"/>
      <c r="E31" s="304"/>
      <c r="F31" s="304"/>
      <c r="G31" s="304"/>
      <c r="H31" s="304"/>
      <c r="I31" s="304"/>
      <c r="J31" s="303"/>
      <c r="K31" s="302"/>
    </row>
    <row r="32" spans="1:14" x14ac:dyDescent="0.3">
      <c r="B32" s="443" t="s">
        <v>235</v>
      </c>
      <c r="C32" s="413"/>
      <c r="D32" s="412"/>
      <c r="E32" s="304"/>
      <c r="F32" s="304"/>
      <c r="G32" s="304"/>
      <c r="H32" s="304"/>
      <c r="I32" s="304"/>
      <c r="J32" s="325"/>
      <c r="K32" s="307"/>
    </row>
    <row r="33" spans="2:17" x14ac:dyDescent="0.3">
      <c r="B33" s="442" t="s">
        <v>23</v>
      </c>
      <c r="C33" s="444"/>
      <c r="D33" s="444"/>
      <c r="E33" s="304"/>
      <c r="F33" s="304"/>
      <c r="G33" s="304"/>
      <c r="H33" s="304"/>
      <c r="I33" s="304"/>
      <c r="J33" s="303"/>
      <c r="K33" s="302"/>
    </row>
    <row r="34" spans="2:17" x14ac:dyDescent="0.3">
      <c r="B34" s="309" t="s">
        <v>236</v>
      </c>
      <c r="C34" s="310"/>
      <c r="D34" s="310"/>
      <c r="E34" s="311">
        <f>SUM(E30:E33)</f>
        <v>0</v>
      </c>
      <c r="F34" s="311">
        <f t="shared" ref="F34:I34" si="4">SUM(F30:F33)</f>
        <v>0</v>
      </c>
      <c r="G34" s="311">
        <f t="shared" si="4"/>
        <v>0</v>
      </c>
      <c r="H34" s="311">
        <f t="shared" si="4"/>
        <v>0</v>
      </c>
      <c r="I34" s="311">
        <f t="shared" si="4"/>
        <v>0</v>
      </c>
      <c r="J34" s="311">
        <f>(H34*10+I34*30)/40</f>
        <v>0</v>
      </c>
      <c r="K34" s="310">
        <f>(F34*5+G34*5+H34*10+I34*30)/50</f>
        <v>0</v>
      </c>
    </row>
    <row r="35" spans="2:17" s="312" customFormat="1" x14ac:dyDescent="0.3">
      <c r="N35" s="286"/>
    </row>
    <row r="36" spans="2:17" x14ac:dyDescent="0.3">
      <c r="B36" s="326" t="s">
        <v>228</v>
      </c>
      <c r="C36" s="327"/>
      <c r="D36" s="326"/>
      <c r="E36" s="326">
        <f t="shared" ref="E36:K36" si="5">E27+E21+E34</f>
        <v>145.80000000000001</v>
      </c>
      <c r="F36" s="326">
        <f t="shared" si="5"/>
        <v>100.4</v>
      </c>
      <c r="G36" s="326">
        <f t="shared" si="5"/>
        <v>110.12266666666667</v>
      </c>
      <c r="H36" s="326">
        <f t="shared" si="5"/>
        <v>128.86799999999999</v>
      </c>
      <c r="I36" s="326">
        <f t="shared" si="5"/>
        <v>175.78800000000001</v>
      </c>
      <c r="J36" s="326">
        <f t="shared" si="5"/>
        <v>164.05799999999999</v>
      </c>
      <c r="K36" s="482">
        <f t="shared" si="5"/>
        <v>152.29866666666666</v>
      </c>
      <c r="N36" s="312"/>
    </row>
    <row r="38" spans="2:17" x14ac:dyDescent="0.3">
      <c r="B38" s="328" t="s">
        <v>73</v>
      </c>
    </row>
    <row r="39" spans="2:17" x14ac:dyDescent="0.3">
      <c r="B39" s="319"/>
      <c r="C39" s="321"/>
      <c r="D39" s="321"/>
      <c r="E39" s="322"/>
      <c r="F39" s="321"/>
      <c r="G39" s="322"/>
      <c r="H39" s="321"/>
      <c r="I39" s="322"/>
      <c r="J39" s="329" t="s">
        <v>33</v>
      </c>
    </row>
    <row r="40" spans="2:17" s="330" customFormat="1" x14ac:dyDescent="0.3">
      <c r="B40" s="331" t="s">
        <v>70</v>
      </c>
      <c r="C40" s="332"/>
      <c r="D40" s="333"/>
      <c r="E40" s="334">
        <f>Übersicht!$H4/Übersicht!$C$5</f>
        <v>2.5000000000000001E-2</v>
      </c>
      <c r="F40" s="333">
        <f>Übersicht!$H5/Übersicht!$C$5</f>
        <v>3.7499999999999999E-2</v>
      </c>
      <c r="G40" s="334">
        <f>Übersicht!$H6/Übersicht!$C$5</f>
        <v>6.25E-2</v>
      </c>
      <c r="H40" s="333">
        <f>Übersicht!$H7/Übersicht!$C$5</f>
        <v>0.125</v>
      </c>
      <c r="I40" s="334">
        <f>Übersicht!$H8/Übersicht!$C$5</f>
        <v>0.75</v>
      </c>
      <c r="J40" s="335">
        <f>SUM(E40:I40)</f>
        <v>1</v>
      </c>
      <c r="N40" s="286"/>
    </row>
    <row r="41" spans="2:17" x14ac:dyDescent="0.3">
      <c r="B41" s="336" t="s">
        <v>71</v>
      </c>
      <c r="C41" s="337"/>
      <c r="D41" s="337"/>
      <c r="E41" s="338">
        <f t="shared" ref="E41:H41" si="6">E36*E40</f>
        <v>3.6450000000000005</v>
      </c>
      <c r="F41" s="338">
        <f t="shared" si="6"/>
        <v>3.7650000000000001</v>
      </c>
      <c r="G41" s="338">
        <f t="shared" si="6"/>
        <v>6.8826666666666672</v>
      </c>
      <c r="H41" s="338">
        <f t="shared" si="6"/>
        <v>16.108499999999999</v>
      </c>
      <c r="I41" s="338">
        <f>I36*I40</f>
        <v>131.84100000000001</v>
      </c>
      <c r="J41" s="338">
        <f>SUM(E41:I41)</f>
        <v>162.24216666666666</v>
      </c>
      <c r="N41" s="330"/>
    </row>
    <row r="42" spans="2:17" x14ac:dyDescent="0.3">
      <c r="M42" s="339"/>
      <c r="O42" s="339"/>
      <c r="P42" s="339"/>
      <c r="Q42" s="339"/>
    </row>
    <row r="43" spans="2:17" x14ac:dyDescent="0.3">
      <c r="N43" s="339"/>
    </row>
    <row r="45" spans="2:17" x14ac:dyDescent="0.3">
      <c r="B45" s="340" t="str">
        <f>Übersicht!$B$51</f>
        <v>Erstellt: Clarissa Schmelzle, LfL - Agrarökologie und Biologischer Landbau IAB 4a, Version 4, Stand: 20.02.2026</v>
      </c>
    </row>
  </sheetData>
  <sheetProtection algorithmName="SHA-512" hashValue="PsHIgcWEwypF4BPsG2Jmajcc9mfEDeuky8jeG3rNzfmTnlx9DuFK5W3JIRtQKtNR76II6gADSU94OC/HG/Sh9w==" saltValue="1lkpUpuwoRNJtLXoVEc1pw==" spinCount="100000" sheet="1" objects="1" scenarios="1"/>
  <conditionalFormatting sqref="C15:C16">
    <cfRule type="expression" dxfId="9" priority="4">
      <formula>IF($C$16=$C$15,TRUE,FALSE)</formula>
    </cfRule>
  </conditionalFormatting>
  <conditionalFormatting sqref="C25:C26">
    <cfRule type="expression" dxfId="8" priority="2">
      <formula>IF($C$25=$C$26,TRUE,FALSE)</formula>
    </cfRule>
  </conditionalFormatting>
  <dataValidations count="1">
    <dataValidation type="list" allowBlank="1" showInputMessage="1" showErrorMessage="1" sqref="C15:C16 C25:C26" xr:uid="{3F448059-7742-4BB6-AEFD-EEA93A0CE0A3}">
      <formula1>"ja,nein"</formula1>
    </dataValidation>
  </dataValidations>
  <pageMargins left="0.7" right="0.7" top="0.78740157499999996" bottom="0.78740157499999996" header="0.3" footer="0.3"/>
  <pageSetup paperSize="9" orientation="portrait" r:id="rId1"/>
  <ignoredErrors>
    <ignoredError sqref="F7"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D813-70DB-4EC6-BC4E-7E49D70288FF}">
  <sheetPr codeName="Tabelle3">
    <tabColor rgb="FFC00000"/>
  </sheetPr>
  <dimension ref="A1:J50"/>
  <sheetViews>
    <sheetView showGridLines="0" workbookViewId="0"/>
  </sheetViews>
  <sheetFormatPr baseColWidth="10" defaultRowHeight="14.4" x14ac:dyDescent="0.3"/>
  <cols>
    <col min="1" max="1" width="2" style="341" customWidth="1"/>
    <col min="2" max="2" width="27.6640625" style="341" customWidth="1"/>
    <col min="3" max="3" width="11.5546875" style="341"/>
    <col min="4" max="4" width="14.44140625" style="341" bestFit="1" customWidth="1"/>
    <col min="5" max="7" width="13.44140625" style="341" bestFit="1" customWidth="1"/>
    <col min="8" max="8" width="11.5546875" style="341" customWidth="1"/>
    <col min="9" max="9" width="16" style="341" customWidth="1"/>
    <col min="10" max="10" width="15.77734375" style="341" customWidth="1"/>
    <col min="11" max="16384" width="11.5546875" style="341"/>
  </cols>
  <sheetData>
    <row r="1" spans="1:10" s="361" customFormat="1" ht="18" x14ac:dyDescent="0.35">
      <c r="A1" s="358"/>
      <c r="B1" s="359" t="s">
        <v>37</v>
      </c>
      <c r="C1" s="360"/>
      <c r="E1" s="362" t="s">
        <v>121</v>
      </c>
    </row>
    <row r="2" spans="1:10" s="361" customFormat="1" ht="14.4" customHeight="1" x14ac:dyDescent="0.35">
      <c r="B2" s="363"/>
      <c r="E2" s="362"/>
    </row>
    <row r="3" spans="1:10" s="361" customFormat="1" x14ac:dyDescent="0.3">
      <c r="B3" s="364" t="s">
        <v>29</v>
      </c>
    </row>
    <row r="4" spans="1:10" s="361" customFormat="1" ht="28.2" customHeight="1" x14ac:dyDescent="0.3">
      <c r="B4" s="404"/>
      <c r="C4" s="365" t="s">
        <v>136</v>
      </c>
      <c r="D4" s="366" t="s">
        <v>24</v>
      </c>
      <c r="E4" s="367" t="s">
        <v>20</v>
      </c>
      <c r="F4" s="368" t="s">
        <v>11</v>
      </c>
      <c r="G4" s="366" t="s">
        <v>12</v>
      </c>
      <c r="H4" s="368" t="s">
        <v>13</v>
      </c>
      <c r="I4" s="369" t="s">
        <v>172</v>
      </c>
      <c r="J4" s="370" t="s">
        <v>171</v>
      </c>
    </row>
    <row r="5" spans="1:10" s="361" customFormat="1" x14ac:dyDescent="0.3">
      <c r="B5" s="394" t="s">
        <v>38</v>
      </c>
      <c r="C5" s="142">
        <v>45</v>
      </c>
      <c r="D5" s="244">
        <f>C5*Übersicht!$C$5</f>
        <v>3600</v>
      </c>
      <c r="E5" s="244">
        <v>0</v>
      </c>
      <c r="F5" s="244">
        <v>0</v>
      </c>
      <c r="G5" s="244">
        <v>0</v>
      </c>
      <c r="H5" s="244">
        <v>0</v>
      </c>
      <c r="I5" s="244">
        <f t="shared" ref="I5:I10" si="0">(G5*10+H5*30)/40</f>
        <v>0</v>
      </c>
      <c r="J5" s="244">
        <f t="shared" ref="J5:J9" si="1">(E5*5+F5*5+G5*10+H5*30)/50</f>
        <v>0</v>
      </c>
    </row>
    <row r="6" spans="1:10" s="361" customFormat="1" x14ac:dyDescent="0.3">
      <c r="B6" s="394" t="s">
        <v>39</v>
      </c>
      <c r="C6" s="142">
        <v>13</v>
      </c>
      <c r="D6" s="244">
        <f>C6*Übersicht!$C$5</f>
        <v>1040</v>
      </c>
      <c r="E6" s="244">
        <v>0</v>
      </c>
      <c r="F6" s="244">
        <v>0</v>
      </c>
      <c r="G6" s="244">
        <v>0</v>
      </c>
      <c r="H6" s="244">
        <v>0</v>
      </c>
      <c r="I6" s="244">
        <f t="shared" si="0"/>
        <v>0</v>
      </c>
      <c r="J6" s="244">
        <f t="shared" si="1"/>
        <v>0</v>
      </c>
    </row>
    <row r="7" spans="1:10" s="361" customFormat="1" x14ac:dyDescent="0.3">
      <c r="B7" s="394" t="s">
        <v>66</v>
      </c>
      <c r="C7" s="142">
        <v>0.5</v>
      </c>
      <c r="D7" s="244">
        <f>$C$7*0</f>
        <v>0</v>
      </c>
      <c r="E7" s="244">
        <f>$C$7*Übersicht!$C$5</f>
        <v>40</v>
      </c>
      <c r="F7" s="244">
        <f>$C$7*Übersicht!$C$5</f>
        <v>40</v>
      </c>
      <c r="G7" s="244">
        <f>$C$7*Übersicht!$C$5</f>
        <v>40</v>
      </c>
      <c r="H7" s="244">
        <f>$C$7*Übersicht!$C$5</f>
        <v>40</v>
      </c>
      <c r="I7" s="244">
        <f t="shared" si="0"/>
        <v>40</v>
      </c>
      <c r="J7" s="244">
        <f t="shared" si="1"/>
        <v>40</v>
      </c>
    </row>
    <row r="8" spans="1:10" s="361" customFormat="1" x14ac:dyDescent="0.3">
      <c r="B8" s="394" t="s">
        <v>22</v>
      </c>
      <c r="C8" s="142">
        <v>0.5</v>
      </c>
      <c r="D8" s="244">
        <f>$C$8*Übersicht!$C$5</f>
        <v>40</v>
      </c>
      <c r="E8" s="244">
        <f>$C$8*Übersicht!$C$5</f>
        <v>40</v>
      </c>
      <c r="F8" s="244">
        <f>$C$8*Übersicht!$C$5</f>
        <v>40</v>
      </c>
      <c r="G8" s="244">
        <f>$C$8*Übersicht!$C$5</f>
        <v>40</v>
      </c>
      <c r="H8" s="244">
        <f>$C$8*Übersicht!$C$5</f>
        <v>40</v>
      </c>
      <c r="I8" s="244">
        <f t="shared" si="0"/>
        <v>40</v>
      </c>
      <c r="J8" s="244">
        <f t="shared" si="1"/>
        <v>40</v>
      </c>
    </row>
    <row r="9" spans="1:10" s="361" customFormat="1" x14ac:dyDescent="0.3">
      <c r="B9" s="394" t="s">
        <v>109</v>
      </c>
      <c r="C9" s="142">
        <v>10</v>
      </c>
      <c r="D9" s="244">
        <f>(Arbeitszeit!E12+Arbeitszeit!E16)*$C$9</f>
        <v>40</v>
      </c>
      <c r="E9" s="244">
        <f>(Arbeitszeit!F12+Arbeitszeit!F16)*$C$9</f>
        <v>40</v>
      </c>
      <c r="F9" s="244">
        <f>(Arbeitszeit!G12+Arbeitszeit!G16)*$C$9</f>
        <v>69.760000000000005</v>
      </c>
      <c r="G9" s="244">
        <f>(Arbeitszeit!H12+Arbeitszeit!H16)*$C$9</f>
        <v>129.28</v>
      </c>
      <c r="H9" s="244">
        <f>(Arbeitszeit!I12+Arbeitszeit!I16)*$C$9</f>
        <v>352.48</v>
      </c>
      <c r="I9" s="244">
        <f t="shared" si="0"/>
        <v>296.68</v>
      </c>
      <c r="J9" s="244">
        <f t="shared" si="1"/>
        <v>248.32000000000005</v>
      </c>
    </row>
    <row r="10" spans="1:10" s="361" customFormat="1" x14ac:dyDescent="0.3">
      <c r="B10" s="405" t="s">
        <v>110</v>
      </c>
      <c r="C10" s="142">
        <v>40</v>
      </c>
      <c r="D10" s="244">
        <f>(Arbeitszeit!E10+Arbeitszeit!E7+Arbeitszeit!E17)*$C$10</f>
        <v>448</v>
      </c>
      <c r="E10" s="244">
        <f>(Arbeitszeit!F10+Arbeitszeit!F7+Arbeitszeit!F17)*$C$10</f>
        <v>576</v>
      </c>
      <c r="F10" s="244">
        <f>(Arbeitszeit!G10+Arbeitszeit!G7+Arbeitszeit!G17)*$C$10</f>
        <v>192.00000000000003</v>
      </c>
      <c r="G10" s="244">
        <f>(Arbeitszeit!H10+Arbeitszeit!H7+Arbeitszeit!H17)*$C$10</f>
        <v>192.00000000000003</v>
      </c>
      <c r="H10" s="244">
        <f>(Arbeitszeit!I10+Arbeitszeit!I7+Arbeitszeit!I17)*$C$10</f>
        <v>672</v>
      </c>
      <c r="I10" s="244">
        <f t="shared" si="0"/>
        <v>552</v>
      </c>
      <c r="J10" s="244">
        <f>(E10*5+F10*5+G10*10+H10*30)/50</f>
        <v>518.4</v>
      </c>
    </row>
    <row r="11" spans="1:10" s="361" customFormat="1" x14ac:dyDescent="0.3">
      <c r="B11" s="394" t="s">
        <v>40</v>
      </c>
      <c r="C11" s="142">
        <v>20</v>
      </c>
      <c r="D11" s="244">
        <f>C11</f>
        <v>20</v>
      </c>
      <c r="E11" s="244">
        <v>0</v>
      </c>
      <c r="F11" s="244">
        <v>0</v>
      </c>
      <c r="G11" s="244">
        <f t="shared" ref="G11:H11" si="2">$C$11/10</f>
        <v>2</v>
      </c>
      <c r="H11" s="244">
        <f t="shared" si="2"/>
        <v>2</v>
      </c>
      <c r="I11" s="244">
        <f>(G11*10+H11*30)/40</f>
        <v>2</v>
      </c>
      <c r="J11" s="244">
        <f>(E11*5+F11*5+G11*10+H11*30)/50</f>
        <v>1.6</v>
      </c>
    </row>
    <row r="12" spans="1:10" s="361" customFormat="1" x14ac:dyDescent="0.3">
      <c r="B12" s="394" t="s">
        <v>137</v>
      </c>
      <c r="C12" s="150" t="s">
        <v>75</v>
      </c>
      <c r="D12" s="244">
        <v>0</v>
      </c>
      <c r="E12" s="244">
        <v>0</v>
      </c>
      <c r="F12" s="244">
        <v>0</v>
      </c>
      <c r="G12" s="244">
        <f>IF($C$12="ja",300*Übersicht!C4,0)</f>
        <v>0</v>
      </c>
      <c r="H12" s="244">
        <f>IF($C$12="ja",500*Übersicht!C4,0)</f>
        <v>0</v>
      </c>
      <c r="I12" s="244">
        <f>(G12*10+H12*30)/40</f>
        <v>0</v>
      </c>
      <c r="J12" s="244">
        <f>(E12*5+F12*5+G12*10+H12*30)/50</f>
        <v>0</v>
      </c>
    </row>
    <row r="13" spans="1:10" s="361" customFormat="1" x14ac:dyDescent="0.3">
      <c r="B13" s="394" t="s">
        <v>138</v>
      </c>
      <c r="C13" s="142">
        <v>150</v>
      </c>
      <c r="D13" s="244">
        <f>IF(Übersicht!$C$8="ja",$C$13,0)</f>
        <v>150</v>
      </c>
      <c r="E13" s="244">
        <f>IF(Übersicht!$C$8="ja",$C$13,0)</f>
        <v>150</v>
      </c>
      <c r="F13" s="244">
        <f>IF(Übersicht!$C$8="ja",$C$13,0)</f>
        <v>150</v>
      </c>
      <c r="G13" s="244">
        <f>IF(Übersicht!$C$8="ja",$C$13,0)</f>
        <v>150</v>
      </c>
      <c r="H13" s="244">
        <f>IF(Übersicht!$C$8="ja",$C$13,0)</f>
        <v>150</v>
      </c>
      <c r="I13" s="244">
        <f>(G13*10+H13*30)/40</f>
        <v>150</v>
      </c>
      <c r="J13" s="244">
        <f>(E13*5+F13*5+G13*10+H13*30)/50</f>
        <v>150</v>
      </c>
    </row>
    <row r="14" spans="1:10" s="361" customFormat="1" x14ac:dyDescent="0.3">
      <c r="B14" s="394" t="s">
        <v>23</v>
      </c>
      <c r="C14" s="142">
        <v>500</v>
      </c>
      <c r="D14" s="244">
        <f>C14</f>
        <v>500</v>
      </c>
      <c r="E14" s="244">
        <f>C14/10</f>
        <v>50</v>
      </c>
      <c r="F14" s="244">
        <f>C14/10</f>
        <v>50</v>
      </c>
      <c r="G14" s="244">
        <f>C14/10</f>
        <v>50</v>
      </c>
      <c r="H14" s="244">
        <f>C14/10</f>
        <v>50</v>
      </c>
      <c r="I14" s="244">
        <f>(G14*10+H14*30)/40</f>
        <v>50</v>
      </c>
      <c r="J14" s="244">
        <f>(E14*5+F14*5+G14*10+H14*30)/50</f>
        <v>50</v>
      </c>
    </row>
    <row r="15" spans="1:10" s="361" customFormat="1" x14ac:dyDescent="0.3">
      <c r="B15" s="406" t="s">
        <v>122</v>
      </c>
      <c r="C15" s="372"/>
      <c r="D15" s="243">
        <f>SUM(D5:D14)</f>
        <v>5838</v>
      </c>
      <c r="E15" s="243">
        <f t="shared" ref="E15:H15" si="3">SUM(E5:E14)</f>
        <v>896</v>
      </c>
      <c r="F15" s="243">
        <f t="shared" si="3"/>
        <v>541.76</v>
      </c>
      <c r="G15" s="243">
        <f t="shared" si="3"/>
        <v>603.28</v>
      </c>
      <c r="H15" s="243">
        <f t="shared" si="3"/>
        <v>1306.48</v>
      </c>
      <c r="I15" s="243">
        <f t="shared" ref="I15" si="4">SUM(I5:I14)</f>
        <v>1130.68</v>
      </c>
      <c r="J15" s="243">
        <f t="shared" ref="J15" si="5">SUM(J5:J14)</f>
        <v>1048.3200000000002</v>
      </c>
    </row>
    <row r="16" spans="1:10" s="361" customFormat="1" x14ac:dyDescent="0.3">
      <c r="B16" s="373"/>
      <c r="C16" s="373"/>
      <c r="D16" s="373"/>
      <c r="E16" s="373"/>
      <c r="F16" s="373"/>
      <c r="G16" s="373"/>
      <c r="H16" s="373"/>
      <c r="I16" s="373"/>
      <c r="J16" s="373"/>
    </row>
    <row r="17" spans="2:10" s="371" customFormat="1" x14ac:dyDescent="0.3">
      <c r="B17" s="374" t="s">
        <v>30</v>
      </c>
      <c r="C17" s="375"/>
      <c r="D17" s="373"/>
      <c r="E17" s="373"/>
      <c r="F17" s="373"/>
      <c r="G17" s="373"/>
      <c r="H17" s="373"/>
      <c r="I17" s="373"/>
      <c r="J17" s="373"/>
    </row>
    <row r="18" spans="2:10" s="361" customFormat="1" x14ac:dyDescent="0.3">
      <c r="B18" s="404" t="s">
        <v>124</v>
      </c>
      <c r="C18" s="367"/>
      <c r="D18" s="376"/>
      <c r="E18" s="366"/>
      <c r="F18" s="368"/>
      <c r="G18" s="366"/>
      <c r="H18" s="368"/>
      <c r="I18" s="366"/>
      <c r="J18" s="367"/>
    </row>
    <row r="19" spans="2:10" s="361" customFormat="1" x14ac:dyDescent="0.3">
      <c r="B19" s="394" t="s">
        <v>67</v>
      </c>
      <c r="C19" s="142">
        <v>0</v>
      </c>
      <c r="D19" s="244">
        <f>C19*Übersicht!C4</f>
        <v>0</v>
      </c>
      <c r="E19" s="244">
        <v>0</v>
      </c>
      <c r="F19" s="244">
        <v>0</v>
      </c>
      <c r="G19" s="244">
        <v>0</v>
      </c>
      <c r="H19" s="244">
        <v>0</v>
      </c>
      <c r="I19" s="244">
        <f>(G19*10+H19*30)/40</f>
        <v>0</v>
      </c>
      <c r="J19" s="244">
        <f>(E19*5+F19*5+G19*10+H19*30)/50</f>
        <v>0</v>
      </c>
    </row>
    <row r="20" spans="2:10" s="361" customFormat="1" x14ac:dyDescent="0.3">
      <c r="B20" s="405" t="s">
        <v>108</v>
      </c>
      <c r="C20" s="142">
        <v>50</v>
      </c>
      <c r="D20" s="244">
        <f>$C$20*(Arbeitszeit!$E$24+Arbeitszeit!$E$25+Arbeitszeit!$E$26)</f>
        <v>500</v>
      </c>
      <c r="E20" s="244">
        <f>$C$20*(Arbeitszeit!F$24+Arbeitszeit!F$25+Arbeitszeit!F$26)</f>
        <v>500</v>
      </c>
      <c r="F20" s="244">
        <f>$C$20*(Arbeitszeit!G$24+Arbeitszeit!G$25+Arbeitszeit!G$26)</f>
        <v>500</v>
      </c>
      <c r="G20" s="244">
        <f>$C$20*(Arbeitszeit!H$24+Arbeitszeit!H$25+Arbeitszeit!H$26)</f>
        <v>600</v>
      </c>
      <c r="H20" s="244">
        <f>$C$20*(Arbeitszeit!I$24+Arbeitszeit!I$25+Arbeitszeit!I$26)</f>
        <v>600</v>
      </c>
      <c r="I20" s="244">
        <f>(G20*10+H20*30)/40</f>
        <v>600</v>
      </c>
      <c r="J20" s="244">
        <f>(E20*5+F20*5+G20*10+H20*30)/50</f>
        <v>580</v>
      </c>
    </row>
    <row r="21" spans="2:10" s="361" customFormat="1" x14ac:dyDescent="0.3">
      <c r="B21" s="394" t="s">
        <v>23</v>
      </c>
      <c r="C21" s="387">
        <v>0</v>
      </c>
      <c r="D21" s="244">
        <f>C21</f>
        <v>0</v>
      </c>
      <c r="E21" s="244">
        <f>C21</f>
        <v>0</v>
      </c>
      <c r="F21" s="244">
        <f>C21</f>
        <v>0</v>
      </c>
      <c r="G21" s="244">
        <f>C21</f>
        <v>0</v>
      </c>
      <c r="H21" s="244">
        <f>C21</f>
        <v>0</v>
      </c>
      <c r="I21" s="244">
        <f>(G21*10+H21*30)/40</f>
        <v>0</v>
      </c>
      <c r="J21" s="244">
        <f>(E21*5+F21*5+G21*10+H21*30)/50</f>
        <v>0</v>
      </c>
    </row>
    <row r="22" spans="2:10" s="361" customFormat="1" x14ac:dyDescent="0.3">
      <c r="B22" s="407" t="s">
        <v>123</v>
      </c>
      <c r="C22" s="372"/>
      <c r="D22" s="243">
        <f>SUM(D19:D20)</f>
        <v>500</v>
      </c>
      <c r="E22" s="243">
        <f>SUM(E19:E20)</f>
        <v>500</v>
      </c>
      <c r="F22" s="243">
        <f>SUM(F19:F20)</f>
        <v>500</v>
      </c>
      <c r="G22" s="243">
        <f>SUM(G19:G20)</f>
        <v>600</v>
      </c>
      <c r="H22" s="243">
        <f>SUM(H19:H20)</f>
        <v>600</v>
      </c>
      <c r="I22" s="243">
        <f>(G22*10+H22*30)/40</f>
        <v>600</v>
      </c>
      <c r="J22" s="243">
        <f>(E22*5+F22*5+G22*10+H22*30)/50</f>
        <v>580</v>
      </c>
    </row>
    <row r="23" spans="2:10" s="361" customFormat="1" x14ac:dyDescent="0.3">
      <c r="B23" s="373"/>
      <c r="C23" s="373"/>
      <c r="D23" s="373"/>
      <c r="E23" s="373"/>
      <c r="F23" s="373"/>
      <c r="G23" s="373"/>
      <c r="H23" s="373"/>
      <c r="I23" s="373"/>
      <c r="J23" s="373"/>
    </row>
    <row r="24" spans="2:10" s="371" customFormat="1" x14ac:dyDescent="0.3">
      <c r="B24" s="401" t="s">
        <v>229</v>
      </c>
      <c r="C24" s="414" t="s">
        <v>241</v>
      </c>
      <c r="D24" s="373"/>
      <c r="E24" s="416"/>
      <c r="F24" s="373"/>
      <c r="G24" s="373"/>
      <c r="H24" s="373"/>
      <c r="I24" s="373"/>
      <c r="J24" s="373"/>
    </row>
    <row r="25" spans="2:10" s="361" customFormat="1" x14ac:dyDescent="0.3">
      <c r="B25" s="447" t="s">
        <v>237</v>
      </c>
      <c r="C25" s="419"/>
      <c r="D25" s="417"/>
      <c r="E25" s="417"/>
      <c r="F25" s="417"/>
      <c r="G25" s="417"/>
      <c r="H25" s="417"/>
      <c r="I25" s="421">
        <f>(G25*10+H25*30)/40</f>
        <v>0</v>
      </c>
      <c r="J25" s="422">
        <f>(E25*5+F25*5+G25*10+H25*30)/50</f>
        <v>0</v>
      </c>
    </row>
    <row r="26" spans="2:10" s="361" customFormat="1" x14ac:dyDescent="0.3">
      <c r="B26" s="448" t="s">
        <v>238</v>
      </c>
      <c r="C26" s="419"/>
      <c r="D26" s="415"/>
      <c r="E26" s="415"/>
      <c r="F26" s="415"/>
      <c r="G26" s="415"/>
      <c r="H26" s="415"/>
      <c r="I26" s="423">
        <f>(G26*10+H26*30)/40</f>
        <v>0</v>
      </c>
      <c r="J26" s="219">
        <f>(E26*5+F26*5+G26*10+H26*30)/50</f>
        <v>0</v>
      </c>
    </row>
    <row r="27" spans="2:10" s="361" customFormat="1" x14ac:dyDescent="0.3">
      <c r="B27" s="447" t="s">
        <v>239</v>
      </c>
      <c r="C27" s="420"/>
      <c r="D27" s="415"/>
      <c r="E27" s="415"/>
      <c r="F27" s="415"/>
      <c r="G27" s="415"/>
      <c r="H27" s="415"/>
      <c r="I27" s="423">
        <f>(G27*10+H27*30)/40</f>
        <v>0</v>
      </c>
      <c r="J27" s="219">
        <f>(E27*5+F27*5+G27*10+H27*30)/50</f>
        <v>0</v>
      </c>
    </row>
    <row r="28" spans="2:10" s="361" customFormat="1" x14ac:dyDescent="0.3">
      <c r="B28" s="447" t="s">
        <v>240</v>
      </c>
      <c r="C28" s="420"/>
      <c r="D28" s="415"/>
      <c r="E28" s="415"/>
      <c r="F28" s="415"/>
      <c r="G28" s="415"/>
      <c r="H28" s="415"/>
      <c r="I28" s="423">
        <f t="shared" ref="I28:I29" si="6">(G28*10+H28*30)/40</f>
        <v>0</v>
      </c>
      <c r="J28" s="219">
        <f t="shared" ref="J28" si="7">(E28*5+F28*5+G28*10+H28*30)/50</f>
        <v>0</v>
      </c>
    </row>
    <row r="29" spans="2:10" s="361" customFormat="1" x14ac:dyDescent="0.3">
      <c r="B29" s="447" t="s">
        <v>23</v>
      </c>
      <c r="C29" s="420"/>
      <c r="D29" s="418"/>
      <c r="E29" s="418"/>
      <c r="F29" s="418"/>
      <c r="G29" s="418"/>
      <c r="H29" s="418"/>
      <c r="I29" s="423">
        <f t="shared" si="6"/>
        <v>0</v>
      </c>
      <c r="J29" s="219">
        <f>(E29*5+F29*5+G29*10+H29*30)/50</f>
        <v>0</v>
      </c>
    </row>
    <row r="30" spans="2:10" s="361" customFormat="1" x14ac:dyDescent="0.3">
      <c r="B30" s="407" t="s">
        <v>123</v>
      </c>
      <c r="C30" s="372"/>
      <c r="D30" s="243">
        <f>SUM(D25:D29)</f>
        <v>0</v>
      </c>
      <c r="E30" s="243">
        <f t="shared" ref="E30:H30" si="8">SUM(E25:E29)</f>
        <v>0</v>
      </c>
      <c r="F30" s="243">
        <f t="shared" si="8"/>
        <v>0</v>
      </c>
      <c r="G30" s="243">
        <f t="shared" si="8"/>
        <v>0</v>
      </c>
      <c r="H30" s="243">
        <f t="shared" si="8"/>
        <v>0</v>
      </c>
      <c r="I30" s="243">
        <f>(G30*10+H30*30)/40</f>
        <v>0</v>
      </c>
      <c r="J30" s="243">
        <f>(E30*5+F30*5+G30*10+H30*30)/50</f>
        <v>0</v>
      </c>
    </row>
    <row r="31" spans="2:10" s="373" customFormat="1" x14ac:dyDescent="0.3"/>
    <row r="32" spans="2:10" s="361" customFormat="1" x14ac:dyDescent="0.3">
      <c r="B32" s="378" t="s">
        <v>227</v>
      </c>
      <c r="C32" s="377"/>
      <c r="D32" s="378">
        <f t="shared" ref="D32:H32" si="9">D15+D22+D30</f>
        <v>6338</v>
      </c>
      <c r="E32" s="378">
        <f t="shared" si="9"/>
        <v>1396</v>
      </c>
      <c r="F32" s="378">
        <f t="shared" si="9"/>
        <v>1041.76</v>
      </c>
      <c r="G32" s="378">
        <f t="shared" si="9"/>
        <v>1203.28</v>
      </c>
      <c r="H32" s="378">
        <f t="shared" si="9"/>
        <v>1906.48</v>
      </c>
      <c r="I32" s="378">
        <f>I15+I22+I30</f>
        <v>1730.68</v>
      </c>
      <c r="J32" s="378">
        <f>J15+J22+J30</f>
        <v>1628.3200000000002</v>
      </c>
    </row>
    <row r="33" spans="2:9" s="379" customFormat="1" x14ac:dyDescent="0.3">
      <c r="B33" s="380"/>
      <c r="C33" s="380"/>
      <c r="D33" s="380"/>
      <c r="E33" s="380"/>
      <c r="F33" s="380"/>
      <c r="G33" s="380"/>
      <c r="H33" s="380"/>
      <c r="I33" s="380"/>
    </row>
    <row r="34" spans="2:9" s="361" customFormat="1" x14ac:dyDescent="0.3">
      <c r="B34" s="401" t="s">
        <v>216</v>
      </c>
      <c r="C34" s="402"/>
      <c r="D34" s="402"/>
    </row>
    <row r="35" spans="2:9" s="361" customFormat="1" x14ac:dyDescent="0.3">
      <c r="B35" s="34" t="s">
        <v>213</v>
      </c>
      <c r="C35" s="400">
        <v>25</v>
      </c>
      <c r="D35" s="32" t="s">
        <v>214</v>
      </c>
      <c r="F35" s="3"/>
      <c r="G35" s="396"/>
      <c r="H35" s="7"/>
    </row>
    <row r="36" spans="2:9" s="361" customFormat="1" x14ac:dyDescent="0.3">
      <c r="B36" s="394" t="s">
        <v>242</v>
      </c>
      <c r="C36" s="409">
        <f>Übersicht!C15/C35</f>
        <v>0</v>
      </c>
      <c r="D36" s="395" t="s">
        <v>225</v>
      </c>
    </row>
    <row r="37" spans="2:9" s="361" customFormat="1" x14ac:dyDescent="0.3">
      <c r="B37" s="394" t="s">
        <v>224</v>
      </c>
      <c r="C37" s="121">
        <f>Übersicht!C15/40</f>
        <v>0</v>
      </c>
      <c r="D37" s="395" t="s">
        <v>45</v>
      </c>
    </row>
    <row r="38" spans="2:9" s="361" customFormat="1" x14ac:dyDescent="0.3">
      <c r="B38" s="382" t="s">
        <v>148</v>
      </c>
      <c r="C38" s="408">
        <f>Übersicht!C17/40</f>
        <v>263.27</v>
      </c>
      <c r="D38" s="383" t="s">
        <v>45</v>
      </c>
    </row>
    <row r="39" spans="2:9" s="361" customFormat="1" x14ac:dyDescent="0.3">
      <c r="B39" s="381" t="s">
        <v>221</v>
      </c>
      <c r="C39" s="403">
        <f>Übersicht!C14*Übersicht!C18/100</f>
        <v>0</v>
      </c>
      <c r="D39" s="395" t="s">
        <v>45</v>
      </c>
    </row>
    <row r="40" spans="2:9" s="361" customFormat="1" x14ac:dyDescent="0.3">
      <c r="B40" s="394" t="s">
        <v>223</v>
      </c>
      <c r="C40" s="121">
        <f>(Übersicht!C15/2)*Übersicht!C19/100</f>
        <v>0</v>
      </c>
      <c r="D40" s="395" t="s">
        <v>45</v>
      </c>
    </row>
    <row r="41" spans="2:9" x14ac:dyDescent="0.3">
      <c r="B41" s="382" t="s">
        <v>222</v>
      </c>
      <c r="C41" s="408">
        <f>(Übersicht!C17/2)*Übersicht!C19/100</f>
        <v>210.61599999999999</v>
      </c>
      <c r="D41" s="383" t="s">
        <v>45</v>
      </c>
    </row>
    <row r="43" spans="2:9" x14ac:dyDescent="0.3">
      <c r="B43" s="342" t="s">
        <v>73</v>
      </c>
    </row>
    <row r="44" spans="2:9" x14ac:dyDescent="0.3">
      <c r="B44" s="345"/>
      <c r="C44" s="346"/>
      <c r="D44" s="347"/>
      <c r="E44" s="346"/>
      <c r="F44" s="347"/>
      <c r="G44" s="346"/>
      <c r="H44" s="347"/>
      <c r="I44" s="348" t="s">
        <v>33</v>
      </c>
    </row>
    <row r="45" spans="2:9" s="343" customFormat="1" x14ac:dyDescent="0.3">
      <c r="B45" s="349" t="s">
        <v>70</v>
      </c>
      <c r="C45" s="350"/>
      <c r="D45" s="351">
        <f>Übersicht!$H4/Übersicht!$C$5</f>
        <v>2.5000000000000001E-2</v>
      </c>
      <c r="E45" s="352">
        <f>Übersicht!$H5/Übersicht!$C$5</f>
        <v>3.7499999999999999E-2</v>
      </c>
      <c r="F45" s="351">
        <f>Übersicht!$H6/Übersicht!$C$5</f>
        <v>6.25E-2</v>
      </c>
      <c r="G45" s="352">
        <f>Übersicht!$H7/Übersicht!$C$5</f>
        <v>0.125</v>
      </c>
      <c r="H45" s="351">
        <f>Übersicht!$H8/Übersicht!$C$5</f>
        <v>0.75</v>
      </c>
      <c r="I45" s="353">
        <f>SUM(D45:H45)</f>
        <v>1</v>
      </c>
    </row>
    <row r="46" spans="2:9" x14ac:dyDescent="0.3">
      <c r="B46" s="354" t="s">
        <v>72</v>
      </c>
      <c r="C46" s="355"/>
      <c r="D46" s="356">
        <f>D32*D45</f>
        <v>158.45000000000002</v>
      </c>
      <c r="E46" s="355">
        <f>E32*E45</f>
        <v>52.35</v>
      </c>
      <c r="F46" s="356">
        <f>F32*F45</f>
        <v>65.11</v>
      </c>
      <c r="G46" s="355">
        <f>G32*G45</f>
        <v>150.41</v>
      </c>
      <c r="H46" s="356">
        <f>H32*H45</f>
        <v>1429.8600000000001</v>
      </c>
      <c r="I46" s="357">
        <f>SUM(D46:H46)</f>
        <v>1856.1800000000003</v>
      </c>
    </row>
    <row r="50" spans="2:2" x14ac:dyDescent="0.3">
      <c r="B50" s="344" t="str">
        <f>Übersicht!$B$51</f>
        <v>Erstellt: Clarissa Schmelzle, LfL - Agrarökologie und Biologischer Landbau IAB 4a, Version 4, Stand: 20.02.2026</v>
      </c>
    </row>
  </sheetData>
  <sheetProtection algorithmName="SHA-512" hashValue="KEzk3L8YIhHmalvJbpBa121bWUFnoY1FVjugqkUPqyo9brrJUP4iqSQsIaKkqXDAPTwUE31wVINhCrO1pNbTdQ==" saltValue="K3Nc+KGh1bAgk5QA46e+xw==" spinCount="100000" sheet="1" objects="1" scenarios="1"/>
  <dataValidations count="1">
    <dataValidation type="list" allowBlank="1" showInputMessage="1" showErrorMessage="1" sqref="C12" xr:uid="{81FCB72A-105A-41EC-814F-29A9A1CA9DFD}">
      <formula1>"ja,nein"</formula1>
    </dataValidation>
  </dataValidation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6709-BC2C-47B7-A90A-8042A3E9C0D8}">
  <sheetPr codeName="Tabelle5">
    <tabColor theme="8" tint="-0.249977111117893"/>
  </sheetPr>
  <dimension ref="A1:L35"/>
  <sheetViews>
    <sheetView showGridLines="0" zoomScaleNormal="100" workbookViewId="0"/>
  </sheetViews>
  <sheetFormatPr baseColWidth="10" defaultRowHeight="14.4" x14ac:dyDescent="0.3"/>
  <cols>
    <col min="1" max="1" width="2.21875" style="26" customWidth="1"/>
    <col min="2" max="2" width="5.33203125" customWidth="1"/>
    <col min="3" max="3" width="42.6640625" customWidth="1"/>
    <col min="4" max="4" width="9.5546875" customWidth="1"/>
    <col min="5" max="5" width="10.77734375" customWidth="1"/>
    <col min="6" max="6" width="9.6640625" customWidth="1"/>
    <col min="7" max="7" width="8" customWidth="1"/>
    <col min="8" max="9" width="14.88671875" customWidth="1"/>
    <col min="10" max="10" width="14.21875" customWidth="1"/>
    <col min="11" max="11" width="8.77734375" style="26" customWidth="1"/>
    <col min="12" max="12" width="20.109375" customWidth="1"/>
  </cols>
  <sheetData>
    <row r="1" spans="2:12" s="26" customFormat="1" ht="18" x14ac:dyDescent="0.35">
      <c r="B1" s="284" t="s">
        <v>34</v>
      </c>
      <c r="C1" s="285"/>
      <c r="D1" s="15" t="s">
        <v>114</v>
      </c>
    </row>
    <row r="2" spans="2:12" s="26" customFormat="1" ht="13.8" customHeight="1" x14ac:dyDescent="0.3">
      <c r="B2" s="384"/>
      <c r="D2" s="15"/>
      <c r="J2" s="7"/>
    </row>
    <row r="3" spans="2:12" s="26" customFormat="1" ht="13.8" customHeight="1" x14ac:dyDescent="0.3">
      <c r="B3" s="385" t="s">
        <v>209</v>
      </c>
      <c r="D3" s="15"/>
      <c r="J3" s="7"/>
    </row>
    <row r="4" spans="2:12" s="26" customFormat="1" ht="13.8" customHeight="1" x14ac:dyDescent="0.3">
      <c r="B4" s="385" t="s">
        <v>205</v>
      </c>
      <c r="D4" s="15"/>
      <c r="J4" s="7"/>
    </row>
    <row r="5" spans="2:12" s="449" customFormat="1" ht="13.8" customHeight="1" x14ac:dyDescent="0.3">
      <c r="B5" s="480" t="s">
        <v>269</v>
      </c>
      <c r="C5" s="480"/>
      <c r="D5" s="480" t="s">
        <v>261</v>
      </c>
      <c r="E5" s="480"/>
      <c r="F5" s="480"/>
      <c r="H5" s="481" t="s">
        <v>270</v>
      </c>
      <c r="I5" s="481"/>
      <c r="J5" s="450"/>
    </row>
    <row r="6" spans="2:12" s="26" customFormat="1" ht="13.8" customHeight="1" x14ac:dyDescent="0.3">
      <c r="D6" s="15"/>
      <c r="J6" s="7"/>
    </row>
    <row r="7" spans="2:12" ht="45.6" customHeight="1" x14ac:dyDescent="0.3">
      <c r="B7" s="107"/>
      <c r="C7" s="112"/>
      <c r="D7" s="77" t="s">
        <v>4</v>
      </c>
      <c r="E7" s="113" t="s">
        <v>264</v>
      </c>
      <c r="F7" s="77" t="s">
        <v>199</v>
      </c>
      <c r="G7" s="225" t="s">
        <v>88</v>
      </c>
      <c r="H7" s="226" t="s">
        <v>139</v>
      </c>
      <c r="I7" s="130" t="s">
        <v>263</v>
      </c>
      <c r="J7" s="77" t="s">
        <v>262</v>
      </c>
      <c r="L7" s="229" t="s">
        <v>73</v>
      </c>
    </row>
    <row r="8" spans="2:12" x14ac:dyDescent="0.3">
      <c r="B8" s="114" t="s">
        <v>92</v>
      </c>
      <c r="C8" s="115"/>
      <c r="D8" s="116"/>
      <c r="E8" s="117"/>
      <c r="F8" s="118"/>
      <c r="G8" s="227"/>
      <c r="H8" s="228"/>
      <c r="I8" s="222"/>
      <c r="J8" s="222"/>
      <c r="L8" s="230"/>
    </row>
    <row r="9" spans="2:12" x14ac:dyDescent="0.3">
      <c r="B9" s="108"/>
      <c r="C9" s="7" t="s">
        <v>62</v>
      </c>
      <c r="D9" s="32"/>
      <c r="E9" s="247"/>
      <c r="F9" s="248">
        <v>157</v>
      </c>
      <c r="G9" s="249">
        <v>1</v>
      </c>
      <c r="H9" s="250"/>
      <c r="I9" s="219"/>
      <c r="J9" s="219">
        <f>IF(Rechentabelle!A3, F9*Übersicht!$C$4, 0)</f>
        <v>0</v>
      </c>
      <c r="K9" s="5"/>
      <c r="L9" s="233">
        <f>J9</f>
        <v>0</v>
      </c>
    </row>
    <row r="10" spans="2:12" x14ac:dyDescent="0.3">
      <c r="B10" s="108"/>
      <c r="C10" s="7" t="s">
        <v>63</v>
      </c>
      <c r="D10" s="32"/>
      <c r="E10" s="247"/>
      <c r="F10" s="248">
        <v>69</v>
      </c>
      <c r="G10" s="249">
        <v>1</v>
      </c>
      <c r="H10" s="250"/>
      <c r="I10" s="219"/>
      <c r="J10" s="219">
        <f>IF(Rechentabelle!A4, F10*Übersicht!$C$4, 0)</f>
        <v>0</v>
      </c>
      <c r="K10" s="5"/>
      <c r="L10" s="233">
        <f>J10</f>
        <v>0</v>
      </c>
    </row>
    <row r="11" spans="2:12" x14ac:dyDescent="0.3">
      <c r="B11" s="122"/>
      <c r="C11" s="110" t="s">
        <v>64</v>
      </c>
      <c r="D11" s="35"/>
      <c r="E11" s="251"/>
      <c r="F11" s="252">
        <v>0</v>
      </c>
      <c r="G11" s="253">
        <v>1</v>
      </c>
      <c r="H11" s="238"/>
      <c r="I11" s="220"/>
      <c r="J11" s="220">
        <f>IF(Rechentabelle!A5, F11*Übersicht!$C$4, 0)</f>
        <v>0</v>
      </c>
      <c r="K11" s="5"/>
      <c r="L11" s="234">
        <f>J11</f>
        <v>0</v>
      </c>
    </row>
    <row r="12" spans="2:12" s="18" customFormat="1" x14ac:dyDescent="0.3">
      <c r="B12" s="123" t="s">
        <v>94</v>
      </c>
      <c r="C12" s="129"/>
      <c r="D12" s="126" t="s">
        <v>4</v>
      </c>
      <c r="E12" s="264"/>
      <c r="F12" s="259"/>
      <c r="G12" s="260"/>
      <c r="H12" s="261"/>
      <c r="I12" s="223"/>
      <c r="J12" s="223"/>
      <c r="K12" s="265"/>
      <c r="L12" s="235"/>
    </row>
    <row r="13" spans="2:12" x14ac:dyDescent="0.3">
      <c r="B13" s="108"/>
      <c r="C13" s="3" t="s">
        <v>65</v>
      </c>
      <c r="D13" s="135">
        <v>0</v>
      </c>
      <c r="E13" s="245"/>
      <c r="F13" s="266">
        <v>5271</v>
      </c>
      <c r="G13" s="267">
        <v>5</v>
      </c>
      <c r="H13" s="250">
        <f>F13/G13</f>
        <v>1054.2</v>
      </c>
      <c r="I13" s="219">
        <f>IF(Rechentabelle!A15,F13*D13,0)</f>
        <v>0</v>
      </c>
      <c r="J13" s="219"/>
      <c r="K13" s="5"/>
      <c r="L13" s="233">
        <f>I13</f>
        <v>0</v>
      </c>
    </row>
    <row r="14" spans="2:12" x14ac:dyDescent="0.3">
      <c r="B14" s="108"/>
      <c r="C14" s="3" t="s">
        <v>58</v>
      </c>
      <c r="D14" s="34"/>
      <c r="E14" s="245">
        <v>12</v>
      </c>
      <c r="F14" s="246"/>
      <c r="G14" s="249">
        <v>1</v>
      </c>
      <c r="H14" s="250">
        <v>12</v>
      </c>
      <c r="I14" s="219"/>
      <c r="J14" s="219">
        <f>IF(Rechentabelle!A19,E14*Übersicht!C5,0)</f>
        <v>0</v>
      </c>
      <c r="K14" s="5"/>
      <c r="L14" s="233">
        <f>IF(Rechentabelle!A19,E14*Übersicht!C5,0)</f>
        <v>0</v>
      </c>
    </row>
    <row r="15" spans="2:12" x14ac:dyDescent="0.3">
      <c r="B15" s="108"/>
      <c r="C15" s="119" t="s">
        <v>61</v>
      </c>
      <c r="D15" s="105"/>
      <c r="E15" s="268"/>
      <c r="F15" s="141">
        <v>0</v>
      </c>
      <c r="G15" s="269">
        <v>1</v>
      </c>
      <c r="H15" s="270">
        <f>F15</f>
        <v>0</v>
      </c>
      <c r="I15" s="218"/>
      <c r="J15" s="218">
        <f>IF(Rechentabelle!A20,F15*Übersicht!$C$4,0)</f>
        <v>0</v>
      </c>
      <c r="K15" s="5"/>
      <c r="L15" s="236">
        <f>J15</f>
        <v>0</v>
      </c>
    </row>
    <row r="16" spans="2:12" s="26" customFormat="1" x14ac:dyDescent="0.3">
      <c r="B16" s="122"/>
      <c r="C16" s="104" t="s">
        <v>112</v>
      </c>
      <c r="D16" s="35"/>
      <c r="E16" s="262"/>
      <c r="F16" s="273">
        <v>284</v>
      </c>
      <c r="G16" s="253">
        <v>1</v>
      </c>
      <c r="H16" s="238">
        <v>284</v>
      </c>
      <c r="I16" s="220"/>
      <c r="J16" s="220">
        <f>IF(Rechentabelle!A23,F16*Übersicht!$C$4,0)</f>
        <v>0</v>
      </c>
      <c r="K16" s="5"/>
      <c r="L16" s="234">
        <f>IF(Rechentabelle!A23,F16*Übersicht!C4,0)</f>
        <v>0</v>
      </c>
    </row>
    <row r="17" spans="1:12" x14ac:dyDescent="0.3">
      <c r="B17" s="123" t="s">
        <v>93</v>
      </c>
      <c r="C17" s="127"/>
      <c r="D17" s="128"/>
      <c r="E17" s="258"/>
      <c r="F17" s="259"/>
      <c r="G17" s="260"/>
      <c r="H17" s="261"/>
      <c r="I17" s="223"/>
      <c r="J17" s="223"/>
      <c r="K17" s="5"/>
      <c r="L17" s="235"/>
    </row>
    <row r="18" spans="1:12" x14ac:dyDescent="0.3">
      <c r="B18" s="108"/>
      <c r="C18" s="3" t="s">
        <v>59</v>
      </c>
      <c r="D18" s="34"/>
      <c r="E18" s="245">
        <v>12</v>
      </c>
      <c r="F18" s="246"/>
      <c r="G18" s="249">
        <v>1</v>
      </c>
      <c r="H18" s="250">
        <v>12</v>
      </c>
      <c r="I18" s="219"/>
      <c r="J18" s="219">
        <f>IF(Rechentabelle!A13,E18*Übersicht!C5,0)</f>
        <v>0</v>
      </c>
      <c r="K18" s="5"/>
      <c r="L18" s="233">
        <f>J18</f>
        <v>0</v>
      </c>
    </row>
    <row r="19" spans="1:12" x14ac:dyDescent="0.3">
      <c r="B19" s="122"/>
      <c r="C19" s="104" t="s">
        <v>60</v>
      </c>
      <c r="D19" s="35"/>
      <c r="E19" s="262"/>
      <c r="F19" s="263">
        <v>0</v>
      </c>
      <c r="G19" s="253">
        <v>1</v>
      </c>
      <c r="H19" s="231">
        <f>F19</f>
        <v>0</v>
      </c>
      <c r="I19" s="220"/>
      <c r="J19" s="220">
        <f>IF(Rechentabelle!A14,F19*Übersicht!$C$4,0)</f>
        <v>0</v>
      </c>
      <c r="K19" s="5"/>
      <c r="L19" s="234">
        <f>J19</f>
        <v>0</v>
      </c>
    </row>
    <row r="20" spans="1:12" x14ac:dyDescent="0.3">
      <c r="B20" s="123" t="s">
        <v>244</v>
      </c>
      <c r="C20" s="124"/>
      <c r="D20" s="125"/>
      <c r="E20" s="271"/>
      <c r="F20" s="255"/>
      <c r="G20" s="256"/>
      <c r="H20" s="232"/>
      <c r="I20" s="224"/>
      <c r="J20" s="224"/>
      <c r="K20" s="5"/>
      <c r="L20" s="237"/>
    </row>
    <row r="21" spans="1:12" x14ac:dyDescent="0.3">
      <c r="B21" s="108"/>
      <c r="C21" s="3" t="s">
        <v>35</v>
      </c>
      <c r="D21" s="34"/>
      <c r="E21" s="466">
        <v>45</v>
      </c>
      <c r="F21" s="272"/>
      <c r="G21" s="267"/>
      <c r="H21" s="250"/>
      <c r="I21" s="219">
        <f>IF(Rechentabelle!A21,E21*Übersicht!C5,0)</f>
        <v>0</v>
      </c>
      <c r="J21" s="219"/>
      <c r="K21" s="5"/>
      <c r="L21" s="233">
        <f>IF(Rechentabelle!A21,E21*Übersicht!H4,0)</f>
        <v>0</v>
      </c>
    </row>
    <row r="22" spans="1:12" s="26" customFormat="1" x14ac:dyDescent="0.3">
      <c r="B22" s="108"/>
      <c r="C22" s="109" t="s">
        <v>243</v>
      </c>
      <c r="D22" s="34"/>
      <c r="E22" s="245"/>
      <c r="F22" s="141">
        <v>0</v>
      </c>
      <c r="G22" s="267"/>
      <c r="H22" s="250"/>
      <c r="I22" s="451">
        <f>IF(Rechentabelle!A24,F22*Übersicht!$C$4,0)</f>
        <v>0</v>
      </c>
      <c r="J22" s="453"/>
      <c r="K22" s="5"/>
      <c r="L22" s="233">
        <f>I22/50</f>
        <v>0</v>
      </c>
    </row>
    <row r="23" spans="1:12" x14ac:dyDescent="0.3">
      <c r="B23" s="122"/>
      <c r="C23" s="104" t="s">
        <v>247</v>
      </c>
      <c r="D23" s="35"/>
      <c r="E23" s="262"/>
      <c r="F23" s="263">
        <v>0</v>
      </c>
      <c r="G23" s="274"/>
      <c r="H23" s="238"/>
      <c r="I23" s="221"/>
      <c r="J23" s="220">
        <f>IF(Rechentabelle!A22,F23*Übersicht!$C$4/50,0)</f>
        <v>0</v>
      </c>
      <c r="K23" s="5"/>
      <c r="L23" s="234">
        <f>J23</f>
        <v>0</v>
      </c>
    </row>
    <row r="24" spans="1:12" s="26" customFormat="1" x14ac:dyDescent="0.3">
      <c r="B24" s="123" t="s">
        <v>229</v>
      </c>
      <c r="C24" s="124"/>
      <c r="D24" s="125"/>
      <c r="E24" s="271"/>
      <c r="F24" s="255"/>
      <c r="G24" s="256"/>
      <c r="H24" s="232"/>
      <c r="I24" s="224"/>
      <c r="J24" s="224"/>
      <c r="K24" s="5"/>
      <c r="L24" s="237"/>
    </row>
    <row r="25" spans="1:12" s="26" customFormat="1" x14ac:dyDescent="0.3">
      <c r="B25" s="108"/>
      <c r="C25" s="3" t="s">
        <v>245</v>
      </c>
      <c r="D25" s="34"/>
      <c r="E25" s="245"/>
      <c r="F25" s="452">
        <v>0</v>
      </c>
      <c r="G25" s="267"/>
      <c r="H25" s="250"/>
      <c r="I25" s="219"/>
      <c r="J25" s="453">
        <f>IF(Rechentabelle!A25,F25*Übersicht!$C$4/50,0)</f>
        <v>0</v>
      </c>
      <c r="K25" s="5"/>
      <c r="L25" s="233">
        <f>J25</f>
        <v>0</v>
      </c>
    </row>
    <row r="26" spans="1:12" s="26" customFormat="1" x14ac:dyDescent="0.3">
      <c r="B26" s="108"/>
      <c r="C26" s="109" t="s">
        <v>246</v>
      </c>
      <c r="D26" s="34"/>
      <c r="E26" s="245"/>
      <c r="F26" s="452">
        <v>0</v>
      </c>
      <c r="G26" s="267"/>
      <c r="H26" s="250"/>
      <c r="I26" s="451"/>
      <c r="J26" s="453">
        <f>IF(Rechentabelle!A27,F26*Übersicht!$C$4/50,0)</f>
        <v>0</v>
      </c>
      <c r="K26" s="5"/>
      <c r="L26" s="233">
        <f>J26</f>
        <v>0</v>
      </c>
    </row>
    <row r="27" spans="1:12" x14ac:dyDescent="0.3">
      <c r="B27" s="123" t="s">
        <v>260</v>
      </c>
      <c r="C27" s="124"/>
      <c r="D27" s="126"/>
      <c r="E27" s="254"/>
      <c r="F27" s="255"/>
      <c r="G27" s="256"/>
      <c r="H27" s="232"/>
      <c r="I27" s="224"/>
      <c r="J27" s="224"/>
      <c r="K27" s="5"/>
      <c r="L27" s="237"/>
    </row>
    <row r="28" spans="1:12" x14ac:dyDescent="0.3">
      <c r="B28" s="108"/>
      <c r="C28" s="109" t="s">
        <v>265</v>
      </c>
      <c r="D28" s="111"/>
      <c r="E28" s="465">
        <v>0</v>
      </c>
      <c r="F28" s="244"/>
      <c r="G28" s="249"/>
      <c r="H28" s="250"/>
      <c r="I28" s="217">
        <f>IF(Rechentabelle!A6,E28*Übersicht!C5,0)</f>
        <v>0</v>
      </c>
      <c r="J28" s="217"/>
      <c r="K28" s="5"/>
      <c r="L28" s="233">
        <f>IF(Rechentabelle!A6,E28*Übersicht!$H$4,0)</f>
        <v>0</v>
      </c>
    </row>
    <row r="29" spans="1:12" x14ac:dyDescent="0.3">
      <c r="B29" s="108"/>
      <c r="C29" s="109" t="s">
        <v>266</v>
      </c>
      <c r="D29" s="111"/>
      <c r="E29" s="465">
        <v>0</v>
      </c>
      <c r="F29" s="266"/>
      <c r="G29" s="249"/>
      <c r="H29" s="250"/>
      <c r="I29" s="217"/>
      <c r="J29" s="217">
        <f>IF(Rechentabelle!A7,E29*Übersicht!C5,0)</f>
        <v>0</v>
      </c>
      <c r="K29" s="5"/>
      <c r="L29" s="233">
        <f>IF(Rechentabelle!A7,E29*Übersicht!$H$4,0)</f>
        <v>0</v>
      </c>
    </row>
    <row r="30" spans="1:12" x14ac:dyDescent="0.3">
      <c r="B30" s="108"/>
      <c r="C30" s="109" t="s">
        <v>267</v>
      </c>
      <c r="D30" s="111"/>
      <c r="E30" s="257"/>
      <c r="F30" s="400">
        <v>20000</v>
      </c>
      <c r="G30" s="249"/>
      <c r="H30" s="250"/>
      <c r="I30" s="217"/>
      <c r="J30" s="217">
        <f>IF(Rechentabelle!A8,F30*Übersicht!C4/50,0)</f>
        <v>400</v>
      </c>
      <c r="K30" s="5"/>
      <c r="L30" s="233">
        <f>J30</f>
        <v>400</v>
      </c>
    </row>
    <row r="31" spans="1:12" x14ac:dyDescent="0.3">
      <c r="B31" s="464" t="s">
        <v>111</v>
      </c>
      <c r="C31" s="458"/>
      <c r="D31" s="459"/>
      <c r="E31" s="458"/>
      <c r="F31" s="459"/>
      <c r="G31" s="460"/>
      <c r="H31" s="461"/>
      <c r="I31" s="462">
        <f>SUM(I9:I30)</f>
        <v>0</v>
      </c>
      <c r="J31" s="462">
        <f>SUM(J9:J30)</f>
        <v>400</v>
      </c>
      <c r="L31" s="463">
        <f>SUM(L9:L30)</f>
        <v>400</v>
      </c>
    </row>
    <row r="32" spans="1:12" x14ac:dyDescent="0.3">
      <c r="A32"/>
      <c r="K32"/>
    </row>
    <row r="33" spans="2:3" x14ac:dyDescent="0.3">
      <c r="B33" s="216" t="s">
        <v>268</v>
      </c>
      <c r="C33" s="216"/>
    </row>
    <row r="35" spans="2:3" x14ac:dyDescent="0.3">
      <c r="B35" s="17" t="str">
        <f>Übersicht!$B$51</f>
        <v>Erstellt: Clarissa Schmelzle, LfL - Agrarökologie und Biologischer Landbau IAB 4a, Version 4, Stand: 20.02.2026</v>
      </c>
    </row>
  </sheetData>
  <sheetProtection algorithmName="SHA-512" hashValue="dl1zZEZkCkLJuIrqu0d69RUOAr0PF835i4PrgfO+NCwIXmhoGpwhwxeKhmQo/48xxlHuX4RyqbEgTCM/DxKHKQ==" saltValue="/9Z9PmVgqK/7RhUAvzNRsQ==" spinCount="100000" sheet="1" objects="1" scenarios="1"/>
  <mergeCells count="3">
    <mergeCell ref="D5:F5"/>
    <mergeCell ref="B5:C5"/>
    <mergeCell ref="H5:I5"/>
  </mergeCells>
  <hyperlinks>
    <hyperlink ref="B5" r:id="rId1" display="Förderwegweiser StMELF: https://www.stmelf.bayern.de/foerderung/foerderung-von-agrarumweltmassnahmen-in-bayern/index.html_x000a__x000a_Förderübersicht LfL:_x000a_https://www.lfl.bayern.de/iab/kulturlandschaft/030830/index.php" xr:uid="{E1091BF3-FE61-46B7-B269-499C25EE0152}"/>
    <hyperlink ref="D5" r:id="rId2" display="Förderübersicht LfL:_x000a_https://www.lfl.bayern.de/iab/kulturlandschaft/030830/index.php" xr:uid="{54DC21B9-734E-4B74-9FF0-C11A01A1C364}"/>
    <hyperlink ref="H5:I5" r:id="rId3" display="Förderübersicht Streuobstpakt" xr:uid="{D464C394-34DD-42D4-A92F-8E82461B9DE7}"/>
  </hyperlinks>
  <pageMargins left="0.7" right="0.7" top="0.78740157499999996" bottom="0.78740157499999996"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4" r:id="rId7" name="Check Box 6">
              <controlPr defaultSize="0" autoFill="0" autoLine="0" autoPict="0">
                <anchor moveWithCells="1">
                  <from>
                    <xdr:col>1</xdr:col>
                    <xdr:colOff>68580</xdr:colOff>
                    <xdr:row>8</xdr:row>
                    <xdr:rowOff>7620</xdr:rowOff>
                  </from>
                  <to>
                    <xdr:col>1</xdr:col>
                    <xdr:colOff>251460</xdr:colOff>
                    <xdr:row>8</xdr:row>
                    <xdr:rowOff>175260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68580</xdr:colOff>
                    <xdr:row>9</xdr:row>
                    <xdr:rowOff>7620</xdr:rowOff>
                  </from>
                  <to>
                    <xdr:col>1</xdr:col>
                    <xdr:colOff>251460</xdr:colOff>
                    <xdr:row>9</xdr:row>
                    <xdr:rowOff>175260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xdr:col>
                    <xdr:colOff>68580</xdr:colOff>
                    <xdr:row>27</xdr:row>
                    <xdr:rowOff>7620</xdr:rowOff>
                  </from>
                  <to>
                    <xdr:col>1</xdr:col>
                    <xdr:colOff>251460</xdr:colOff>
                    <xdr:row>27</xdr:row>
                    <xdr:rowOff>175260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xdr:col>
                    <xdr:colOff>68580</xdr:colOff>
                    <xdr:row>28</xdr:row>
                    <xdr:rowOff>7620</xdr:rowOff>
                  </from>
                  <to>
                    <xdr:col>1</xdr:col>
                    <xdr:colOff>251460</xdr:colOff>
                    <xdr:row>28</xdr:row>
                    <xdr:rowOff>175260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xdr:col>
                    <xdr:colOff>68580</xdr:colOff>
                    <xdr:row>29</xdr:row>
                    <xdr:rowOff>7620</xdr:rowOff>
                  </from>
                  <to>
                    <xdr:col>1</xdr:col>
                    <xdr:colOff>251460</xdr:colOff>
                    <xdr:row>29</xdr:row>
                    <xdr:rowOff>175260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1</xdr:col>
                    <xdr:colOff>68580</xdr:colOff>
                    <xdr:row>17</xdr:row>
                    <xdr:rowOff>7620</xdr:rowOff>
                  </from>
                  <to>
                    <xdr:col>1</xdr:col>
                    <xdr:colOff>251460</xdr:colOff>
                    <xdr:row>17</xdr:row>
                    <xdr:rowOff>175260</xdr:rowOff>
                  </to>
                </anchor>
              </controlPr>
            </control>
          </mc:Choice>
        </mc:AlternateContent>
        <mc:AlternateContent xmlns:mc="http://schemas.openxmlformats.org/markup-compatibility/2006">
          <mc:Choice Requires="x14">
            <control shapeId="2079" r:id="rId13" name="Check Box 31">
              <controlPr defaultSize="0" autoFill="0" autoLine="0" autoPict="0">
                <anchor moveWithCells="1">
                  <from>
                    <xdr:col>1</xdr:col>
                    <xdr:colOff>68580</xdr:colOff>
                    <xdr:row>18</xdr:row>
                    <xdr:rowOff>0</xdr:rowOff>
                  </from>
                  <to>
                    <xdr:col>1</xdr:col>
                    <xdr:colOff>251460</xdr:colOff>
                    <xdr:row>18</xdr:row>
                    <xdr:rowOff>167640</xdr:rowOff>
                  </to>
                </anchor>
              </controlPr>
            </control>
          </mc:Choice>
        </mc:AlternateContent>
        <mc:AlternateContent xmlns:mc="http://schemas.openxmlformats.org/markup-compatibility/2006">
          <mc:Choice Requires="x14">
            <control shapeId="2080" r:id="rId14" name="Check Box 32">
              <controlPr defaultSize="0" autoFill="0" autoLine="0" autoPict="0">
                <anchor moveWithCells="1">
                  <from>
                    <xdr:col>1</xdr:col>
                    <xdr:colOff>68580</xdr:colOff>
                    <xdr:row>12</xdr:row>
                    <xdr:rowOff>7620</xdr:rowOff>
                  </from>
                  <to>
                    <xdr:col>1</xdr:col>
                    <xdr:colOff>251460</xdr:colOff>
                    <xdr:row>12</xdr:row>
                    <xdr:rowOff>175260</xdr:rowOff>
                  </to>
                </anchor>
              </controlPr>
            </control>
          </mc:Choice>
        </mc:AlternateContent>
        <mc:AlternateContent xmlns:mc="http://schemas.openxmlformats.org/markup-compatibility/2006">
          <mc:Choice Requires="x14">
            <control shapeId="2084" r:id="rId15" name="Check Box 36">
              <controlPr defaultSize="0" autoFill="0" autoLine="0" autoPict="0">
                <anchor moveWithCells="1">
                  <from>
                    <xdr:col>1</xdr:col>
                    <xdr:colOff>68580</xdr:colOff>
                    <xdr:row>13</xdr:row>
                    <xdr:rowOff>7620</xdr:rowOff>
                  </from>
                  <to>
                    <xdr:col>1</xdr:col>
                    <xdr:colOff>251460</xdr:colOff>
                    <xdr:row>13</xdr:row>
                    <xdr:rowOff>175260</xdr:rowOff>
                  </to>
                </anchor>
              </controlPr>
            </control>
          </mc:Choice>
        </mc:AlternateContent>
        <mc:AlternateContent xmlns:mc="http://schemas.openxmlformats.org/markup-compatibility/2006">
          <mc:Choice Requires="x14">
            <control shapeId="2090" r:id="rId16" name="Check Box 42">
              <controlPr defaultSize="0" autoFill="0" autoLine="0" autoPict="0">
                <anchor moveWithCells="1">
                  <from>
                    <xdr:col>1</xdr:col>
                    <xdr:colOff>68580</xdr:colOff>
                    <xdr:row>14</xdr:row>
                    <xdr:rowOff>0</xdr:rowOff>
                  </from>
                  <to>
                    <xdr:col>1</xdr:col>
                    <xdr:colOff>251460</xdr:colOff>
                    <xdr:row>14</xdr:row>
                    <xdr:rowOff>167640</xdr:rowOff>
                  </to>
                </anchor>
              </controlPr>
            </control>
          </mc:Choice>
        </mc:AlternateContent>
        <mc:AlternateContent xmlns:mc="http://schemas.openxmlformats.org/markup-compatibility/2006">
          <mc:Choice Requires="x14">
            <control shapeId="2096" r:id="rId17" name="Check Box 48">
              <controlPr defaultSize="0" autoFill="0" autoLine="0" autoPict="0">
                <anchor moveWithCells="1">
                  <from>
                    <xdr:col>1</xdr:col>
                    <xdr:colOff>68580</xdr:colOff>
                    <xdr:row>20</xdr:row>
                    <xdr:rowOff>0</xdr:rowOff>
                  </from>
                  <to>
                    <xdr:col>1</xdr:col>
                    <xdr:colOff>251460</xdr:colOff>
                    <xdr:row>20</xdr:row>
                    <xdr:rowOff>167640</xdr:rowOff>
                  </to>
                </anchor>
              </controlPr>
            </control>
          </mc:Choice>
        </mc:AlternateContent>
        <mc:AlternateContent xmlns:mc="http://schemas.openxmlformats.org/markup-compatibility/2006">
          <mc:Choice Requires="x14">
            <control shapeId="2098" r:id="rId18" name="Check Box 50">
              <controlPr defaultSize="0" autoFill="0" autoLine="0" autoPict="0">
                <anchor moveWithCells="1">
                  <from>
                    <xdr:col>1</xdr:col>
                    <xdr:colOff>68580</xdr:colOff>
                    <xdr:row>9</xdr:row>
                    <xdr:rowOff>7620</xdr:rowOff>
                  </from>
                  <to>
                    <xdr:col>1</xdr:col>
                    <xdr:colOff>251460</xdr:colOff>
                    <xdr:row>9</xdr:row>
                    <xdr:rowOff>175260</xdr:rowOff>
                  </to>
                </anchor>
              </controlPr>
            </control>
          </mc:Choice>
        </mc:AlternateContent>
        <mc:AlternateContent xmlns:mc="http://schemas.openxmlformats.org/markup-compatibility/2006">
          <mc:Choice Requires="x14">
            <control shapeId="2099" r:id="rId19" name="Check Box 51">
              <controlPr defaultSize="0" autoFill="0" autoLine="0" autoPict="0">
                <anchor moveWithCells="1">
                  <from>
                    <xdr:col>1</xdr:col>
                    <xdr:colOff>68580</xdr:colOff>
                    <xdr:row>9</xdr:row>
                    <xdr:rowOff>7620</xdr:rowOff>
                  </from>
                  <to>
                    <xdr:col>1</xdr:col>
                    <xdr:colOff>251460</xdr:colOff>
                    <xdr:row>9</xdr:row>
                    <xdr:rowOff>175260</xdr:rowOff>
                  </to>
                </anchor>
              </controlPr>
            </control>
          </mc:Choice>
        </mc:AlternateContent>
        <mc:AlternateContent xmlns:mc="http://schemas.openxmlformats.org/markup-compatibility/2006">
          <mc:Choice Requires="x14">
            <control shapeId="2103" r:id="rId20" name="Check Box 55">
              <controlPr defaultSize="0" autoFill="0" autoLine="0" autoPict="0">
                <anchor moveWithCells="1">
                  <from>
                    <xdr:col>1</xdr:col>
                    <xdr:colOff>68580</xdr:colOff>
                    <xdr:row>10</xdr:row>
                    <xdr:rowOff>22860</xdr:rowOff>
                  </from>
                  <to>
                    <xdr:col>1</xdr:col>
                    <xdr:colOff>251460</xdr:colOff>
                    <xdr:row>11</xdr:row>
                    <xdr:rowOff>0</xdr:rowOff>
                  </to>
                </anchor>
              </controlPr>
            </control>
          </mc:Choice>
        </mc:AlternateContent>
        <mc:AlternateContent xmlns:mc="http://schemas.openxmlformats.org/markup-compatibility/2006">
          <mc:Choice Requires="x14">
            <control shapeId="2105" r:id="rId21" name="Check Box 57">
              <controlPr defaultSize="0" autoFill="0" autoLine="0" autoPict="0">
                <anchor moveWithCells="1">
                  <from>
                    <xdr:col>1</xdr:col>
                    <xdr:colOff>68580</xdr:colOff>
                    <xdr:row>22</xdr:row>
                    <xdr:rowOff>7620</xdr:rowOff>
                  </from>
                  <to>
                    <xdr:col>1</xdr:col>
                    <xdr:colOff>251460</xdr:colOff>
                    <xdr:row>22</xdr:row>
                    <xdr:rowOff>175260</xdr:rowOff>
                  </to>
                </anchor>
              </controlPr>
            </control>
          </mc:Choice>
        </mc:AlternateContent>
        <mc:AlternateContent xmlns:mc="http://schemas.openxmlformats.org/markup-compatibility/2006">
          <mc:Choice Requires="x14">
            <control shapeId="2107" r:id="rId22" name="Check Box 59">
              <controlPr defaultSize="0" autoFill="0" autoLine="0" autoPict="0">
                <anchor moveWithCells="1">
                  <from>
                    <xdr:col>1</xdr:col>
                    <xdr:colOff>68580</xdr:colOff>
                    <xdr:row>15</xdr:row>
                    <xdr:rowOff>7620</xdr:rowOff>
                  </from>
                  <to>
                    <xdr:col>1</xdr:col>
                    <xdr:colOff>251460</xdr:colOff>
                    <xdr:row>15</xdr:row>
                    <xdr:rowOff>175260</xdr:rowOff>
                  </to>
                </anchor>
              </controlPr>
            </control>
          </mc:Choice>
        </mc:AlternateContent>
        <mc:AlternateContent xmlns:mc="http://schemas.openxmlformats.org/markup-compatibility/2006">
          <mc:Choice Requires="x14">
            <control shapeId="2141" r:id="rId23" name="Check Box 93">
              <controlPr defaultSize="0" autoFill="0" autoLine="0" autoPict="0">
                <anchor moveWithCells="1">
                  <from>
                    <xdr:col>1</xdr:col>
                    <xdr:colOff>68580</xdr:colOff>
                    <xdr:row>21</xdr:row>
                    <xdr:rowOff>7620</xdr:rowOff>
                  </from>
                  <to>
                    <xdr:col>1</xdr:col>
                    <xdr:colOff>251460</xdr:colOff>
                    <xdr:row>21</xdr:row>
                    <xdr:rowOff>175260</xdr:rowOff>
                  </to>
                </anchor>
              </controlPr>
            </control>
          </mc:Choice>
        </mc:AlternateContent>
        <mc:AlternateContent xmlns:mc="http://schemas.openxmlformats.org/markup-compatibility/2006">
          <mc:Choice Requires="x14">
            <control shapeId="2142" r:id="rId24" name="Check Box 94">
              <controlPr defaultSize="0" autoFill="0" autoLine="0" autoPict="0">
                <anchor moveWithCells="1">
                  <from>
                    <xdr:col>1</xdr:col>
                    <xdr:colOff>68580</xdr:colOff>
                    <xdr:row>24</xdr:row>
                    <xdr:rowOff>0</xdr:rowOff>
                  </from>
                  <to>
                    <xdr:col>1</xdr:col>
                    <xdr:colOff>251460</xdr:colOff>
                    <xdr:row>24</xdr:row>
                    <xdr:rowOff>167640</xdr:rowOff>
                  </to>
                </anchor>
              </controlPr>
            </control>
          </mc:Choice>
        </mc:AlternateContent>
        <mc:AlternateContent xmlns:mc="http://schemas.openxmlformats.org/markup-compatibility/2006">
          <mc:Choice Requires="x14">
            <control shapeId="2144" r:id="rId25" name="Check Box 96">
              <controlPr defaultSize="0" autoFill="0" autoLine="0" autoPict="0">
                <anchor moveWithCells="1">
                  <from>
                    <xdr:col>1</xdr:col>
                    <xdr:colOff>68580</xdr:colOff>
                    <xdr:row>25</xdr:row>
                    <xdr:rowOff>7620</xdr:rowOff>
                  </from>
                  <to>
                    <xdr:col>1</xdr:col>
                    <xdr:colOff>251460</xdr:colOff>
                    <xdr:row>25</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0269731C-3B8C-4CD9-B586-EF24D5C131FE}">
            <xm:f>AND(Rechentabelle!$A$15= TRUE, OR(Rechentabelle!$A$21=TRUE,Rechentabelle!$A$24= TRUE,Rechentabelle!$A$6= TRUE))</xm:f>
            <x14:dxf>
              <font>
                <color rgb="FFFF0000"/>
              </font>
              <fill>
                <patternFill patternType="none">
                  <bgColor auto="1"/>
                </patternFill>
              </fill>
            </x14:dxf>
          </x14:cfRule>
          <x14:cfRule type="expression" priority="5" id="{3A1F0653-83D5-4532-9325-C8874F5BB157}">
            <xm:f>AND(Rechentabelle!$A$24= TRUE, Rechentabelle!$A$6)</xm:f>
            <x14:dxf>
              <font>
                <color rgb="FFFF0000"/>
              </font>
              <fill>
                <patternFill patternType="none">
                  <bgColor auto="1"/>
                </patternFill>
              </fill>
            </x14:dxf>
          </x14:cfRule>
          <x14:cfRule type="expression" priority="13" id="{1515D7FB-541A-43E2-91C3-177C3B89B700}">
            <xm:f>AND(Rechentabelle!$A$19=TRUE,Rechentabelle!$A$13= TRUE)</xm:f>
            <x14:dxf>
              <font>
                <color rgb="FFFF0000"/>
              </font>
            </x14:dxf>
          </x14:cfRule>
          <x14:cfRule type="expression" priority="15" id="{75DAB6F5-C4F8-40D3-B0D0-12E8136E2ED0}">
            <xm:f>AND(Rechentabelle!$A$21=TRUE,OR(Rechentabelle!$A$24=TRUE,Rechentabelle!$A$6= TRUE))</xm:f>
            <x14:dxf>
              <font>
                <color rgb="FFFF0000"/>
              </font>
            </x14:dxf>
          </x14:cfRule>
          <xm:sqref>B33:C33</xm:sqref>
        </x14:conditionalFormatting>
        <x14:conditionalFormatting xmlns:xm="http://schemas.microsoft.com/office/excel/2006/main">
          <x14:cfRule type="expression" priority="1" id="{7F89039A-F6FB-4B9F-B6C2-A47A0F97878D}">
            <xm:f>AND(Rechentabelle!$A$15= TRUE, OR(Rechentabelle!$A$21=TRUE,Rechentabelle!$A$24= TRUE,Rechentabelle!$A$6= TRUE))</xm:f>
            <x14:dxf>
              <font>
                <color rgb="FFFF0000"/>
              </font>
              <fill>
                <patternFill>
                  <bgColor rgb="FFFFCCCC"/>
                </patternFill>
              </fill>
            </x14:dxf>
          </x14:cfRule>
          <xm:sqref>C13 C21:C22 C28</xm:sqref>
        </x14:conditionalFormatting>
        <x14:conditionalFormatting xmlns:xm="http://schemas.microsoft.com/office/excel/2006/main">
          <x14:cfRule type="expression" priority="14" id="{A8D40ED9-3FCE-41D1-8BDE-0FE223EDB940}">
            <xm:f>AND(Rechentabelle!$A$19=TRUE,Rechentabelle!$A$13= TRUE)</xm:f>
            <x14:dxf>
              <font>
                <color rgb="FFFF0000"/>
              </font>
              <fill>
                <patternFill>
                  <bgColor rgb="FFFFCCCC"/>
                </patternFill>
              </fill>
            </x14:dxf>
          </x14:cfRule>
          <xm:sqref>C14 C18</xm:sqref>
        </x14:conditionalFormatting>
        <x14:conditionalFormatting xmlns:xm="http://schemas.microsoft.com/office/excel/2006/main">
          <x14:cfRule type="expression" priority="16" id="{A204E531-A7C4-48BD-8379-BCF6AA7DA0EC}">
            <xm:f>AND(Rechentabelle!$A$21=TRUE,OR(Rechentabelle!$A$24=TRUE,Rechentabelle!$A$6= TRUE))</xm:f>
            <x14:dxf>
              <font>
                <color rgb="FFFF0000"/>
              </font>
              <fill>
                <patternFill>
                  <bgColor rgb="FFFFCCCC"/>
                </patternFill>
              </fill>
            </x14:dxf>
          </x14:cfRule>
          <xm:sqref>C21:C22 C28</xm:sqref>
        </x14:conditionalFormatting>
        <x14:conditionalFormatting xmlns:xm="http://schemas.microsoft.com/office/excel/2006/main">
          <x14:cfRule type="expression" priority="3" id="{AB618D35-1C2B-46CF-BBFA-D35DB6B8BB5F}">
            <xm:f>AND(Rechentabelle!$A$24= TRUE, Rechentabelle!$A$6)</xm:f>
            <x14:dxf>
              <font>
                <color rgb="FFFF0000"/>
              </font>
              <fill>
                <patternFill>
                  <bgColor rgb="FFFFCCCC"/>
                </patternFill>
              </fill>
            </x14:dxf>
          </x14:cfRule>
          <xm:sqref>C22 C28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CB6D-115F-4FFF-8D70-2AC061B3879D}">
  <sheetPr codeName="Tabelle8"/>
  <dimension ref="A1:B16"/>
  <sheetViews>
    <sheetView showGridLines="0" workbookViewId="0">
      <selection activeCell="C1" sqref="C1"/>
    </sheetView>
  </sheetViews>
  <sheetFormatPr baseColWidth="10" defaultRowHeight="18.600000000000001" customHeight="1" x14ac:dyDescent="0.3"/>
  <cols>
    <col min="1" max="1" width="4.44140625" style="2" customWidth="1"/>
    <col min="2" max="16384" width="11.5546875" style="2"/>
  </cols>
  <sheetData>
    <row r="1" spans="1:2" ht="18.600000000000001" customHeight="1" x14ac:dyDescent="0.35">
      <c r="A1" s="1" t="s">
        <v>163</v>
      </c>
      <c r="B1" s="18"/>
    </row>
    <row r="2" spans="1:2" ht="18.600000000000001" customHeight="1" x14ac:dyDescent="0.3">
      <c r="B2" s="2" t="s">
        <v>173</v>
      </c>
    </row>
    <row r="3" spans="1:2" ht="18.600000000000001" customHeight="1" x14ac:dyDescent="0.3">
      <c r="B3" s="2" t="s">
        <v>168</v>
      </c>
    </row>
    <row r="4" spans="1:2" ht="18.600000000000001" customHeight="1" x14ac:dyDescent="0.3">
      <c r="B4" s="2" t="s">
        <v>174</v>
      </c>
    </row>
    <row r="5" spans="1:2" ht="18.600000000000001" customHeight="1" x14ac:dyDescent="0.3">
      <c r="B5" s="2" t="s">
        <v>164</v>
      </c>
    </row>
    <row r="6" spans="1:2" ht="18.600000000000001" customHeight="1" x14ac:dyDescent="0.3">
      <c r="B6" s="2" t="s">
        <v>158</v>
      </c>
    </row>
    <row r="7" spans="1:2" ht="18.600000000000001" customHeight="1" x14ac:dyDescent="0.3">
      <c r="B7" s="2" t="s">
        <v>166</v>
      </c>
    </row>
    <row r="8" spans="1:2" ht="18.600000000000001" customHeight="1" x14ac:dyDescent="0.3">
      <c r="B8" s="2" t="s">
        <v>161</v>
      </c>
    </row>
    <row r="9" spans="1:2" ht="18.600000000000001" customHeight="1" x14ac:dyDescent="0.3">
      <c r="B9" s="2" t="s">
        <v>175</v>
      </c>
    </row>
    <row r="10" spans="1:2" ht="18.600000000000001" customHeight="1" x14ac:dyDescent="0.3">
      <c r="B10" s="2" t="s">
        <v>167</v>
      </c>
    </row>
    <row r="11" spans="1:2" ht="18.600000000000001" customHeight="1" x14ac:dyDescent="0.3">
      <c r="B11" s="2" t="s">
        <v>165</v>
      </c>
    </row>
    <row r="12" spans="1:2" ht="18.600000000000001" customHeight="1" x14ac:dyDescent="0.3">
      <c r="B12" s="2" t="s">
        <v>162</v>
      </c>
    </row>
    <row r="13" spans="1:2" ht="18.600000000000001" customHeight="1" x14ac:dyDescent="0.3">
      <c r="B13" s="2" t="s">
        <v>160</v>
      </c>
    </row>
    <row r="14" spans="1:2" ht="18.600000000000001" customHeight="1" x14ac:dyDescent="0.3">
      <c r="B14" s="2" t="s">
        <v>156</v>
      </c>
    </row>
    <row r="15" spans="1:2" ht="18.600000000000001" customHeight="1" x14ac:dyDescent="0.3">
      <c r="B15" s="2" t="s">
        <v>157</v>
      </c>
    </row>
    <row r="16" spans="1:2" ht="18.600000000000001" customHeight="1" x14ac:dyDescent="0.3">
      <c r="B16" s="2" t="s">
        <v>159</v>
      </c>
    </row>
  </sheetData>
  <sheetProtection algorithmName="SHA-512" hashValue="KkpET+uVUHeH3yByhq/+Mx/9JYW7ebarpMpZwMdsNN3MLauh5l+5tER7ZmrcZdQqc+Oz4iBSA1upjAReNrDRMA==" saltValue="oZ+MHwZOmNuADCNCg9cizw==" spinCount="100000" sheet="1" objects="1" scenarios="1"/>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0B727-AFAD-4848-95BF-4997A63C4E88}">
  <sheetPr codeName="Tabelle6"/>
  <dimension ref="A2:A28"/>
  <sheetViews>
    <sheetView workbookViewId="0">
      <selection activeCell="A19" sqref="A19"/>
    </sheetView>
  </sheetViews>
  <sheetFormatPr baseColWidth="10" defaultRowHeight="14.4" x14ac:dyDescent="0.3"/>
  <sheetData>
    <row r="2" spans="1:1" x14ac:dyDescent="0.3">
      <c r="A2" t="b">
        <v>1</v>
      </c>
    </row>
    <row r="3" spans="1:1" x14ac:dyDescent="0.3">
      <c r="A3" t="b">
        <v>0</v>
      </c>
    </row>
    <row r="4" spans="1:1" x14ac:dyDescent="0.3">
      <c r="A4" t="b">
        <v>0</v>
      </c>
    </row>
    <row r="5" spans="1:1" x14ac:dyDescent="0.3">
      <c r="A5" t="b">
        <v>0</v>
      </c>
    </row>
    <row r="6" spans="1:1" x14ac:dyDescent="0.3">
      <c r="A6" t="b">
        <v>0</v>
      </c>
    </row>
    <row r="7" spans="1:1" x14ac:dyDescent="0.3">
      <c r="A7" t="b">
        <v>0</v>
      </c>
    </row>
    <row r="8" spans="1:1" x14ac:dyDescent="0.3">
      <c r="A8" t="b">
        <v>1</v>
      </c>
    </row>
    <row r="9" spans="1:1" x14ac:dyDescent="0.3">
      <c r="A9" t="b">
        <v>0</v>
      </c>
    </row>
    <row r="10" spans="1:1" x14ac:dyDescent="0.3">
      <c r="A10" t="b">
        <v>0</v>
      </c>
    </row>
    <row r="11" spans="1:1" x14ac:dyDescent="0.3">
      <c r="A11" t="b">
        <v>0</v>
      </c>
    </row>
    <row r="12" spans="1:1" x14ac:dyDescent="0.3">
      <c r="A12" t="b">
        <v>0</v>
      </c>
    </row>
    <row r="13" spans="1:1" x14ac:dyDescent="0.3">
      <c r="A13" t="b">
        <v>0</v>
      </c>
    </row>
    <row r="14" spans="1:1" x14ac:dyDescent="0.3">
      <c r="A14" t="b">
        <v>0</v>
      </c>
    </row>
    <row r="15" spans="1:1" x14ac:dyDescent="0.3">
      <c r="A15" t="b">
        <v>0</v>
      </c>
    </row>
    <row r="16" spans="1:1" x14ac:dyDescent="0.3">
      <c r="A16" t="b">
        <v>0</v>
      </c>
    </row>
    <row r="17" spans="1:1" x14ac:dyDescent="0.3">
      <c r="A17" t="b">
        <v>0</v>
      </c>
    </row>
    <row r="18" spans="1:1" x14ac:dyDescent="0.3">
      <c r="A18" t="b">
        <v>0</v>
      </c>
    </row>
    <row r="19" spans="1:1" x14ac:dyDescent="0.3">
      <c r="A19" t="b">
        <v>0</v>
      </c>
    </row>
    <row r="20" spans="1:1" x14ac:dyDescent="0.3">
      <c r="A20" t="b">
        <v>0</v>
      </c>
    </row>
    <row r="21" spans="1:1" x14ac:dyDescent="0.3">
      <c r="A21" t="b">
        <v>0</v>
      </c>
    </row>
    <row r="22" spans="1:1" x14ac:dyDescent="0.3">
      <c r="A22" t="b">
        <v>0</v>
      </c>
    </row>
    <row r="23" spans="1:1" x14ac:dyDescent="0.3">
      <c r="A23" t="b">
        <v>0</v>
      </c>
    </row>
    <row r="24" spans="1:1" x14ac:dyDescent="0.3">
      <c r="A24" t="b">
        <v>0</v>
      </c>
    </row>
    <row r="25" spans="1:1" x14ac:dyDescent="0.3">
      <c r="A25" t="b">
        <v>0</v>
      </c>
    </row>
    <row r="26" spans="1:1" x14ac:dyDescent="0.3">
      <c r="A26" t="b">
        <v>0</v>
      </c>
    </row>
    <row r="27" spans="1:1" x14ac:dyDescent="0.3">
      <c r="A27" t="b">
        <v>0</v>
      </c>
    </row>
    <row r="28" spans="1:1" x14ac:dyDescent="0.3">
      <c r="A28" t="b">
        <v>0</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Hinweise</vt:lpstr>
      <vt:lpstr>Übersicht</vt:lpstr>
      <vt:lpstr>Ertrag</vt:lpstr>
      <vt:lpstr>Arbeitszeit</vt:lpstr>
      <vt:lpstr>Kosten</vt:lpstr>
      <vt:lpstr>Förderung</vt:lpstr>
      <vt:lpstr>Quellen</vt:lpstr>
      <vt:lpstr>Rechentabelle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2026-03-17T11:48:41Z</dcterms:created>
  <dcterms:modified xsi:type="dcterms:W3CDTF">2026-03-17T11:50:53Z</dcterms:modified>
</cp:coreProperties>
</file>