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DieseArbeitsmappe"/>
  <mc:AlternateContent xmlns:mc="http://schemas.openxmlformats.org/markup-compatibility/2006">
    <mc:Choice Requires="x15">
      <x15ac:absPath xmlns:x15ac="http://schemas.microsoft.com/office/spreadsheetml/2010/11/ac" url="S:\IAB2\a7311_EDV_Prog\10_Lagerraum_DüV_Tier\2022\05_Internet\Stand_20221020\"/>
    </mc:Choice>
  </mc:AlternateContent>
  <xr:revisionPtr revIDLastSave="0" documentId="8_{E520C3A7-9C68-4A73-A9BF-1885B77B7288}" xr6:coauthVersionLast="47" xr6:coauthVersionMax="47" xr10:uidLastSave="{00000000-0000-0000-0000-000000000000}"/>
  <workbookProtection workbookAlgorithmName="SHA-512" workbookHashValue="r11Rgm/2qi2kIiH+tC6DIwWK7PZB/tPX2d4RpZMc+kMkdiJZJQC6nb+JKeog09GiQqVP2LWjKmpBsjhvdtyr9Q==" workbookSaltValue="DiIBAO3eX51hSsDiHrwstA==" workbookSpinCount="100000" lockStructure="1"/>
  <bookViews>
    <workbookView xWindow="-108" yWindow="-108" windowWidth="23256" windowHeight="12576" xr2:uid="{F2DB43B1-2C7D-41CD-A200-C49C53F3FF62}"/>
  </bookViews>
  <sheets>
    <sheet name="Nährstoffe und Lagerraum" sheetId="7" r:id="rId1"/>
    <sheet name="Abweichende Werte" sheetId="14" r:id="rId2"/>
    <sheet name="Schweine_Werte" sheetId="38" state="hidden" r:id="rId3"/>
    <sheet name="abweichende Schweine" sheetId="37" state="hidden" r:id="rId4"/>
    <sheet name="Tiere" sheetId="12" state="hidden" r:id="rId5"/>
    <sheet name="org Dünger" sheetId="11" state="hidden" r:id="rId6"/>
    <sheet name="Stroh" sheetId="8" state="hidden" r:id="rId7"/>
    <sheet name="Erläuterungen" sheetId="10" r:id="rId8"/>
    <sheet name="Notizen" sheetId="33" r:id="rId9"/>
    <sheet name="Niederschläge" sheetId="31" state="hidden" r:id="rId10"/>
    <sheet name="Abgabebeleg" sheetId="39" r:id="rId11"/>
    <sheet name="Gemarkungsniederschläge" sheetId="34" r:id="rId12"/>
    <sheet name="Abgabe-;Aufnahmeliste" sheetId="41" r:id="rId13"/>
  </sheets>
  <definedNames>
    <definedName name="_xlnm._FilterDatabase" localSheetId="11" hidden="1">Gemarkungsniederschläge!$B$5:$D$7877</definedName>
    <definedName name="_xlnm.Print_Area" localSheetId="10">Abgabebeleg!$A$1:$K$45</definedName>
    <definedName name="_xlnm.Print_Area" localSheetId="1">'Abweichende Werte'!$A$1:$T$63</definedName>
    <definedName name="_xlnm.Print_Area" localSheetId="0">'Nährstoffe und Lagerraum'!$A$1:$K$219</definedName>
    <definedName name="Z_DDA6E6AA_9473_49A0_A3A2_76E4959B79AF_.wvu.Cols" localSheetId="1" hidden="1">'Abweichende Werte'!$U:$Y</definedName>
    <definedName name="Z_DDA6E6AA_9473_49A0_A3A2_76E4959B79AF_.wvu.Cols" localSheetId="0" hidden="1">'Nährstoffe und Lagerraum'!$M:$CO</definedName>
    <definedName name="Z_DDA6E6AA_9473_49A0_A3A2_76E4959B79AF_.wvu.PrintArea" localSheetId="0" hidden="1">'Nährstoffe und Lagerraum'!$A$1:$K$154</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9" l="1"/>
  <c r="J65" i="41"/>
  <c r="I65" i="41"/>
  <c r="H65" i="41"/>
  <c r="F65" i="41"/>
  <c r="E65" i="41"/>
  <c r="A62" i="41"/>
  <c r="B1" i="41"/>
  <c r="B37" i="39" l="1"/>
  <c r="B42" i="39" a="1"/>
  <c r="B42" i="39" s="1"/>
  <c r="G10" i="39"/>
  <c r="I10" i="39"/>
  <c r="E6" i="41" l="1"/>
  <c r="F6" i="41" s="1"/>
  <c r="H6" i="41" l="1"/>
  <c r="I6" i="41"/>
  <c r="J6" i="41"/>
  <c r="F181" i="7" l="1"/>
  <c r="F180" i="7"/>
  <c r="V28" i="14"/>
  <c r="V29" i="14"/>
  <c r="V27" i="14"/>
  <c r="B11" i="39" l="1"/>
  <c r="B10" i="39"/>
  <c r="B9" i="39"/>
  <c r="I9" i="39"/>
  <c r="I211" i="7" l="1"/>
  <c r="AI62" i="12" l="1" a="1"/>
  <c r="AI62" i="12"/>
  <c r="AJ62" i="12" a="1"/>
  <c r="AJ62" i="12"/>
  <c r="AK62" i="12" a="1"/>
  <c r="AK62" i="12" s="1"/>
  <c r="AI63" i="12" a="1"/>
  <c r="AI63" i="12"/>
  <c r="AJ63" i="12" a="1"/>
  <c r="AJ63" i="12"/>
  <c r="AK63" i="12" a="1"/>
  <c r="AK63" i="12"/>
  <c r="AI64" i="12" a="1"/>
  <c r="AI64" i="12" s="1"/>
  <c r="AJ64" i="12" a="1"/>
  <c r="AJ64" i="12"/>
  <c r="AK64" i="12" a="1"/>
  <c r="AK64" i="12"/>
  <c r="AI65" i="12" a="1"/>
  <c r="AI65" i="12"/>
  <c r="AJ65" i="12" a="1"/>
  <c r="AJ65" i="12" s="1"/>
  <c r="AK65" i="12" a="1"/>
  <c r="AK65" i="12"/>
  <c r="AI66" i="12" a="1"/>
  <c r="AI66" i="12"/>
  <c r="AJ66" i="12" a="1"/>
  <c r="AJ66" i="12"/>
  <c r="AK66" i="12" a="1"/>
  <c r="AK66" i="12" s="1"/>
  <c r="AI67" i="12" a="1"/>
  <c r="AI67" i="12"/>
  <c r="AJ67" i="12" a="1"/>
  <c r="AJ67" i="12"/>
  <c r="AK67" i="12" a="1"/>
  <c r="AK67" i="12"/>
  <c r="AI56" i="12" a="1"/>
  <c r="AI56" i="12"/>
  <c r="AJ56" i="12" a="1"/>
  <c r="AJ56" i="12" s="1"/>
  <c r="AK56" i="12" a="1"/>
  <c r="AK56" i="12"/>
  <c r="AI46" i="12" a="1"/>
  <c r="AI46" i="12" s="1"/>
  <c r="AJ46" i="12" a="1"/>
  <c r="AJ46" i="12" s="1"/>
  <c r="AK46" i="12" a="1"/>
  <c r="AK46" i="12"/>
  <c r="AI47" i="12" a="1"/>
  <c r="AI47" i="12" s="1"/>
  <c r="AJ47" i="12" a="1"/>
  <c r="AJ47" i="12" s="1"/>
  <c r="AK47" i="12" a="1"/>
  <c r="AK47" i="12" s="1"/>
  <c r="AI48" i="12" a="1"/>
  <c r="AI48" i="12" s="1"/>
  <c r="AJ48" i="12" a="1"/>
  <c r="AJ48" i="12" s="1"/>
  <c r="AK48" i="12" a="1"/>
  <c r="AK48" i="12" s="1"/>
  <c r="AI49" i="12" a="1"/>
  <c r="AI49" i="12" s="1"/>
  <c r="AJ49" i="12" a="1"/>
  <c r="AJ49" i="12"/>
  <c r="AK49" i="12" a="1"/>
  <c r="AK49" i="12" s="1"/>
  <c r="Y8" i="14" l="1"/>
  <c r="Y9" i="14"/>
  <c r="Y10" i="14"/>
  <c r="Y11" i="14"/>
  <c r="Y7" i="14"/>
  <c r="AB103" i="12" l="1"/>
  <c r="AB102" i="12"/>
  <c r="AB101" i="12"/>
  <c r="L105" i="12"/>
  <c r="L106" i="12"/>
  <c r="D104" i="12"/>
  <c r="D105" i="12"/>
  <c r="D106" i="12"/>
  <c r="R104" i="12"/>
  <c r="U104" i="12"/>
  <c r="V104" i="12"/>
  <c r="W104" i="12"/>
  <c r="R105" i="12"/>
  <c r="U105" i="12"/>
  <c r="V105" i="12"/>
  <c r="W105" i="12"/>
  <c r="R106" i="12"/>
  <c r="U106" i="12"/>
  <c r="V106" i="12"/>
  <c r="W106" i="12"/>
  <c r="E104" i="12"/>
  <c r="F104" i="12"/>
  <c r="G104" i="12"/>
  <c r="H104" i="12"/>
  <c r="I104" i="12"/>
  <c r="E105" i="12"/>
  <c r="F105" i="12"/>
  <c r="G105" i="12"/>
  <c r="H105" i="12"/>
  <c r="I105" i="12"/>
  <c r="E106" i="12"/>
  <c r="F106" i="12"/>
  <c r="G106" i="12"/>
  <c r="H106" i="12"/>
  <c r="I106" i="12"/>
  <c r="AB99" i="12"/>
  <c r="AD99" i="12"/>
  <c r="AE99" i="12"/>
  <c r="AF99" i="12"/>
  <c r="AG99" i="12"/>
  <c r="AH99" i="12"/>
  <c r="AI99" i="12" a="1"/>
  <c r="AI99" i="12" s="1"/>
  <c r="AJ99" i="12" a="1"/>
  <c r="AJ99" i="12" s="1"/>
  <c r="AK99" i="12" a="1"/>
  <c r="AK99" i="12" s="1"/>
  <c r="AB98" i="12"/>
  <c r="X97" i="12"/>
  <c r="Y97" i="12"/>
  <c r="Z97" i="12"/>
  <c r="X98" i="12"/>
  <c r="Y98" i="12"/>
  <c r="Z98" i="12"/>
  <c r="X99" i="12"/>
  <c r="Y99" i="12"/>
  <c r="Z99" i="12"/>
  <c r="X100" i="12"/>
  <c r="Y100" i="12"/>
  <c r="Z100" i="12"/>
  <c r="X101" i="12"/>
  <c r="Y101" i="12"/>
  <c r="Z101" i="12"/>
  <c r="X102" i="12"/>
  <c r="Y102" i="12"/>
  <c r="Z102" i="12"/>
  <c r="X103" i="12"/>
  <c r="Y103" i="12"/>
  <c r="Z103" i="12"/>
  <c r="L104" i="12" l="1"/>
  <c r="W12" i="14" l="1"/>
  <c r="W11" i="14"/>
  <c r="AB11" i="14" s="1"/>
  <c r="W6" i="14"/>
  <c r="W7" i="14"/>
  <c r="W8" i="14"/>
  <c r="W9" i="14"/>
  <c r="AB9" i="14" s="1"/>
  <c r="X6" i="14"/>
  <c r="X7" i="14"/>
  <c r="X8" i="14"/>
  <c r="X9" i="14"/>
  <c r="X5" i="14"/>
  <c r="W5" i="14"/>
  <c r="AB8" i="14" l="1"/>
  <c r="B100" i="12" s="1"/>
  <c r="B92" i="37"/>
  <c r="E92" i="37"/>
  <c r="D92" i="37"/>
  <c r="C92" i="37"/>
  <c r="G43" i="14"/>
  <c r="B60" i="37"/>
  <c r="C60" i="37"/>
  <c r="H43" i="14"/>
  <c r="D60" i="37"/>
  <c r="E43" i="14"/>
  <c r="E60" i="37"/>
  <c r="B101" i="12"/>
  <c r="B48" i="37"/>
  <c r="C48" i="37"/>
  <c r="D48" i="37"/>
  <c r="E48" i="37"/>
  <c r="B36" i="37"/>
  <c r="C36" i="37"/>
  <c r="D36" i="37"/>
  <c r="E36" i="37"/>
  <c r="B110" i="37"/>
  <c r="C110" i="37"/>
  <c r="D110" i="37"/>
  <c r="E110" i="37"/>
  <c r="D127" i="37"/>
  <c r="D120" i="37" s="1"/>
  <c r="E127" i="37"/>
  <c r="B127" i="37"/>
  <c r="B101" i="37"/>
  <c r="C101" i="37"/>
  <c r="D101" i="37"/>
  <c r="E101" i="37"/>
  <c r="E145" i="37"/>
  <c r="B145" i="37"/>
  <c r="D145" i="37"/>
  <c r="D138" i="37" s="1"/>
  <c r="AB12" i="14"/>
  <c r="B103" i="12" s="1"/>
  <c r="B83" i="37"/>
  <c r="C83" i="37"/>
  <c r="E83" i="37"/>
  <c r="D83" i="37"/>
  <c r="B24" i="37"/>
  <c r="C24" i="37"/>
  <c r="D24" i="37"/>
  <c r="E24" i="37"/>
  <c r="E12" i="37"/>
  <c r="B12" i="37"/>
  <c r="C12" i="37"/>
  <c r="D12" i="37"/>
  <c r="E74" i="37"/>
  <c r="B74" i="37"/>
  <c r="C74" i="37"/>
  <c r="D74" i="37"/>
  <c r="V42" i="14"/>
  <c r="R43" i="14"/>
  <c r="V43" i="14"/>
  <c r="S43" i="14"/>
  <c r="I43" i="14"/>
  <c r="K43" i="14"/>
  <c r="G24" i="14"/>
  <c r="Q43" i="14"/>
  <c r="L43" i="14"/>
  <c r="O43" i="14"/>
  <c r="M43" i="14"/>
  <c r="P43" i="14"/>
  <c r="J43" i="14"/>
  <c r="C43" i="14"/>
  <c r="N43" i="14"/>
  <c r="A43" i="14"/>
  <c r="B43" i="14"/>
  <c r="B42" i="14"/>
  <c r="A42" i="14"/>
  <c r="B41" i="14"/>
  <c r="A41" i="14"/>
  <c r="B40" i="14"/>
  <c r="A40" i="14"/>
  <c r="A39" i="14"/>
  <c r="B39" i="14"/>
  <c r="B20" i="14"/>
  <c r="AB5" i="14" s="1"/>
  <c r="M26" i="14"/>
  <c r="W103" i="12" s="1"/>
  <c r="B26" i="14"/>
  <c r="L26" i="14"/>
  <c r="I103" i="12" s="1"/>
  <c r="B25" i="14"/>
  <c r="B102" i="12" s="1"/>
  <c r="L24" i="14"/>
  <c r="I101" i="12" s="1"/>
  <c r="A21" i="14"/>
  <c r="M22" i="14"/>
  <c r="W99" i="12" s="1"/>
  <c r="L25" i="14"/>
  <c r="I102" i="12" s="1"/>
  <c r="M25" i="14"/>
  <c r="W102" i="12" s="1"/>
  <c r="A24" i="14"/>
  <c r="B21" i="14"/>
  <c r="AB6" i="14" s="1"/>
  <c r="B98" i="12" s="1"/>
  <c r="M21" i="14"/>
  <c r="W98" i="12" s="1"/>
  <c r="A23" i="14"/>
  <c r="M20" i="14"/>
  <c r="W97" i="12" s="1"/>
  <c r="L21" i="14"/>
  <c r="I98" i="12" s="1"/>
  <c r="A20" i="14"/>
  <c r="B22" i="14"/>
  <c r="AB7" i="14" s="1"/>
  <c r="B99" i="12" s="1"/>
  <c r="L22" i="14"/>
  <c r="I99" i="12" s="1"/>
  <c r="A22" i="14"/>
  <c r="L20" i="14"/>
  <c r="I97" i="12" s="1"/>
  <c r="M24" i="14"/>
  <c r="W101" i="12" s="1"/>
  <c r="M23" i="14"/>
  <c r="W100" i="12" s="1"/>
  <c r="B24" i="14"/>
  <c r="L23" i="14"/>
  <c r="I100" i="12" s="1"/>
  <c r="B23" i="14"/>
  <c r="AF110" i="37" l="1"/>
  <c r="BL30" i="37"/>
  <c r="BL65" i="37"/>
  <c r="AW77" i="37"/>
  <c r="BL67" i="37"/>
  <c r="BL69" i="37"/>
  <c r="BL84" i="37"/>
  <c r="BL100" i="37"/>
  <c r="AW101" i="37"/>
  <c r="BG117" i="37"/>
  <c r="BL71" i="37"/>
  <c r="BB80" i="37"/>
  <c r="BL73" i="37"/>
  <c r="BG96" i="37"/>
  <c r="BB98" i="37"/>
  <c r="BL75" i="37"/>
  <c r="AW86" i="37"/>
  <c r="AW94" i="37"/>
  <c r="AW109" i="37"/>
  <c r="AW112" i="37"/>
  <c r="BB115" i="37"/>
  <c r="BG81" i="37"/>
  <c r="AW88" i="37"/>
  <c r="BG110" i="37"/>
  <c r="BG118" i="37"/>
  <c r="AW120" i="37"/>
  <c r="BL121" i="37"/>
  <c r="BB135" i="37"/>
  <c r="BG99" i="37"/>
  <c r="BB127" i="37"/>
  <c r="BB144" i="37"/>
  <c r="BG139" i="37"/>
  <c r="BG108" i="37"/>
  <c r="BG126" i="37"/>
  <c r="BB128" i="37"/>
  <c r="BB131" i="37"/>
  <c r="BL137" i="37"/>
  <c r="BG140" i="37"/>
  <c r="BB132" i="37"/>
  <c r="BB95" i="37"/>
  <c r="BL97" i="37"/>
  <c r="BB143" i="37"/>
  <c r="AW105" i="37"/>
  <c r="BG83" i="37"/>
  <c r="BB91" i="37"/>
  <c r="BG104" i="37"/>
  <c r="BL130" i="37"/>
  <c r="BL114" i="37"/>
  <c r="AW97" i="37"/>
  <c r="BB78" i="37"/>
  <c r="AW62" i="37"/>
  <c r="BL143" i="37"/>
  <c r="BL131" i="37"/>
  <c r="BG120" i="37"/>
  <c r="AW102" i="37"/>
  <c r="BB74" i="37"/>
  <c r="BL142" i="37"/>
  <c r="AW127" i="37"/>
  <c r="BB110" i="37"/>
  <c r="AW98" i="37"/>
  <c r="BG84" i="37"/>
  <c r="BG71" i="37"/>
  <c r="BB145" i="37"/>
  <c r="BG129" i="37"/>
  <c r="BG113" i="37"/>
  <c r="BB90" i="37"/>
  <c r="AW76" i="37"/>
  <c r="BL140" i="37"/>
  <c r="AW125" i="37"/>
  <c r="BL108" i="37"/>
  <c r="BG95" i="37"/>
  <c r="BL81" i="37"/>
  <c r="AW64" i="37"/>
  <c r="BG124" i="37"/>
  <c r="AW108" i="37"/>
  <c r="BL90" i="37"/>
  <c r="BG76" i="37"/>
  <c r="AW138" i="37"/>
  <c r="BB122" i="37"/>
  <c r="BB106" i="37"/>
  <c r="BL88" i="37"/>
  <c r="BG72" i="37"/>
  <c r="BG60" i="37"/>
  <c r="BL129" i="37"/>
  <c r="BL113" i="37"/>
  <c r="BL92" i="37"/>
  <c r="BB76" i="37"/>
  <c r="BB141" i="37"/>
  <c r="AW130" i="37"/>
  <c r="BL115" i="37"/>
  <c r="BG101" i="37"/>
  <c r="BG88" i="37"/>
  <c r="BB72" i="37"/>
  <c r="AW55" i="37"/>
  <c r="BB140" i="37"/>
  <c r="BB126" i="37"/>
  <c r="BG97" i="37"/>
  <c r="BB83" i="37"/>
  <c r="BG69" i="37"/>
  <c r="AW142" i="37"/>
  <c r="BL125" i="37"/>
  <c r="BB111" i="37"/>
  <c r="AW89" i="37"/>
  <c r="BL74" i="37"/>
  <c r="BL139" i="37"/>
  <c r="BB120" i="37"/>
  <c r="BB105" i="37"/>
  <c r="BB94" i="37"/>
  <c r="BG80" i="37"/>
  <c r="BB47" i="37"/>
  <c r="BB121" i="37"/>
  <c r="BG107" i="37"/>
  <c r="BG89" i="37"/>
  <c r="BB75" i="37"/>
  <c r="BB136" i="37"/>
  <c r="BL120" i="37"/>
  <c r="BL105" i="37"/>
  <c r="BL86" i="37"/>
  <c r="BG70" i="37"/>
  <c r="BL53" i="37"/>
  <c r="BB124" i="37"/>
  <c r="BG111" i="37"/>
  <c r="BG90" i="37"/>
  <c r="AW75" i="37"/>
  <c r="AW129" i="37"/>
  <c r="AW114" i="37"/>
  <c r="BL98" i="37"/>
  <c r="BG86" i="37"/>
  <c r="BB70" i="37"/>
  <c r="BB139" i="37"/>
  <c r="BL124" i="37"/>
  <c r="BB108" i="37"/>
  <c r="BB96" i="37"/>
  <c r="BB81" i="37"/>
  <c r="BG67" i="37"/>
  <c r="BL141" i="37"/>
  <c r="AW124" i="37"/>
  <c r="AW107" i="37"/>
  <c r="AW87" i="37"/>
  <c r="BL72" i="37"/>
  <c r="BG135" i="37"/>
  <c r="BL118" i="37"/>
  <c r="BL104" i="37"/>
  <c r="AW93" i="37"/>
  <c r="BB77" i="37"/>
  <c r="BG142" i="37"/>
  <c r="BL119" i="37"/>
  <c r="AW104" i="37"/>
  <c r="BG87" i="37"/>
  <c r="BB73" i="37"/>
  <c r="BB134" i="37"/>
  <c r="AW119" i="37"/>
  <c r="BB102" i="37"/>
  <c r="BG85" i="37"/>
  <c r="BG68" i="37"/>
  <c r="BG51" i="37"/>
  <c r="BL52" i="37"/>
  <c r="BG61" i="37"/>
  <c r="BL123" i="37"/>
  <c r="BB107" i="37"/>
  <c r="BB89" i="37"/>
  <c r="AW73" i="37"/>
  <c r="AW136" i="37"/>
  <c r="BL128" i="37"/>
  <c r="AW113" i="37"/>
  <c r="BL95" i="37"/>
  <c r="BB85" i="37"/>
  <c r="BB68" i="37"/>
  <c r="BG137" i="37"/>
  <c r="BG121" i="37"/>
  <c r="BL107" i="37"/>
  <c r="AW95" i="37"/>
  <c r="AW80" i="37"/>
  <c r="BG65" i="37"/>
  <c r="BB138" i="37"/>
  <c r="BG123" i="37"/>
  <c r="BG106" i="37"/>
  <c r="BL85" i="37"/>
  <c r="BL70" i="37"/>
  <c r="BG132" i="37"/>
  <c r="BL117" i="37"/>
  <c r="BB101" i="37"/>
  <c r="BG91" i="37"/>
  <c r="AW74" i="37"/>
  <c r="AW140" i="37"/>
  <c r="AW118" i="37"/>
  <c r="BG103" i="37"/>
  <c r="BB84" i="37"/>
  <c r="BB71" i="37"/>
  <c r="BL136" i="37"/>
  <c r="BB133" i="37"/>
  <c r="BB114" i="37"/>
  <c r="BL101" i="37"/>
  <c r="BB82" i="37"/>
  <c r="BG66" i="37"/>
  <c r="BL122" i="37"/>
  <c r="BL106" i="37"/>
  <c r="BB87" i="37"/>
  <c r="AW71" i="37"/>
  <c r="BG145" i="37"/>
  <c r="BL135" i="37"/>
  <c r="BL127" i="37"/>
  <c r="BG112" i="37"/>
  <c r="BG94" i="37"/>
  <c r="AW82" i="37"/>
  <c r="BB66" i="37"/>
  <c r="BB142" i="37"/>
  <c r="AW135" i="37"/>
  <c r="BB118" i="37"/>
  <c r="BB104" i="37"/>
  <c r="AW91" i="37"/>
  <c r="BL78" i="37"/>
  <c r="AW60" i="37"/>
  <c r="BG136" i="37"/>
  <c r="BG122" i="37"/>
  <c r="AW103" i="37"/>
  <c r="BL68" i="37"/>
  <c r="AW146" i="37"/>
  <c r="BG131" i="37"/>
  <c r="BG115" i="37"/>
  <c r="BB88" i="37"/>
  <c r="AW72" i="37"/>
  <c r="AW139" i="37"/>
  <c r="AW117" i="37"/>
  <c r="BB100" i="37"/>
  <c r="AW83" i="37"/>
  <c r="BB69" i="37"/>
  <c r="BL145" i="37"/>
  <c r="BB130" i="37"/>
  <c r="BB113" i="37"/>
  <c r="BL94" i="37"/>
  <c r="AW79" i="37"/>
  <c r="BG64" i="37"/>
  <c r="BL47" i="37"/>
  <c r="BG45" i="37"/>
  <c r="AW121" i="37"/>
  <c r="BB103" i="37"/>
  <c r="AW84" i="37"/>
  <c r="AW69" i="37"/>
  <c r="BL134" i="37"/>
  <c r="AW134" i="37"/>
  <c r="BB125" i="37"/>
  <c r="BG109" i="37"/>
  <c r="BB93" i="37"/>
  <c r="BL80" i="37"/>
  <c r="BB64" i="37"/>
  <c r="AW137" i="37"/>
  <c r="AW132" i="37"/>
  <c r="BB117" i="37"/>
  <c r="BL103" i="37"/>
  <c r="BL89" i="37"/>
  <c r="BL76" i="37"/>
  <c r="BL55" i="37"/>
  <c r="BG134" i="37"/>
  <c r="BB119" i="37"/>
  <c r="BG102" i="37"/>
  <c r="BG82" i="37"/>
  <c r="BL66" i="37"/>
  <c r="BG144" i="37"/>
  <c r="BG128" i="37"/>
  <c r="BB112" i="37"/>
  <c r="BL99" i="37"/>
  <c r="BB86" i="37"/>
  <c r="AW70" i="37"/>
  <c r="BL138" i="37"/>
  <c r="BG116" i="37"/>
  <c r="AW99" i="37"/>
  <c r="AW81" i="37"/>
  <c r="BB67" i="37"/>
  <c r="BG146" i="37"/>
  <c r="BB129" i="37"/>
  <c r="BL112" i="37"/>
  <c r="BG93" i="37"/>
  <c r="BL77" i="37"/>
  <c r="AW63" i="37"/>
  <c r="BL102" i="37"/>
  <c r="AW133" i="37"/>
  <c r="BL116" i="37"/>
  <c r="BG138" i="37"/>
  <c r="BB79" i="37"/>
  <c r="BL110" i="37"/>
  <c r="BB137" i="37"/>
  <c r="BB65" i="37"/>
  <c r="BB92" i="37"/>
  <c r="AW100" i="37"/>
  <c r="BL132" i="37"/>
  <c r="BG77" i="37"/>
  <c r="AW115" i="37"/>
  <c r="BL146" i="37"/>
  <c r="AW78" i="37"/>
  <c r="BB109" i="37"/>
  <c r="AW126" i="37"/>
  <c r="AW90" i="37"/>
  <c r="BL82" i="37"/>
  <c r="AW123" i="37"/>
  <c r="BG63" i="37"/>
  <c r="BG100" i="37"/>
  <c r="BG133" i="37"/>
  <c r="BL64" i="37"/>
  <c r="BG98" i="37"/>
  <c r="BL111" i="37"/>
  <c r="AW145" i="37"/>
  <c r="BG79" i="37"/>
  <c r="AW122" i="37"/>
  <c r="AW61" i="37"/>
  <c r="BB99" i="37"/>
  <c r="BG130" i="37"/>
  <c r="BG62" i="37"/>
  <c r="BL96" i="37"/>
  <c r="AW110" i="37"/>
  <c r="BG141" i="37"/>
  <c r="BG74" i="37"/>
  <c r="AW67" i="37"/>
  <c r="AW106" i="37"/>
  <c r="AW144" i="37"/>
  <c r="BL87" i="37"/>
  <c r="AW116" i="37"/>
  <c r="BG143" i="37"/>
  <c r="AW85" i="37"/>
  <c r="BB97" i="37"/>
  <c r="BG125" i="37"/>
  <c r="BL43" i="37"/>
  <c r="AW53" i="37"/>
  <c r="BL133" i="37"/>
  <c r="AW65" i="37"/>
  <c r="BG105" i="37"/>
  <c r="AW143" i="37"/>
  <c r="BG114" i="37"/>
  <c r="AW141" i="37"/>
  <c r="BL83" i="37"/>
  <c r="AW96" i="37"/>
  <c r="BB123" i="37"/>
  <c r="AW92" i="37"/>
  <c r="BG127" i="37"/>
  <c r="BL38" i="37"/>
  <c r="BL60" i="37"/>
  <c r="BL91" i="37"/>
  <c r="BL126" i="37"/>
  <c r="BG59" i="37"/>
  <c r="AW51" i="37"/>
  <c r="AW131" i="37"/>
  <c r="AW68" i="37"/>
  <c r="AW128" i="37"/>
  <c r="AW66" i="37"/>
  <c r="BG35" i="37"/>
  <c r="BG57" i="37"/>
  <c r="BG119" i="37"/>
  <c r="BG75" i="37"/>
  <c r="BL79" i="37"/>
  <c r="BB116" i="37"/>
  <c r="BG73" i="37"/>
  <c r="BG78" i="37"/>
  <c r="BL63" i="37"/>
  <c r="O56" i="37"/>
  <c r="BB146" i="37"/>
  <c r="BL93" i="37"/>
  <c r="AW111" i="37"/>
  <c r="BL144" i="37"/>
  <c r="BL62" i="37"/>
  <c r="BG44" i="37"/>
  <c r="AW57" i="37"/>
  <c r="BL59" i="37"/>
  <c r="BG53" i="37"/>
  <c r="BL44" i="37"/>
  <c r="BL4" i="37"/>
  <c r="AW6" i="37"/>
  <c r="BB15" i="37"/>
  <c r="BB8" i="37"/>
  <c r="AW13" i="37"/>
  <c r="BB7" i="37"/>
  <c r="BG14" i="37"/>
  <c r="AW16" i="37"/>
  <c r="BL17" i="37"/>
  <c r="AW32" i="37"/>
  <c r="BG22" i="37"/>
  <c r="BG27" i="37"/>
  <c r="BB32" i="37"/>
  <c r="AW40" i="37"/>
  <c r="BB50" i="37"/>
  <c r="BB35" i="37"/>
  <c r="BL35" i="37"/>
  <c r="BB27" i="37"/>
  <c r="AW37" i="37"/>
  <c r="BG92" i="37"/>
  <c r="BL61" i="37"/>
  <c r="BB31" i="37"/>
  <c r="AW56" i="37"/>
  <c r="BL58" i="37"/>
  <c r="BB45" i="37"/>
  <c r="BG33" i="37"/>
  <c r="BL6" i="37"/>
  <c r="AW8" i="37"/>
  <c r="BB16" i="37"/>
  <c r="BB10" i="37"/>
  <c r="AW15" i="37"/>
  <c r="BL13" i="37"/>
  <c r="BG16" i="37"/>
  <c r="BB17" i="37"/>
  <c r="BG18" i="37"/>
  <c r="AW33" i="37"/>
  <c r="BG23" i="37"/>
  <c r="BG28" i="37"/>
  <c r="BG41" i="37"/>
  <c r="AW42" i="37"/>
  <c r="BB51" i="37"/>
  <c r="BL37" i="37"/>
  <c r="BG38" i="37"/>
  <c r="BL28" i="37"/>
  <c r="AW41" i="37"/>
  <c r="BB44" i="37"/>
  <c r="BB52" i="37"/>
  <c r="BG39" i="37"/>
  <c r="AW43" i="37"/>
  <c r="AW50" i="37"/>
  <c r="BL9" i="37"/>
  <c r="BG4" i="37"/>
  <c r="BL18" i="37"/>
  <c r="AW45" i="37"/>
  <c r="BG20" i="37"/>
  <c r="BL32" i="37"/>
  <c r="AW49" i="37"/>
  <c r="BL109" i="37"/>
  <c r="BG58" i="37"/>
  <c r="BG37" i="37"/>
  <c r="BB63" i="37"/>
  <c r="AW54" i="37"/>
  <c r="BL57" i="37"/>
  <c r="BB42" i="37"/>
  <c r="BL8" i="37"/>
  <c r="AW9" i="37"/>
  <c r="BG9" i="37"/>
  <c r="BL20" i="37"/>
  <c r="BG17" i="37"/>
  <c r="BL15" i="37"/>
  <c r="BB9" i="37"/>
  <c r="AW18" i="37"/>
  <c r="AW24" i="37"/>
  <c r="AW34" i="37"/>
  <c r="BB29" i="37"/>
  <c r="BG30" i="37"/>
  <c r="BG43" i="37"/>
  <c r="AW44" i="37"/>
  <c r="AW38" i="37"/>
  <c r="AW31" i="37"/>
  <c r="AW10" i="37"/>
  <c r="BB11" i="37"/>
  <c r="AW35" i="37"/>
  <c r="BL29" i="37"/>
  <c r="BL24" i="37"/>
  <c r="BB59" i="37"/>
  <c r="BB43" i="37"/>
  <c r="BG56" i="37"/>
  <c r="AW36" i="37"/>
  <c r="BG49" i="37"/>
  <c r="BB62" i="37"/>
  <c r="O53" i="37"/>
  <c r="BL56" i="37"/>
  <c r="BG11" i="37"/>
  <c r="BL21" i="37"/>
  <c r="BB18" i="37"/>
  <c r="AW19" i="37"/>
  <c r="AW25" i="37"/>
  <c r="BB30" i="37"/>
  <c r="BB41" i="37"/>
  <c r="BG40" i="37"/>
  <c r="BL49" i="37"/>
  <c r="BB60" i="37"/>
  <c r="BG54" i="37"/>
  <c r="BL48" i="37"/>
  <c r="BL41" i="37"/>
  <c r="BB61" i="37"/>
  <c r="BG52" i="37"/>
  <c r="BB40" i="37"/>
  <c r="BL54" i="37"/>
  <c r="BB39" i="37"/>
  <c r="BG50" i="37"/>
  <c r="BL40" i="37"/>
  <c r="AW5" i="37"/>
  <c r="BL10" i="37"/>
  <c r="AW11" i="37"/>
  <c r="BG13" i="37"/>
  <c r="BL22" i="37"/>
  <c r="AW20" i="37"/>
  <c r="BB5" i="37"/>
  <c r="BL19" i="37"/>
  <c r="BG7" i="37"/>
  <c r="AW26" i="37"/>
  <c r="BB36" i="37"/>
  <c r="BB20" i="37"/>
  <c r="BL31" i="37"/>
  <c r="BL33" i="37"/>
  <c r="AW46" i="37"/>
  <c r="BL25" i="37"/>
  <c r="BB19" i="37"/>
  <c r="BG42" i="37"/>
  <c r="BB28" i="37"/>
  <c r="BB58" i="37"/>
  <c r="BG48" i="37"/>
  <c r="BL42" i="37"/>
  <c r="O54" i="37"/>
  <c r="BB53" i="37"/>
  <c r="BB13" i="37"/>
  <c r="AW21" i="37"/>
  <c r="AW14" i="37"/>
  <c r="BB38" i="37"/>
  <c r="BB34" i="37"/>
  <c r="BL34" i="37"/>
  <c r="BG34" i="37"/>
  <c r="BG55" i="37"/>
  <c r="BB14" i="37"/>
  <c r="BL12" i="37"/>
  <c r="BG21" i="37"/>
  <c r="BG36" i="37"/>
  <c r="BL36" i="37"/>
  <c r="BL16" i="37"/>
  <c r="BG32" i="37"/>
  <c r="BL23" i="37"/>
  <c r="BB25" i="37"/>
  <c r="BG46" i="37"/>
  <c r="BL45" i="37"/>
  <c r="BB37" i="37"/>
  <c r="AW7" i="37"/>
  <c r="AW22" i="37"/>
  <c r="AW29" i="37"/>
  <c r="BB56" i="37"/>
  <c r="BB21" i="37"/>
  <c r="AW12" i="37"/>
  <c r="BB46" i="37"/>
  <c r="O55" i="37"/>
  <c r="BB4" i="37"/>
  <c r="BG15" i="37"/>
  <c r="AW23" i="37"/>
  <c r="BL14" i="37"/>
  <c r="BG24" i="37"/>
  <c r="AW39" i="37"/>
  <c r="BG29" i="37"/>
  <c r="BB57" i="37"/>
  <c r="BL39" i="37"/>
  <c r="BG8" i="37"/>
  <c r="AW47" i="37"/>
  <c r="BL50" i="37"/>
  <c r="BL51" i="37"/>
  <c r="AW17" i="37"/>
  <c r="BB49" i="37"/>
  <c r="BB23" i="37"/>
  <c r="BG5" i="37"/>
  <c r="BG19" i="37"/>
  <c r="BG25" i="37"/>
  <c r="AW59" i="37"/>
  <c r="BG12" i="37"/>
  <c r="AW48" i="37"/>
  <c r="BL7" i="37"/>
  <c r="BB33" i="37"/>
  <c r="AW52" i="37"/>
  <c r="BL11" i="37"/>
  <c r="BG6" i="37"/>
  <c r="BG10" i="37"/>
  <c r="AW27" i="37"/>
  <c r="BG26" i="37"/>
  <c r="BB48" i="37"/>
  <c r="BB24" i="37"/>
  <c r="BB54" i="37"/>
  <c r="AW28" i="37"/>
  <c r="BB12" i="37"/>
  <c r="BG31" i="37"/>
  <c r="BL46" i="37"/>
  <c r="AW58" i="37"/>
  <c r="BG47" i="37"/>
  <c r="AW4" i="37"/>
  <c r="BL5" i="37"/>
  <c r="BB6" i="37"/>
  <c r="AW30" i="37"/>
  <c r="BB22" i="37"/>
  <c r="BL26" i="37"/>
  <c r="BB26" i="37"/>
  <c r="BB55" i="37"/>
  <c r="BL27" i="37"/>
  <c r="BJ38" i="37"/>
  <c r="BJ46" i="37"/>
  <c r="AU52" i="37"/>
  <c r="BE54" i="37"/>
  <c r="BE55" i="37"/>
  <c r="BE56" i="37"/>
  <c r="BE57" i="37"/>
  <c r="BE58" i="37"/>
  <c r="BE59" i="37"/>
  <c r="AU60" i="37"/>
  <c r="AU61" i="37"/>
  <c r="AU62" i="37"/>
  <c r="AU63" i="37"/>
  <c r="AU64" i="37"/>
  <c r="AU65" i="37"/>
  <c r="BJ68" i="37"/>
  <c r="BJ69" i="37"/>
  <c r="BE72" i="37"/>
  <c r="BE73" i="37"/>
  <c r="AZ76" i="37"/>
  <c r="AU81" i="37"/>
  <c r="BJ83" i="37"/>
  <c r="BJ84" i="37"/>
  <c r="BE86" i="37"/>
  <c r="BE87" i="37"/>
  <c r="BE49" i="37"/>
  <c r="AZ52" i="37"/>
  <c r="BE53" i="37"/>
  <c r="AU66" i="37"/>
  <c r="AU67" i="37"/>
  <c r="BJ70" i="37"/>
  <c r="BJ71" i="37"/>
  <c r="BE74" i="37"/>
  <c r="BE75" i="37"/>
  <c r="AZ77" i="37"/>
  <c r="AZ78" i="37"/>
  <c r="AZ79" i="37"/>
  <c r="AZ80" i="37"/>
  <c r="AU82" i="37"/>
  <c r="AU83" i="37"/>
  <c r="BJ85" i="37"/>
  <c r="BJ53" i="37"/>
  <c r="BJ54" i="37"/>
  <c r="BJ55" i="37"/>
  <c r="BJ56" i="37"/>
  <c r="BJ57" i="37"/>
  <c r="BJ58" i="37"/>
  <c r="BJ59" i="37"/>
  <c r="AZ60" i="37"/>
  <c r="AZ61" i="37"/>
  <c r="AZ62" i="37"/>
  <c r="AZ63" i="37"/>
  <c r="AZ64" i="37"/>
  <c r="AZ65" i="37"/>
  <c r="AU68" i="37"/>
  <c r="AU69" i="37"/>
  <c r="BJ72" i="37"/>
  <c r="BJ73" i="37"/>
  <c r="BE76" i="37"/>
  <c r="AZ81" i="37"/>
  <c r="AU84" i="37"/>
  <c r="BJ86" i="37"/>
  <c r="BJ87" i="37"/>
  <c r="BE91" i="37"/>
  <c r="AU92" i="37"/>
  <c r="BJ94" i="37"/>
  <c r="BE96" i="37"/>
  <c r="AZ98" i="37"/>
  <c r="AU100" i="37"/>
  <c r="BJ104" i="37"/>
  <c r="BE105" i="37"/>
  <c r="AZ106" i="37"/>
  <c r="AZ107" i="37"/>
  <c r="BJ109" i="37"/>
  <c r="AZ110" i="37"/>
  <c r="AU111" i="37"/>
  <c r="BJ112" i="37"/>
  <c r="BE113" i="37"/>
  <c r="AZ114" i="37"/>
  <c r="AZ118" i="37"/>
  <c r="AU119" i="37"/>
  <c r="BE121" i="37"/>
  <c r="AU122" i="37"/>
  <c r="AZ50" i="37"/>
  <c r="BE52" i="37"/>
  <c r="AZ66" i="37"/>
  <c r="AZ67" i="37"/>
  <c r="AU70" i="37"/>
  <c r="AU71" i="37"/>
  <c r="BJ74" i="37"/>
  <c r="BJ75" i="37"/>
  <c r="BE77" i="37"/>
  <c r="BE78" i="37"/>
  <c r="BE79" i="37"/>
  <c r="AZ82" i="37"/>
  <c r="AZ83" i="37"/>
  <c r="AU85" i="37"/>
  <c r="AU86" i="37"/>
  <c r="BJ88" i="37"/>
  <c r="BJ89" i="37"/>
  <c r="BJ90" i="37"/>
  <c r="AU93" i="37"/>
  <c r="AU94" i="37"/>
  <c r="BJ95" i="37"/>
  <c r="BE97" i="37"/>
  <c r="AZ99" i="37"/>
  <c r="AZ101" i="37"/>
  <c r="AZ102" i="37"/>
  <c r="AU103" i="37"/>
  <c r="AU104" i="37"/>
  <c r="AZ108" i="37"/>
  <c r="AU109" i="37"/>
  <c r="AU112" i="37"/>
  <c r="AZ115" i="37"/>
  <c r="AU116" i="37"/>
  <c r="BJ117" i="37"/>
  <c r="BJ120" i="37"/>
  <c r="BE50" i="37"/>
  <c r="AU54" i="37"/>
  <c r="AU55" i="37"/>
  <c r="AU56" i="37"/>
  <c r="AU57" i="37"/>
  <c r="AU58" i="37"/>
  <c r="AU59" i="37"/>
  <c r="BE60" i="37"/>
  <c r="BE61" i="37"/>
  <c r="BE62" i="37"/>
  <c r="BE63" i="37"/>
  <c r="BE64" i="37"/>
  <c r="BE65" i="37"/>
  <c r="AZ68" i="37"/>
  <c r="AZ69" i="37"/>
  <c r="AU72" i="37"/>
  <c r="AU73" i="37"/>
  <c r="BJ76" i="37"/>
  <c r="BE80" i="37"/>
  <c r="BE81" i="37"/>
  <c r="AZ84" i="37"/>
  <c r="AU87" i="37"/>
  <c r="AU88" i="37"/>
  <c r="BJ91" i="37"/>
  <c r="AZ92" i="37"/>
  <c r="AU95" i="37"/>
  <c r="AZ100" i="37"/>
  <c r="BJ105" i="37"/>
  <c r="BE106" i="37"/>
  <c r="BE107" i="37"/>
  <c r="BE110" i="37"/>
  <c r="AZ111" i="37"/>
  <c r="BJ113" i="37"/>
  <c r="BE114" i="37"/>
  <c r="AU117" i="37"/>
  <c r="BE118" i="37"/>
  <c r="AZ119" i="37"/>
  <c r="AU120" i="37"/>
  <c r="BJ121" i="37"/>
  <c r="AZ122" i="37"/>
  <c r="AU123" i="37"/>
  <c r="BE48" i="37"/>
  <c r="AU51" i="37"/>
  <c r="AU53" i="37"/>
  <c r="BE66" i="37"/>
  <c r="BE67" i="37"/>
  <c r="AZ70" i="37"/>
  <c r="AZ71" i="37"/>
  <c r="AU74" i="37"/>
  <c r="AU75" i="37"/>
  <c r="BJ77" i="37"/>
  <c r="BJ78" i="37"/>
  <c r="BJ79" i="37"/>
  <c r="BE82" i="37"/>
  <c r="BE83" i="37"/>
  <c r="AZ85" i="37"/>
  <c r="AU89" i="37"/>
  <c r="AU90" i="37"/>
  <c r="AU91" i="37"/>
  <c r="AZ93" i="37"/>
  <c r="BJ96" i="37"/>
  <c r="BJ97" i="37"/>
  <c r="BE98" i="37"/>
  <c r="BE99" i="37"/>
  <c r="BE101" i="37"/>
  <c r="BE102" i="37"/>
  <c r="AZ103" i="37"/>
  <c r="AZ104" i="37"/>
  <c r="AU105" i="37"/>
  <c r="BE108" i="37"/>
  <c r="AZ116" i="37"/>
  <c r="BJ43" i="37"/>
  <c r="AU49" i="37"/>
  <c r="AZ51" i="37"/>
  <c r="AZ54" i="37"/>
  <c r="AZ55" i="37"/>
  <c r="AZ56" i="37"/>
  <c r="AZ57" i="37"/>
  <c r="AZ58" i="37"/>
  <c r="AZ59" i="37"/>
  <c r="BJ60" i="37"/>
  <c r="BJ61" i="37"/>
  <c r="BJ62" i="37"/>
  <c r="BJ63" i="37"/>
  <c r="BJ64" i="37"/>
  <c r="BJ65" i="37"/>
  <c r="BE68" i="37"/>
  <c r="BE69" i="37"/>
  <c r="AZ72" i="37"/>
  <c r="AZ73" i="37"/>
  <c r="AU76" i="37"/>
  <c r="AU77" i="37"/>
  <c r="BJ80" i="37"/>
  <c r="BE84" i="37"/>
  <c r="AZ86" i="37"/>
  <c r="AZ87" i="37"/>
  <c r="BE92" i="37"/>
  <c r="AZ94" i="37"/>
  <c r="AZ95" i="37"/>
  <c r="AU96" i="37"/>
  <c r="BE100" i="37"/>
  <c r="BJ106" i="37"/>
  <c r="BJ107" i="37"/>
  <c r="AZ109" i="37"/>
  <c r="BE111" i="37"/>
  <c r="AZ112" i="37"/>
  <c r="AU113" i="37"/>
  <c r="BJ114" i="37"/>
  <c r="BE115" i="37"/>
  <c r="AZ117" i="37"/>
  <c r="BE119" i="37"/>
  <c r="AU121" i="37"/>
  <c r="BE122" i="37"/>
  <c r="AZ123" i="37"/>
  <c r="BE71" i="37"/>
  <c r="AU79" i="37"/>
  <c r="AZ90" i="37"/>
  <c r="BE94" i="37"/>
  <c r="AU97" i="37"/>
  <c r="AU99" i="37"/>
  <c r="AU101" i="37"/>
  <c r="BE103" i="37"/>
  <c r="AU114" i="37"/>
  <c r="BE116" i="37"/>
  <c r="BJ125" i="37"/>
  <c r="BE126" i="37"/>
  <c r="AZ128" i="37"/>
  <c r="BE130" i="37"/>
  <c r="AZ131" i="37"/>
  <c r="AZ133" i="37"/>
  <c r="AU134" i="37"/>
  <c r="AZ136" i="37"/>
  <c r="BJ137" i="37"/>
  <c r="AZ138" i="37"/>
  <c r="BJ139" i="37"/>
  <c r="BE140" i="37"/>
  <c r="AU141" i="37"/>
  <c r="BJ93" i="37"/>
  <c r="BJ123" i="37"/>
  <c r="AZ130" i="37"/>
  <c r="BE137" i="37"/>
  <c r="BE85" i="37"/>
  <c r="BE142" i="37"/>
  <c r="BJ145" i="37"/>
  <c r="AU80" i="37"/>
  <c r="AU108" i="37"/>
  <c r="AU110" i="37"/>
  <c r="BJ118" i="37"/>
  <c r="BE120" i="37"/>
  <c r="BJ122" i="37"/>
  <c r="AU124" i="37"/>
  <c r="BJ127" i="37"/>
  <c r="BJ129" i="37"/>
  <c r="BJ132" i="37"/>
  <c r="BJ135" i="37"/>
  <c r="AU139" i="37"/>
  <c r="BJ142" i="37"/>
  <c r="AZ143" i="37"/>
  <c r="BJ144" i="37"/>
  <c r="AU145" i="37"/>
  <c r="BE146" i="37"/>
  <c r="AZ140" i="37"/>
  <c r="BE127" i="37"/>
  <c r="BE132" i="37"/>
  <c r="AU143" i="37"/>
  <c r="AZ88" i="37"/>
  <c r="BE90" i="37"/>
  <c r="BJ92" i="37"/>
  <c r="AZ97" i="37"/>
  <c r="BJ99" i="37"/>
  <c r="BJ101" i="37"/>
  <c r="BJ103" i="37"/>
  <c r="AU106" i="37"/>
  <c r="BE112" i="37"/>
  <c r="BJ116" i="37"/>
  <c r="AU125" i="37"/>
  <c r="AU127" i="37"/>
  <c r="BJ130" i="37"/>
  <c r="AU132" i="37"/>
  <c r="BE133" i="37"/>
  <c r="AZ134" i="37"/>
  <c r="AU135" i="37"/>
  <c r="BE136" i="37"/>
  <c r="AU137" i="37"/>
  <c r="BE138" i="37"/>
  <c r="AZ141" i="37"/>
  <c r="AU144" i="37"/>
  <c r="AZ96" i="37"/>
  <c r="BJ115" i="37"/>
  <c r="BE125" i="37"/>
  <c r="AU131" i="37"/>
  <c r="AU136" i="37"/>
  <c r="AU138" i="37"/>
  <c r="BJ141" i="37"/>
  <c r="AU78" i="37"/>
  <c r="BE89" i="37"/>
  <c r="AZ105" i="37"/>
  <c r="AU118" i="37"/>
  <c r="BJ124" i="37"/>
  <c r="BE135" i="37"/>
  <c r="AZ146" i="37"/>
  <c r="AZ49" i="37"/>
  <c r="BJ66" i="37"/>
  <c r="AZ74" i="37"/>
  <c r="BJ81" i="37"/>
  <c r="AZ91" i="37"/>
  <c r="BE104" i="37"/>
  <c r="BJ108" i="37"/>
  <c r="BJ110" i="37"/>
  <c r="AZ121" i="37"/>
  <c r="AZ124" i="37"/>
  <c r="BJ126" i="37"/>
  <c r="BE128" i="37"/>
  <c r="AU129" i="37"/>
  <c r="BE131" i="37"/>
  <c r="AZ139" i="37"/>
  <c r="BJ140" i="37"/>
  <c r="AU142" i="37"/>
  <c r="AZ145" i="37"/>
  <c r="BJ146" i="37"/>
  <c r="AZ126" i="37"/>
  <c r="AU133" i="37"/>
  <c r="BJ111" i="37"/>
  <c r="BE51" i="37"/>
  <c r="BJ67" i="37"/>
  <c r="AZ75" i="37"/>
  <c r="BJ82" i="37"/>
  <c r="BE88" i="37"/>
  <c r="BE93" i="37"/>
  <c r="BE95" i="37"/>
  <c r="AU98" i="37"/>
  <c r="AU102" i="37"/>
  <c r="AU115" i="37"/>
  <c r="BE117" i="37"/>
  <c r="BE123" i="37"/>
  <c r="AZ125" i="37"/>
  <c r="AU126" i="37"/>
  <c r="AZ127" i="37"/>
  <c r="AU130" i="37"/>
  <c r="AZ132" i="37"/>
  <c r="BJ133" i="37"/>
  <c r="BE134" i="37"/>
  <c r="AZ135" i="37"/>
  <c r="BJ136" i="37"/>
  <c r="AZ137" i="37"/>
  <c r="BJ138" i="37"/>
  <c r="AU140" i="37"/>
  <c r="BE141" i="37"/>
  <c r="BE143" i="37"/>
  <c r="AZ144" i="37"/>
  <c r="BJ134" i="37"/>
  <c r="BJ143" i="37"/>
  <c r="AZ53" i="37"/>
  <c r="AZ89" i="37"/>
  <c r="BJ100" i="37"/>
  <c r="BJ102" i="37"/>
  <c r="AU107" i="37"/>
  <c r="AZ113" i="37"/>
  <c r="BJ119" i="37"/>
  <c r="BE124" i="37"/>
  <c r="BJ128" i="37"/>
  <c r="AZ129" i="37"/>
  <c r="BJ131" i="37"/>
  <c r="BE139" i="37"/>
  <c r="AZ142" i="37"/>
  <c r="BE145" i="37"/>
  <c r="AU146" i="37"/>
  <c r="BJ98" i="37"/>
  <c r="BE109" i="37"/>
  <c r="AU128" i="37"/>
  <c r="BE70" i="37"/>
  <c r="AZ120" i="37"/>
  <c r="BE129" i="37"/>
  <c r="BE144" i="37"/>
  <c r="AZ47" i="37"/>
  <c r="AU48" i="37"/>
  <c r="BJ47" i="37"/>
  <c r="AZ44" i="37"/>
  <c r="AU47" i="37"/>
  <c r="AZ46" i="37"/>
  <c r="AU46" i="37"/>
  <c r="AU45" i="37"/>
  <c r="BJ39" i="37"/>
  <c r="AU44" i="37"/>
  <c r="AZ43" i="37"/>
  <c r="AZ41" i="37"/>
  <c r="BJ44" i="37"/>
  <c r="AZ40" i="37"/>
  <c r="AZ48" i="37"/>
  <c r="AU38" i="37"/>
  <c r="BJ42" i="37"/>
  <c r="AU50" i="37"/>
  <c r="BJ4" i="37"/>
  <c r="BE9" i="37"/>
  <c r="BJ5" i="37"/>
  <c r="AZ16" i="37"/>
  <c r="AZ19" i="37"/>
  <c r="BE23" i="37"/>
  <c r="AZ13" i="37"/>
  <c r="AU8" i="37"/>
  <c r="BE19" i="37"/>
  <c r="BE27" i="37"/>
  <c r="BJ37" i="37"/>
  <c r="AZ24" i="37"/>
  <c r="AZ34" i="37"/>
  <c r="AU26" i="37"/>
  <c r="AU40" i="37"/>
  <c r="BE29" i="37"/>
  <c r="BE46" i="37"/>
  <c r="AU32" i="37"/>
  <c r="AU37" i="37"/>
  <c r="BE41" i="37"/>
  <c r="AU4" i="37"/>
  <c r="BE10" i="37"/>
  <c r="BJ7" i="37"/>
  <c r="AU17" i="37"/>
  <c r="AZ4" i="37"/>
  <c r="BJ6" i="37"/>
  <c r="AU14" i="37"/>
  <c r="AU10" i="37"/>
  <c r="AU7" i="37"/>
  <c r="BE28" i="37"/>
  <c r="BJ19" i="37"/>
  <c r="AZ25" i="37"/>
  <c r="AZ35" i="37"/>
  <c r="AU27" i="37"/>
  <c r="AU42" i="37"/>
  <c r="BJ35" i="37"/>
  <c r="BE47" i="37"/>
  <c r="BJ41" i="37"/>
  <c r="AU41" i="37"/>
  <c r="BE43" i="37"/>
  <c r="AZ5" i="37"/>
  <c r="BE11" i="37"/>
  <c r="AZ8" i="37"/>
  <c r="AU20" i="37"/>
  <c r="AU6" i="37"/>
  <c r="BE12" i="37"/>
  <c r="AZ15" i="37"/>
  <c r="BJ17" i="37"/>
  <c r="BE13" i="37"/>
  <c r="BE30" i="37"/>
  <c r="AU22" i="37"/>
  <c r="AZ26" i="37"/>
  <c r="BJ21" i="37"/>
  <c r="O29" i="37"/>
  <c r="AU28" i="37"/>
  <c r="BE38" i="37"/>
  <c r="BJ48" i="37"/>
  <c r="O31" i="37"/>
  <c r="AU43" i="37"/>
  <c r="AZ29" i="37"/>
  <c r="AZ7" i="37"/>
  <c r="BJ12" i="37"/>
  <c r="AZ10" i="37"/>
  <c r="AU5" i="37"/>
  <c r="BJ9" i="37"/>
  <c r="BE14" i="37"/>
  <c r="AU16" i="37"/>
  <c r="BE18" i="37"/>
  <c r="BE15" i="37"/>
  <c r="BE32" i="37"/>
  <c r="AU23" i="37"/>
  <c r="AZ27" i="37"/>
  <c r="AZ22" i="37"/>
  <c r="AZ31" i="37"/>
  <c r="BE39" i="37"/>
  <c r="BJ49" i="37"/>
  <c r="AU31" i="37"/>
  <c r="BJ23" i="37"/>
  <c r="BE4" i="37"/>
  <c r="BJ14" i="37"/>
  <c r="AU13" i="37"/>
  <c r="AU11" i="37"/>
  <c r="BE20" i="37"/>
  <c r="AZ9" i="37"/>
  <c r="AU18" i="37"/>
  <c r="AZ21" i="37"/>
  <c r="BE24" i="37"/>
  <c r="BE34" i="37"/>
  <c r="AU21" i="37"/>
  <c r="AZ30" i="37"/>
  <c r="AZ23" i="37"/>
  <c r="BJ33" i="37"/>
  <c r="BJ25" i="37"/>
  <c r="BE42" i="37"/>
  <c r="BJ51" i="37"/>
  <c r="O32" i="37"/>
  <c r="BE5" i="37"/>
  <c r="BE6" i="37"/>
  <c r="BJ15" i="37"/>
  <c r="AZ14" i="37"/>
  <c r="AZ18" i="37"/>
  <c r="BE21" i="37"/>
  <c r="AZ11" i="37"/>
  <c r="AU19" i="37"/>
  <c r="BJ8" i="37"/>
  <c r="BE25" i="37"/>
  <c r="BE35" i="37"/>
  <c r="AU29" i="37"/>
  <c r="BE7" i="37"/>
  <c r="BJ18" i="37"/>
  <c r="BJ10" i="37"/>
  <c r="AZ32" i="37"/>
  <c r="BJ24" i="37"/>
  <c r="BJ28" i="37"/>
  <c r="BJ32" i="37"/>
  <c r="BE17" i="37"/>
  <c r="BJ11" i="37"/>
  <c r="BJ20" i="37"/>
  <c r="AZ33" i="37"/>
  <c r="BJ26" i="37"/>
  <c r="BE31" i="37"/>
  <c r="BJ30" i="37"/>
  <c r="BE8" i="37"/>
  <c r="BE22" i="37"/>
  <c r="BE26" i="37"/>
  <c r="BJ22" i="37"/>
  <c r="BJ27" i="37"/>
  <c r="AU33" i="37"/>
  <c r="AZ42" i="37"/>
  <c r="BJ13" i="37"/>
  <c r="BE16" i="37"/>
  <c r="BE33" i="37"/>
  <c r="AU24" i="37"/>
  <c r="BE40" i="37"/>
  <c r="AZ36" i="37"/>
  <c r="BJ31" i="37"/>
  <c r="BJ16" i="37"/>
  <c r="AU12" i="37"/>
  <c r="BJ36" i="37"/>
  <c r="AU25" i="37"/>
  <c r="BE44" i="37"/>
  <c r="AU30" i="37"/>
  <c r="AZ12" i="37"/>
  <c r="AZ17" i="37"/>
  <c r="BJ29" i="37"/>
  <c r="BE45" i="37"/>
  <c r="AU35" i="37"/>
  <c r="BE37" i="37"/>
  <c r="AU39" i="37"/>
  <c r="AU34" i="37"/>
  <c r="AZ37" i="37"/>
  <c r="BJ40" i="37"/>
  <c r="O30" i="37"/>
  <c r="AU15" i="37"/>
  <c r="BJ50" i="37"/>
  <c r="BJ34" i="37"/>
  <c r="AU9" i="37"/>
  <c r="BJ52" i="37"/>
  <c r="AZ6" i="37"/>
  <c r="AZ38" i="37"/>
  <c r="AU36" i="37"/>
  <c r="AZ45" i="37"/>
  <c r="BE36" i="37"/>
  <c r="AZ20" i="37"/>
  <c r="BJ45" i="37"/>
  <c r="AZ28" i="37"/>
  <c r="AZ39" i="37"/>
  <c r="AF101" i="37"/>
  <c r="BV118" i="37"/>
  <c r="BV122" i="37"/>
  <c r="BV143" i="37"/>
  <c r="BV133" i="37"/>
  <c r="CC113" i="37"/>
  <c r="CC129" i="37"/>
  <c r="CC139" i="37"/>
  <c r="CC142" i="37"/>
  <c r="CC135" i="37"/>
  <c r="CC146" i="37"/>
  <c r="BV141" i="37"/>
  <c r="CC145" i="37"/>
  <c r="BV134" i="37"/>
  <c r="BV119" i="37"/>
  <c r="CC99" i="37"/>
  <c r="CC46" i="37"/>
  <c r="BV127" i="37"/>
  <c r="BV146" i="37"/>
  <c r="CC128" i="37"/>
  <c r="BV100" i="37"/>
  <c r="CC117" i="37"/>
  <c r="BV138" i="37"/>
  <c r="CC111" i="37"/>
  <c r="CC106" i="37"/>
  <c r="CC133" i="37"/>
  <c r="CC141" i="37"/>
  <c r="CC114" i="37"/>
  <c r="BV140" i="37"/>
  <c r="BV121" i="37"/>
  <c r="BV142" i="37"/>
  <c r="BV98" i="37"/>
  <c r="BV51" i="37"/>
  <c r="CC137" i="37"/>
  <c r="BV126" i="37"/>
  <c r="BV114" i="37"/>
  <c r="BV116" i="37"/>
  <c r="CC130" i="37"/>
  <c r="BV131" i="37"/>
  <c r="BV115" i="37"/>
  <c r="CC123" i="37"/>
  <c r="BV124" i="37"/>
  <c r="CC88" i="37"/>
  <c r="BV136" i="37"/>
  <c r="CC143" i="37"/>
  <c r="BV129" i="37"/>
  <c r="BV144" i="37"/>
  <c r="CC110" i="37"/>
  <c r="CC134" i="37"/>
  <c r="CC138" i="37"/>
  <c r="BV94" i="37"/>
  <c r="CC132" i="37"/>
  <c r="BV112" i="37"/>
  <c r="CC127" i="37"/>
  <c r="BV111" i="37"/>
  <c r="CC116" i="37"/>
  <c r="BV135" i="37"/>
  <c r="CC136" i="37"/>
  <c r="BV120" i="37"/>
  <c r="CC120" i="37"/>
  <c r="BV139" i="37"/>
  <c r="CC126" i="37"/>
  <c r="CC140" i="37"/>
  <c r="BV123" i="37"/>
  <c r="CC125" i="37"/>
  <c r="BV130" i="37"/>
  <c r="BV117" i="37"/>
  <c r="CC119" i="37"/>
  <c r="CC80" i="37"/>
  <c r="CC102" i="37"/>
  <c r="CC131" i="37"/>
  <c r="CC5" i="37"/>
  <c r="BV5" i="37"/>
  <c r="CC13" i="37"/>
  <c r="CC12" i="37"/>
  <c r="BV20" i="37"/>
  <c r="CC33" i="37"/>
  <c r="BV43" i="37"/>
  <c r="BV28" i="37"/>
  <c r="BV44" i="37"/>
  <c r="CC60" i="37"/>
  <c r="CC55" i="37"/>
  <c r="CC49" i="37"/>
  <c r="BV33" i="37"/>
  <c r="CC97" i="37"/>
  <c r="CC85" i="37"/>
  <c r="CC79" i="37"/>
  <c r="BV91" i="37"/>
  <c r="CC72" i="37"/>
  <c r="BV69" i="37"/>
  <c r="BV56" i="37"/>
  <c r="CC56" i="37"/>
  <c r="BV145" i="37"/>
  <c r="CC122" i="37"/>
  <c r="CC118" i="37"/>
  <c r="CC115" i="37"/>
  <c r="CC7" i="37"/>
  <c r="BV7" i="37"/>
  <c r="CC15" i="37"/>
  <c r="CC14" i="37"/>
  <c r="CC24" i="37"/>
  <c r="CC34" i="37"/>
  <c r="BV36" i="37"/>
  <c r="CC29" i="37"/>
  <c r="BV45" i="37"/>
  <c r="CC61" i="37"/>
  <c r="BV60" i="37"/>
  <c r="O106" i="37"/>
  <c r="BV4" i="37"/>
  <c r="BV12" i="37"/>
  <c r="CC17" i="37"/>
  <c r="BV17" i="37"/>
  <c r="CC16" i="37"/>
  <c r="CC25" i="37"/>
  <c r="CC21" i="37"/>
  <c r="BV24" i="37"/>
  <c r="BV34" i="37"/>
  <c r="BV46" i="37"/>
  <c r="CC62" i="37"/>
  <c r="BV61" i="37"/>
  <c r="BV55" i="37"/>
  <c r="CC43" i="37"/>
  <c r="BV110" i="37"/>
  <c r="CC144" i="37"/>
  <c r="BV113" i="37"/>
  <c r="BV6" i="37"/>
  <c r="BV13" i="37"/>
  <c r="CC19" i="37"/>
  <c r="CC6" i="37"/>
  <c r="BV29" i="37"/>
  <c r="CC26" i="37"/>
  <c r="CC22" i="37"/>
  <c r="BV25" i="37"/>
  <c r="CC37" i="37"/>
  <c r="BV47" i="37"/>
  <c r="BV35" i="37"/>
  <c r="BV62" i="37"/>
  <c r="CC35" i="37"/>
  <c r="BV49" i="37"/>
  <c r="BV103" i="37"/>
  <c r="CC89" i="37"/>
  <c r="BV85" i="37"/>
  <c r="CC66" i="37"/>
  <c r="BV58" i="37"/>
  <c r="BV73" i="37"/>
  <c r="CC75" i="37"/>
  <c r="CC124" i="37"/>
  <c r="BV125" i="37"/>
  <c r="BV93" i="37"/>
  <c r="BV9" i="37"/>
  <c r="BV15" i="37"/>
  <c r="CC4" i="37"/>
  <c r="CC18" i="37"/>
  <c r="BV21" i="37"/>
  <c r="CC28" i="37"/>
  <c r="BV37" i="37"/>
  <c r="BV27" i="37"/>
  <c r="BV39" i="37"/>
  <c r="BV48" i="37"/>
  <c r="BV50" i="37"/>
  <c r="BV64" i="37"/>
  <c r="CC42" i="37"/>
  <c r="BV54" i="37"/>
  <c r="BV57" i="37"/>
  <c r="CC91" i="37"/>
  <c r="BV87" i="37"/>
  <c r="CC68" i="37"/>
  <c r="BV66" i="37"/>
  <c r="CC93" i="37"/>
  <c r="CC77" i="37"/>
  <c r="BV132" i="37"/>
  <c r="CC9" i="37"/>
  <c r="CC27" i="37"/>
  <c r="BV32" i="37"/>
  <c r="CC52" i="37"/>
  <c r="BV52" i="37"/>
  <c r="CC83" i="37"/>
  <c r="BV84" i="37"/>
  <c r="CC71" i="37"/>
  <c r="CC92" i="37"/>
  <c r="BV59" i="37"/>
  <c r="BV81" i="37"/>
  <c r="CC100" i="37"/>
  <c r="BV108" i="37"/>
  <c r="CC104" i="37"/>
  <c r="CC101" i="37"/>
  <c r="CC81" i="37"/>
  <c r="BV137" i="37"/>
  <c r="BV8" i="37"/>
  <c r="CC11" i="37"/>
  <c r="CC30" i="37"/>
  <c r="BV38" i="37"/>
  <c r="CC53" i="37"/>
  <c r="CC40" i="37"/>
  <c r="CC84" i="37"/>
  <c r="BV86" i="37"/>
  <c r="CC73" i="37"/>
  <c r="CC94" i="37"/>
  <c r="CC70" i="37"/>
  <c r="BV82" i="37"/>
  <c r="BV107" i="37"/>
  <c r="CC109" i="37"/>
  <c r="BV10" i="37"/>
  <c r="CC20" i="37"/>
  <c r="CC32" i="37"/>
  <c r="BV40" i="37"/>
  <c r="BV63" i="37"/>
  <c r="CC51" i="37"/>
  <c r="CC86" i="37"/>
  <c r="BV89" i="37"/>
  <c r="BV79" i="37"/>
  <c r="CC95" i="37"/>
  <c r="BV74" i="37"/>
  <c r="CC98" i="37"/>
  <c r="BV105" i="37"/>
  <c r="BV92" i="37"/>
  <c r="CC108" i="37"/>
  <c r="BV128" i="37"/>
  <c r="BV11" i="37"/>
  <c r="CC8" i="37"/>
  <c r="CC23" i="37"/>
  <c r="BV42" i="37"/>
  <c r="CC36" i="37"/>
  <c r="CC59" i="37"/>
  <c r="CC87" i="37"/>
  <c r="BV90" i="37"/>
  <c r="BV65" i="37"/>
  <c r="CC63" i="37"/>
  <c r="BV75" i="37"/>
  <c r="BV96" i="37"/>
  <c r="CC107" i="37"/>
  <c r="O107" i="37"/>
  <c r="BV106" i="37"/>
  <c r="BV14" i="37"/>
  <c r="CC10" i="37"/>
  <c r="BV30" i="37"/>
  <c r="CC47" i="37"/>
  <c r="CC38" i="37"/>
  <c r="BV70" i="37"/>
  <c r="CC90" i="37"/>
  <c r="CC64" i="37"/>
  <c r="BV67" i="37"/>
  <c r="CC74" i="37"/>
  <c r="BV76" i="37"/>
  <c r="CC103" i="37"/>
  <c r="CC96" i="37"/>
  <c r="CC121" i="37"/>
  <c r="BV16" i="37"/>
  <c r="BV31" i="37"/>
  <c r="BV41" i="37"/>
  <c r="CC50" i="37"/>
  <c r="BV53" i="37"/>
  <c r="BV101" i="37"/>
  <c r="BV97" i="37"/>
  <c r="CC65" i="37"/>
  <c r="BV68" i="37"/>
  <c r="CC76" i="37"/>
  <c r="BV77" i="37"/>
  <c r="BV99" i="37"/>
  <c r="CC82" i="37"/>
  <c r="BV95" i="37"/>
  <c r="CC112" i="37"/>
  <c r="BV18" i="37"/>
  <c r="BV22" i="37"/>
  <c r="BV26" i="37"/>
  <c r="CC41" i="37"/>
  <c r="CC39" i="37"/>
  <c r="BV102" i="37"/>
  <c r="CC57" i="37"/>
  <c r="CC67" i="37"/>
  <c r="BV71" i="37"/>
  <c r="CC78" i="37"/>
  <c r="BV78" i="37"/>
  <c r="BV104" i="37"/>
  <c r="CC58" i="37"/>
  <c r="CC105" i="37"/>
  <c r="CC54" i="37"/>
  <c r="BV109" i="37"/>
  <c r="BV83" i="37"/>
  <c r="CC69" i="37"/>
  <c r="BV19" i="37"/>
  <c r="BV72" i="37"/>
  <c r="BV23" i="37"/>
  <c r="CC48" i="37"/>
  <c r="CC31" i="37"/>
  <c r="BV80" i="37"/>
  <c r="BV88" i="37"/>
  <c r="CC44" i="37"/>
  <c r="CC45" i="37"/>
  <c r="AN31" i="37"/>
  <c r="AB30" i="37"/>
  <c r="AB31" i="37"/>
  <c r="AN32" i="37"/>
  <c r="AD32" i="37"/>
  <c r="AL31" i="37"/>
  <c r="AB29" i="37"/>
  <c r="AB32" i="37"/>
  <c r="AL29" i="37"/>
  <c r="AL30" i="37"/>
  <c r="AL32" i="37"/>
  <c r="AD30" i="37"/>
  <c r="AD29" i="37"/>
  <c r="AD31" i="37"/>
  <c r="AN29" i="37"/>
  <c r="AN30" i="37"/>
  <c r="AD43" i="37"/>
  <c r="AL44" i="37"/>
  <c r="AD41" i="37"/>
  <c r="AB42" i="37"/>
  <c r="AD44" i="37"/>
  <c r="AN43" i="37"/>
  <c r="AL41" i="37"/>
  <c r="AB44" i="37"/>
  <c r="AN42" i="37"/>
  <c r="AN44" i="37"/>
  <c r="AB43" i="37"/>
  <c r="AD42" i="37"/>
  <c r="AL42" i="37"/>
  <c r="AB41" i="37"/>
  <c r="AN41" i="37"/>
  <c r="AL43" i="37"/>
  <c r="AD53" i="37"/>
  <c r="AN56" i="37"/>
  <c r="AN54" i="37"/>
  <c r="AB53" i="37"/>
  <c r="AD55" i="37"/>
  <c r="AD56" i="37"/>
  <c r="AL53" i="37"/>
  <c r="AL54" i="37"/>
  <c r="AB54" i="37"/>
  <c r="AB55" i="37"/>
  <c r="AL55" i="37"/>
  <c r="AL56" i="37"/>
  <c r="AN53" i="37"/>
  <c r="AD54" i="37"/>
  <c r="AB56" i="37"/>
  <c r="AN55" i="37"/>
  <c r="BA30" i="37"/>
  <c r="BA49" i="37"/>
  <c r="BA53" i="37"/>
  <c r="BK66" i="37"/>
  <c r="BK67" i="37"/>
  <c r="BF70" i="37"/>
  <c r="BF71" i="37"/>
  <c r="BA74" i="37"/>
  <c r="BA75" i="37"/>
  <c r="AV78" i="37"/>
  <c r="AV79" i="37"/>
  <c r="AV80" i="37"/>
  <c r="BK81" i="37"/>
  <c r="BK82" i="37"/>
  <c r="BF85" i="37"/>
  <c r="BF54" i="37"/>
  <c r="BF55" i="37"/>
  <c r="BF56" i="37"/>
  <c r="BF57" i="37"/>
  <c r="BF58" i="37"/>
  <c r="BF59" i="37"/>
  <c r="AV60" i="37"/>
  <c r="AV61" i="37"/>
  <c r="AV62" i="37"/>
  <c r="AV63" i="37"/>
  <c r="AV64" i="37"/>
  <c r="AV65" i="37"/>
  <c r="BK68" i="37"/>
  <c r="BK69" i="37"/>
  <c r="BF72" i="37"/>
  <c r="BF73" i="37"/>
  <c r="BA76" i="37"/>
  <c r="AV81" i="37"/>
  <c r="BK83" i="37"/>
  <c r="BK84" i="37"/>
  <c r="BF86" i="37"/>
  <c r="BF87" i="37"/>
  <c r="AV50" i="37"/>
  <c r="BA52" i="37"/>
  <c r="AV66" i="37"/>
  <c r="AV67" i="37"/>
  <c r="BK70" i="37"/>
  <c r="BK71" i="37"/>
  <c r="BF74" i="37"/>
  <c r="BF75" i="37"/>
  <c r="BA77" i="37"/>
  <c r="BA78" i="37"/>
  <c r="BA79" i="37"/>
  <c r="BA80" i="37"/>
  <c r="AV82" i="37"/>
  <c r="AV83" i="37"/>
  <c r="BK85" i="37"/>
  <c r="BF88" i="37"/>
  <c r="BF89" i="37"/>
  <c r="BF90" i="37"/>
  <c r="BK93" i="37"/>
  <c r="BF95" i="37"/>
  <c r="BA97" i="37"/>
  <c r="AV99" i="37"/>
  <c r="AV102" i="37"/>
  <c r="BK103" i="37"/>
  <c r="AV108" i="37"/>
  <c r="AV115" i="37"/>
  <c r="BK116" i="37"/>
  <c r="BF120" i="37"/>
  <c r="BK53" i="37"/>
  <c r="BK54" i="37"/>
  <c r="BK55" i="37"/>
  <c r="BK56" i="37"/>
  <c r="BK57" i="37"/>
  <c r="BK58" i="37"/>
  <c r="BK59" i="37"/>
  <c r="BA60" i="37"/>
  <c r="BA61" i="37"/>
  <c r="BA62" i="37"/>
  <c r="BA63" i="37"/>
  <c r="BA64" i="37"/>
  <c r="BA65" i="37"/>
  <c r="AV68" i="37"/>
  <c r="AV69" i="37"/>
  <c r="BK72" i="37"/>
  <c r="BK73" i="37"/>
  <c r="BF76" i="37"/>
  <c r="BA81" i="37"/>
  <c r="AV84" i="37"/>
  <c r="BK86" i="37"/>
  <c r="BK87" i="37"/>
  <c r="BF91" i="37"/>
  <c r="AV92" i="37"/>
  <c r="BK94" i="37"/>
  <c r="BF96" i="37"/>
  <c r="BA98" i="37"/>
  <c r="AV100" i="37"/>
  <c r="BK104" i="37"/>
  <c r="BF105" i="37"/>
  <c r="BA106" i="37"/>
  <c r="BA107" i="37"/>
  <c r="BK109" i="37"/>
  <c r="BA110" i="37"/>
  <c r="AV111" i="37"/>
  <c r="BK112" i="37"/>
  <c r="BF113" i="37"/>
  <c r="BA114" i="37"/>
  <c r="BA118" i="37"/>
  <c r="AV119" i="37"/>
  <c r="BF121" i="37"/>
  <c r="AV122" i="37"/>
  <c r="BK52" i="37"/>
  <c r="BA66" i="37"/>
  <c r="BA67" i="37"/>
  <c r="AV70" i="37"/>
  <c r="AV71" i="37"/>
  <c r="BK74" i="37"/>
  <c r="BK75" i="37"/>
  <c r="BF77" i="37"/>
  <c r="BF78" i="37"/>
  <c r="BF79" i="37"/>
  <c r="BA82" i="37"/>
  <c r="BA83" i="37"/>
  <c r="AV85" i="37"/>
  <c r="AV86" i="37"/>
  <c r="BK88" i="37"/>
  <c r="BK89" i="37"/>
  <c r="BK90" i="37"/>
  <c r="AV93" i="37"/>
  <c r="AV94" i="37"/>
  <c r="BK95" i="37"/>
  <c r="BF97" i="37"/>
  <c r="BA99" i="37"/>
  <c r="BA101" i="37"/>
  <c r="BA102" i="37"/>
  <c r="AV103" i="37"/>
  <c r="AV104" i="37"/>
  <c r="BA108" i="37"/>
  <c r="AV109" i="37"/>
  <c r="AV112" i="37"/>
  <c r="BA115" i="37"/>
  <c r="AV116" i="37"/>
  <c r="BK117" i="37"/>
  <c r="BK120" i="37"/>
  <c r="AV54" i="37"/>
  <c r="AV55" i="37"/>
  <c r="AV56" i="37"/>
  <c r="AV57" i="37"/>
  <c r="AV58" i="37"/>
  <c r="AV59" i="37"/>
  <c r="BF60" i="37"/>
  <c r="BF61" i="37"/>
  <c r="BF62" i="37"/>
  <c r="BF63" i="37"/>
  <c r="BF64" i="37"/>
  <c r="BF65" i="37"/>
  <c r="BA68" i="37"/>
  <c r="BA69" i="37"/>
  <c r="AV72" i="37"/>
  <c r="AV73" i="37"/>
  <c r="BK76" i="37"/>
  <c r="BF80" i="37"/>
  <c r="BF81" i="37"/>
  <c r="BA84" i="37"/>
  <c r="AV87" i="37"/>
  <c r="AV88" i="37"/>
  <c r="BK91" i="37"/>
  <c r="BA92" i="37"/>
  <c r="AV95" i="37"/>
  <c r="BA100" i="37"/>
  <c r="BK105" i="37"/>
  <c r="BF106" i="37"/>
  <c r="BF107" i="37"/>
  <c r="BF110" i="37"/>
  <c r="BA111" i="37"/>
  <c r="BK113" i="37"/>
  <c r="BF114" i="37"/>
  <c r="AV117" i="37"/>
  <c r="BF118" i="37"/>
  <c r="BA119" i="37"/>
  <c r="AV120" i="37"/>
  <c r="BK121" i="37"/>
  <c r="BA122" i="37"/>
  <c r="AV123" i="37"/>
  <c r="AV53" i="37"/>
  <c r="BF66" i="37"/>
  <c r="BF67" i="37"/>
  <c r="BA70" i="37"/>
  <c r="BA71" i="37"/>
  <c r="AV74" i="37"/>
  <c r="AV75" i="37"/>
  <c r="BK77" i="37"/>
  <c r="BK78" i="37"/>
  <c r="BK79" i="37"/>
  <c r="BF82" i="37"/>
  <c r="BF83" i="37"/>
  <c r="BA85" i="37"/>
  <c r="AV89" i="37"/>
  <c r="AV90" i="37"/>
  <c r="AV91" i="37"/>
  <c r="BA93" i="37"/>
  <c r="BK96" i="37"/>
  <c r="BK97" i="37"/>
  <c r="BF98" i="37"/>
  <c r="BF99" i="37"/>
  <c r="BF101" i="37"/>
  <c r="BF102" i="37"/>
  <c r="BA103" i="37"/>
  <c r="BA104" i="37"/>
  <c r="AV105" i="37"/>
  <c r="BF108" i="37"/>
  <c r="BA116" i="37"/>
  <c r="BA56" i="37"/>
  <c r="BK63" i="37"/>
  <c r="BA86" i="37"/>
  <c r="BA105" i="37"/>
  <c r="BK111" i="37"/>
  <c r="AV118" i="37"/>
  <c r="BA120" i="37"/>
  <c r="BF122" i="37"/>
  <c r="BK124" i="37"/>
  <c r="BF127" i="37"/>
  <c r="BF129" i="37"/>
  <c r="BF132" i="37"/>
  <c r="BF135" i="37"/>
  <c r="BF142" i="37"/>
  <c r="AV143" i="37"/>
  <c r="BF144" i="37"/>
  <c r="BK145" i="37"/>
  <c r="BA146" i="37"/>
  <c r="BF69" i="37"/>
  <c r="BA113" i="37"/>
  <c r="BA142" i="37"/>
  <c r="BF145" i="37"/>
  <c r="BK107" i="37"/>
  <c r="BK115" i="37"/>
  <c r="BF125" i="37"/>
  <c r="AV131" i="37"/>
  <c r="AV138" i="37"/>
  <c r="BA57" i="37"/>
  <c r="BK64" i="37"/>
  <c r="BA72" i="37"/>
  <c r="BA87" i="37"/>
  <c r="BA90" i="37"/>
  <c r="BF92" i="37"/>
  <c r="BF94" i="37"/>
  <c r="AV97" i="37"/>
  <c r="AV101" i="37"/>
  <c r="BF103" i="37"/>
  <c r="BA112" i="37"/>
  <c r="AV114" i="37"/>
  <c r="BF116" i="37"/>
  <c r="BK125" i="37"/>
  <c r="BF126" i="37"/>
  <c r="BA128" i="37"/>
  <c r="BF130" i="37"/>
  <c r="BA131" i="37"/>
  <c r="BA133" i="37"/>
  <c r="AV134" i="37"/>
  <c r="BA136" i="37"/>
  <c r="BK137" i="37"/>
  <c r="BA138" i="37"/>
  <c r="BK139" i="37"/>
  <c r="BF140" i="37"/>
  <c r="AV141" i="37"/>
  <c r="BF111" i="37"/>
  <c r="BF124" i="37"/>
  <c r="BK128" i="37"/>
  <c r="BA55" i="37"/>
  <c r="AV136" i="37"/>
  <c r="AV45" i="37"/>
  <c r="BA58" i="37"/>
  <c r="BK65" i="37"/>
  <c r="BA73" i="37"/>
  <c r="BK80" i="37"/>
  <c r="BA95" i="37"/>
  <c r="AV110" i="37"/>
  <c r="BK114" i="37"/>
  <c r="BK118" i="37"/>
  <c r="AV121" i="37"/>
  <c r="BK122" i="37"/>
  <c r="AV124" i="37"/>
  <c r="BK127" i="37"/>
  <c r="BK129" i="37"/>
  <c r="BK132" i="37"/>
  <c r="BK135" i="37"/>
  <c r="AV139" i="37"/>
  <c r="BK142" i="37"/>
  <c r="BA143" i="37"/>
  <c r="BK144" i="37"/>
  <c r="AV145" i="37"/>
  <c r="BF146" i="37"/>
  <c r="BF84" i="37"/>
  <c r="BA94" i="37"/>
  <c r="BA130" i="37"/>
  <c r="AV133" i="37"/>
  <c r="BF137" i="37"/>
  <c r="BK143" i="37"/>
  <c r="BA59" i="37"/>
  <c r="BA88" i="37"/>
  <c r="BK92" i="37"/>
  <c r="BK99" i="37"/>
  <c r="BK101" i="37"/>
  <c r="AV106" i="37"/>
  <c r="BF112" i="37"/>
  <c r="BA117" i="37"/>
  <c r="BA123" i="37"/>
  <c r="AV125" i="37"/>
  <c r="AV127" i="37"/>
  <c r="BK130" i="37"/>
  <c r="AV132" i="37"/>
  <c r="BF133" i="37"/>
  <c r="BA134" i="37"/>
  <c r="AV135" i="37"/>
  <c r="BF136" i="37"/>
  <c r="AV137" i="37"/>
  <c r="BF138" i="37"/>
  <c r="BA141" i="37"/>
  <c r="AV144" i="37"/>
  <c r="BK61" i="37"/>
  <c r="BA89" i="37"/>
  <c r="BK62" i="37"/>
  <c r="BA96" i="37"/>
  <c r="BK123" i="37"/>
  <c r="AV128" i="37"/>
  <c r="BA91" i="37"/>
  <c r="BF100" i="37"/>
  <c r="BF104" i="37"/>
  <c r="BK106" i="37"/>
  <c r="BK108" i="37"/>
  <c r="BK110" i="37"/>
  <c r="AV113" i="37"/>
  <c r="BF119" i="37"/>
  <c r="BA121" i="37"/>
  <c r="BA124" i="37"/>
  <c r="BK126" i="37"/>
  <c r="BF128" i="37"/>
  <c r="AV129" i="37"/>
  <c r="BF131" i="37"/>
  <c r="BA139" i="37"/>
  <c r="BK140" i="37"/>
  <c r="AV142" i="37"/>
  <c r="BA145" i="37"/>
  <c r="BK146" i="37"/>
  <c r="BA54" i="37"/>
  <c r="BK100" i="37"/>
  <c r="AV107" i="37"/>
  <c r="BK119" i="37"/>
  <c r="BA129" i="37"/>
  <c r="BF139" i="37"/>
  <c r="AV146" i="37"/>
  <c r="BK141" i="37"/>
  <c r="BK60" i="37"/>
  <c r="BF68" i="37"/>
  <c r="AV76" i="37"/>
  <c r="BF93" i="37"/>
  <c r="AV96" i="37"/>
  <c r="AV98" i="37"/>
  <c r="BA109" i="37"/>
  <c r="BF115" i="37"/>
  <c r="BF117" i="37"/>
  <c r="BF123" i="37"/>
  <c r="BA125" i="37"/>
  <c r="AV126" i="37"/>
  <c r="BA127" i="37"/>
  <c r="AV130" i="37"/>
  <c r="BA132" i="37"/>
  <c r="BK133" i="37"/>
  <c r="BF134" i="37"/>
  <c r="BA135" i="37"/>
  <c r="BK136" i="37"/>
  <c r="BA137" i="37"/>
  <c r="BK138" i="37"/>
  <c r="AV140" i="37"/>
  <c r="BF141" i="37"/>
  <c r="BF143" i="37"/>
  <c r="BA144" i="37"/>
  <c r="AV77" i="37"/>
  <c r="BK102" i="37"/>
  <c r="BK131" i="37"/>
  <c r="BK98" i="37"/>
  <c r="BF109" i="37"/>
  <c r="BA126" i="37"/>
  <c r="BK134" i="37"/>
  <c r="BA140" i="37"/>
  <c r="BK48" i="37"/>
  <c r="BF46" i="37"/>
  <c r="BK49" i="37"/>
  <c r="AV48" i="37"/>
  <c r="BF49" i="37"/>
  <c r="BK47" i="37"/>
  <c r="AV40" i="37"/>
  <c r="BA32" i="37"/>
  <c r="BF51" i="37"/>
  <c r="AV42" i="37"/>
  <c r="AV39" i="37"/>
  <c r="BK36" i="37"/>
  <c r="BF45" i="37"/>
  <c r="AV51" i="37"/>
  <c r="O44" i="37"/>
  <c r="AV49" i="37"/>
  <c r="BF13" i="37"/>
  <c r="AV9" i="37"/>
  <c r="BA18" i="37"/>
  <c r="AV13" i="37"/>
  <c r="AV5" i="37"/>
  <c r="BF10" i="37"/>
  <c r="AV19" i="37"/>
  <c r="BK8" i="37"/>
  <c r="BA31" i="37"/>
  <c r="BK19" i="37"/>
  <c r="BK27" i="37"/>
  <c r="BK40" i="37"/>
  <c r="AV26" i="37"/>
  <c r="AV38" i="37"/>
  <c r="BF39" i="37"/>
  <c r="AV32" i="37"/>
  <c r="BK23" i="37"/>
  <c r="BA44" i="37"/>
  <c r="BK45" i="37"/>
  <c r="AV35" i="37"/>
  <c r="BF53" i="37"/>
  <c r="BK44" i="37"/>
  <c r="BA36" i="37"/>
  <c r="BK50" i="37"/>
  <c r="AV44" i="37"/>
  <c r="BF43" i="37"/>
  <c r="BA4" i="37"/>
  <c r="BF14" i="37"/>
  <c r="AV10" i="37"/>
  <c r="BA5" i="37"/>
  <c r="AV15" i="37"/>
  <c r="BK13" i="37"/>
  <c r="BK11" i="37"/>
  <c r="BF7" i="37"/>
  <c r="BF9" i="37"/>
  <c r="BA20" i="37"/>
  <c r="BK29" i="37"/>
  <c r="BF19" i="37"/>
  <c r="O41" i="37"/>
  <c r="AV27" i="37"/>
  <c r="BA41" i="37"/>
  <c r="BF40" i="37"/>
  <c r="BF33" i="37"/>
  <c r="AV30" i="37"/>
  <c r="BA45" i="37"/>
  <c r="AV52" i="37"/>
  <c r="BF50" i="37"/>
  <c r="BF34" i="37"/>
  <c r="BA10" i="37"/>
  <c r="AV21" i="37"/>
  <c r="AV16" i="37"/>
  <c r="BA50" i="37"/>
  <c r="BA6" i="37"/>
  <c r="BF15" i="37"/>
  <c r="AV11" i="37"/>
  <c r="BA7" i="37"/>
  <c r="AV17" i="37"/>
  <c r="BK15" i="37"/>
  <c r="BK6" i="37"/>
  <c r="BK12" i="37"/>
  <c r="BK10" i="37"/>
  <c r="BF24" i="37"/>
  <c r="AV29" i="37"/>
  <c r="BK30" i="37"/>
  <c r="BK42" i="37"/>
  <c r="AV28" i="37"/>
  <c r="BA43" i="37"/>
  <c r="BF42" i="37"/>
  <c r="BK41" i="37"/>
  <c r="AV34" i="37"/>
  <c r="BA46" i="37"/>
  <c r="BK51" i="37"/>
  <c r="BA48" i="37"/>
  <c r="AV4" i="37"/>
  <c r="AV43" i="37"/>
  <c r="AV41" i="37"/>
  <c r="BA8" i="37"/>
  <c r="BF16" i="37"/>
  <c r="BA12" i="37"/>
  <c r="BF6" i="37"/>
  <c r="BF17" i="37"/>
  <c r="BK18" i="37"/>
  <c r="AV12" i="37"/>
  <c r="BK14" i="37"/>
  <c r="BF11" i="37"/>
  <c r="BF25" i="37"/>
  <c r="AV31" i="37"/>
  <c r="BK32" i="37"/>
  <c r="O43" i="37"/>
  <c r="BK31" i="37"/>
  <c r="BK22" i="37"/>
  <c r="BA24" i="37"/>
  <c r="O42" i="37"/>
  <c r="BF35" i="37"/>
  <c r="BA47" i="37"/>
  <c r="BA51" i="37"/>
  <c r="BF41" i="37"/>
  <c r="BK20" i="37"/>
  <c r="BA34" i="37"/>
  <c r="BA9" i="37"/>
  <c r="BK4" i="37"/>
  <c r="BA13" i="37"/>
  <c r="AV7" i="37"/>
  <c r="AV20" i="37"/>
  <c r="BA19" i="37"/>
  <c r="AV14" i="37"/>
  <c r="BK16" i="37"/>
  <c r="BF21" i="37"/>
  <c r="BF26" i="37"/>
  <c r="BF20" i="37"/>
  <c r="BA33" i="37"/>
  <c r="BK21" i="37"/>
  <c r="BK34" i="37"/>
  <c r="BF29" i="37"/>
  <c r="BA25" i="37"/>
  <c r="BK43" i="37"/>
  <c r="BF37" i="37"/>
  <c r="BF48" i="37"/>
  <c r="BF36" i="37"/>
  <c r="BA14" i="37"/>
  <c r="BF4" i="37"/>
  <c r="AV37" i="37"/>
  <c r="BF44" i="37"/>
  <c r="AV6" i="37"/>
  <c r="BF8" i="37"/>
  <c r="BF23" i="37"/>
  <c r="AV36" i="37"/>
  <c r="BK37" i="37"/>
  <c r="BF31" i="37"/>
  <c r="BK7" i="37"/>
  <c r="BA22" i="37"/>
  <c r="BF22" i="37"/>
  <c r="BA38" i="37"/>
  <c r="BK46" i="37"/>
  <c r="AV8" i="37"/>
  <c r="BK9" i="37"/>
  <c r="BA29" i="37"/>
  <c r="BK38" i="37"/>
  <c r="BF32" i="37"/>
  <c r="BA21" i="37"/>
  <c r="BA27" i="37"/>
  <c r="BF12" i="37"/>
  <c r="BA28" i="37"/>
  <c r="AV46" i="37"/>
  <c r="AV33" i="37"/>
  <c r="BA15" i="37"/>
  <c r="BA17" i="37"/>
  <c r="BF27" i="37"/>
  <c r="BK39" i="37"/>
  <c r="BK35" i="37"/>
  <c r="BA39" i="37"/>
  <c r="BF47" i="37"/>
  <c r="AV25" i="37"/>
  <c r="BA37" i="37"/>
  <c r="BF52" i="37"/>
  <c r="BA16" i="37"/>
  <c r="AV18" i="37"/>
  <c r="BF28" i="37"/>
  <c r="BA23" i="37"/>
  <c r="BF38" i="37"/>
  <c r="BA40" i="37"/>
  <c r="BF18" i="37"/>
  <c r="BK26" i="37"/>
  <c r="BK33" i="37"/>
  <c r="BK5" i="37"/>
  <c r="BK17" i="37"/>
  <c r="BF30" i="37"/>
  <c r="AV24" i="37"/>
  <c r="BA26" i="37"/>
  <c r="BA42" i="37"/>
  <c r="BK24" i="37"/>
  <c r="AV23" i="37"/>
  <c r="BA11" i="37"/>
  <c r="AV22" i="37"/>
  <c r="BF5" i="37"/>
  <c r="BK25" i="37"/>
  <c r="BA35" i="37"/>
  <c r="BK28" i="37"/>
  <c r="AV47" i="37"/>
  <c r="BU111" i="37"/>
  <c r="BU115" i="37"/>
  <c r="BU122" i="37"/>
  <c r="BU119" i="37"/>
  <c r="CB113" i="37"/>
  <c r="BU128" i="37"/>
  <c r="BU141" i="37"/>
  <c r="CB146" i="37"/>
  <c r="CB121" i="37"/>
  <c r="BU145" i="37"/>
  <c r="BU126" i="37"/>
  <c r="CB140" i="37"/>
  <c r="CB125" i="37"/>
  <c r="BU144" i="37"/>
  <c r="CB117" i="37"/>
  <c r="BU138" i="37"/>
  <c r="BU131" i="37"/>
  <c r="CB135" i="37"/>
  <c r="CB145" i="37"/>
  <c r="CB127" i="37"/>
  <c r="CB132" i="37"/>
  <c r="CB137" i="37"/>
  <c r="BU140" i="37"/>
  <c r="CB142" i="37"/>
  <c r="CB144" i="37"/>
  <c r="BU146" i="37"/>
  <c r="BU136" i="37"/>
  <c r="CB136" i="37"/>
  <c r="BU120" i="37"/>
  <c r="BU116" i="37"/>
  <c r="BU143" i="37"/>
  <c r="CB124" i="37"/>
  <c r="CB112" i="37"/>
  <c r="BU113" i="37"/>
  <c r="BU45" i="37"/>
  <c r="BU7" i="37"/>
  <c r="CB9" i="37"/>
  <c r="BU17" i="37"/>
  <c r="CB12" i="37"/>
  <c r="BU22" i="37"/>
  <c r="BU24" i="37"/>
  <c r="BU34" i="37"/>
  <c r="CB119" i="37"/>
  <c r="CB133" i="37"/>
  <c r="BU134" i="37"/>
  <c r="CB118" i="37"/>
  <c r="BU125" i="37"/>
  <c r="BU103" i="37"/>
  <c r="BU127" i="37"/>
  <c r="CB109" i="37"/>
  <c r="BU4" i="37"/>
  <c r="BU10" i="37"/>
  <c r="CB6" i="37"/>
  <c r="BU13" i="37"/>
  <c r="BU23" i="37"/>
  <c r="BU25" i="37"/>
  <c r="BU35" i="37"/>
  <c r="BU132" i="37"/>
  <c r="BU112" i="37"/>
  <c r="CB139" i="37"/>
  <c r="CB120" i="37"/>
  <c r="CB141" i="37"/>
  <c r="CB108" i="37"/>
  <c r="CB97" i="37"/>
  <c r="CB17" i="37"/>
  <c r="CB11" i="37"/>
  <c r="CB18" i="37"/>
  <c r="CB14" i="37"/>
  <c r="CB24" i="37"/>
  <c r="BU26" i="37"/>
  <c r="CB36" i="37"/>
  <c r="CB115" i="37"/>
  <c r="BU129" i="37"/>
  <c r="CB130" i="37"/>
  <c r="CB114" i="37"/>
  <c r="BU118" i="37"/>
  <c r="BU121" i="37"/>
  <c r="CB123" i="37"/>
  <c r="CB107" i="37"/>
  <c r="BU82" i="37"/>
  <c r="CB19" i="37"/>
  <c r="BU12" i="37"/>
  <c r="BU20" i="37"/>
  <c r="BU15" i="37"/>
  <c r="CB77" i="37"/>
  <c r="BU142" i="37"/>
  <c r="CB128" i="37"/>
  <c r="CB143" i="37"/>
  <c r="CB126" i="37"/>
  <c r="BU109" i="37"/>
  <c r="BU133" i="37"/>
  <c r="CB81" i="37"/>
  <c r="CB111" i="37"/>
  <c r="BU108" i="37"/>
  <c r="CB110" i="37"/>
  <c r="BU114" i="37"/>
  <c r="CB134" i="37"/>
  <c r="BU135" i="37"/>
  <c r="BU81" i="37"/>
  <c r="BU19" i="37"/>
  <c r="BU14" i="37"/>
  <c r="BU9" i="37"/>
  <c r="BU6" i="37"/>
  <c r="CB27" i="37"/>
  <c r="BU30" i="37"/>
  <c r="CB23" i="37"/>
  <c r="BU124" i="37"/>
  <c r="CB122" i="37"/>
  <c r="BU106" i="37"/>
  <c r="BU117" i="37"/>
  <c r="CB80" i="37"/>
  <c r="CB15" i="37"/>
  <c r="CB25" i="37"/>
  <c r="CB41" i="37"/>
  <c r="CB34" i="37"/>
  <c r="BU31" i="37"/>
  <c r="BU43" i="37"/>
  <c r="BU62" i="37"/>
  <c r="CB45" i="37"/>
  <c r="CB56" i="37"/>
  <c r="CB85" i="37"/>
  <c r="BU83" i="37"/>
  <c r="CB64" i="37"/>
  <c r="CB73" i="37"/>
  <c r="BU69" i="37"/>
  <c r="CB96" i="37"/>
  <c r="BU92" i="37"/>
  <c r="BU74" i="37"/>
  <c r="BU100" i="37"/>
  <c r="CB106" i="37"/>
  <c r="CB101" i="37"/>
  <c r="BU130" i="37"/>
  <c r="BU16" i="37"/>
  <c r="CB26" i="37"/>
  <c r="CB43" i="37"/>
  <c r="CB35" i="37"/>
  <c r="CB32" i="37"/>
  <c r="CB44" i="37"/>
  <c r="BU63" i="37"/>
  <c r="BU52" i="37"/>
  <c r="CB57" i="37"/>
  <c r="CB86" i="37"/>
  <c r="BU84" i="37"/>
  <c r="CB65" i="37"/>
  <c r="BU79" i="37"/>
  <c r="BU71" i="37"/>
  <c r="O98" i="37"/>
  <c r="BU93" i="37"/>
  <c r="BU75" i="37"/>
  <c r="BU98" i="37"/>
  <c r="BU107" i="37"/>
  <c r="CB116" i="37"/>
  <c r="CB76" i="37"/>
  <c r="CB5" i="37"/>
  <c r="CB8" i="37"/>
  <c r="CB28" i="37"/>
  <c r="CB20" i="37"/>
  <c r="CB38" i="37"/>
  <c r="BU38" i="37"/>
  <c r="BU50" i="37"/>
  <c r="BU40" i="37"/>
  <c r="BU44" i="37"/>
  <c r="CB58" i="37"/>
  <c r="CB87" i="37"/>
  <c r="BU85" i="37"/>
  <c r="CB66" i="37"/>
  <c r="BU58" i="37"/>
  <c r="BU72" i="37"/>
  <c r="CB98" i="37"/>
  <c r="BU94" i="37"/>
  <c r="BU76" i="37"/>
  <c r="BU5" i="37"/>
  <c r="CB10" i="37"/>
  <c r="CB30" i="37"/>
  <c r="BU29" i="37"/>
  <c r="CB39" i="37"/>
  <c r="BU46" i="37"/>
  <c r="CB52" i="37"/>
  <c r="BU47" i="37"/>
  <c r="BU49" i="37"/>
  <c r="CB59" i="37"/>
  <c r="CB89" i="37"/>
  <c r="BU86" i="37"/>
  <c r="CB67" i="37"/>
  <c r="CB61" i="37"/>
  <c r="BU73" i="37"/>
  <c r="CB99" i="37"/>
  <c r="BU95" i="37"/>
  <c r="BU77" i="37"/>
  <c r="CB129" i="37"/>
  <c r="CB7" i="37"/>
  <c r="BU11" i="37"/>
  <c r="BU27" i="37"/>
  <c r="CB33" i="37"/>
  <c r="CB40" i="37"/>
  <c r="CB60" i="37"/>
  <c r="CB53" i="37"/>
  <c r="CB49" i="37"/>
  <c r="CB51" i="37"/>
  <c r="BU41" i="37"/>
  <c r="CB90" i="37"/>
  <c r="BU87" i="37"/>
  <c r="CB68" i="37"/>
  <c r="BU65" i="37"/>
  <c r="CB92" i="37"/>
  <c r="CB100" i="37"/>
  <c r="BU48" i="37"/>
  <c r="CB4" i="37"/>
  <c r="CB16" i="37"/>
  <c r="BU28" i="37"/>
  <c r="BU36" i="37"/>
  <c r="CB42" i="37"/>
  <c r="BU37" i="37"/>
  <c r="CB55" i="37"/>
  <c r="BU53" i="37"/>
  <c r="CB46" i="37"/>
  <c r="BU57" i="37"/>
  <c r="CB91" i="37"/>
  <c r="BU89" i="37"/>
  <c r="CB69" i="37"/>
  <c r="BU66" i="37"/>
  <c r="CB93" i="37"/>
  <c r="BU51" i="37"/>
  <c r="BU59" i="37"/>
  <c r="CB50" i="37"/>
  <c r="BU80" i="37"/>
  <c r="CB102" i="37"/>
  <c r="CB138" i="37"/>
  <c r="BU18" i="37"/>
  <c r="BU39" i="37"/>
  <c r="CB83" i="37"/>
  <c r="BU67" i="37"/>
  <c r="BU78" i="37"/>
  <c r="BU96" i="37"/>
  <c r="CB131" i="37"/>
  <c r="BU21" i="37"/>
  <c r="BU42" i="37"/>
  <c r="CB84" i="37"/>
  <c r="BU68" i="37"/>
  <c r="BU54" i="37"/>
  <c r="CB103" i="37"/>
  <c r="CB75" i="37"/>
  <c r="BU139" i="37"/>
  <c r="BU32" i="37"/>
  <c r="BU60" i="37"/>
  <c r="BU97" i="37"/>
  <c r="CB94" i="37"/>
  <c r="BU70" i="37"/>
  <c r="BU137" i="37"/>
  <c r="BU33" i="37"/>
  <c r="BU61" i="37"/>
  <c r="CB79" i="37"/>
  <c r="CB95" i="37"/>
  <c r="BU104" i="37"/>
  <c r="CB74" i="37"/>
  <c r="BU99" i="37"/>
  <c r="O97" i="37"/>
  <c r="BU123" i="37"/>
  <c r="CB21" i="37"/>
  <c r="BU55" i="37"/>
  <c r="BU90" i="37"/>
  <c r="CB62" i="37"/>
  <c r="CB78" i="37"/>
  <c r="CB31" i="37"/>
  <c r="CB37" i="37"/>
  <c r="BU91" i="37"/>
  <c r="CB88" i="37"/>
  <c r="BU88" i="37"/>
  <c r="CB63" i="37"/>
  <c r="CB105" i="37"/>
  <c r="BU8" i="37"/>
  <c r="CB22" i="37"/>
  <c r="CB48" i="37"/>
  <c r="CB71" i="37"/>
  <c r="BU64" i="37"/>
  <c r="CB104" i="37"/>
  <c r="CB70" i="37"/>
  <c r="BU110" i="37"/>
  <c r="BU105" i="37"/>
  <c r="CB13" i="37"/>
  <c r="BU56" i="37"/>
  <c r="CB29" i="37"/>
  <c r="CB54" i="37"/>
  <c r="CB72" i="37"/>
  <c r="CB82" i="37"/>
  <c r="BU101" i="37"/>
  <c r="BU102" i="37"/>
  <c r="CB47" i="37"/>
  <c r="AB106" i="37"/>
  <c r="AD107" i="37"/>
  <c r="AL106" i="37"/>
  <c r="AN106" i="37"/>
  <c r="AB107" i="37"/>
  <c r="AL107" i="37"/>
  <c r="AN107" i="37"/>
  <c r="AD106" i="37"/>
  <c r="BX96" i="37"/>
  <c r="BX115" i="37"/>
  <c r="BX114" i="37"/>
  <c r="BX145" i="37"/>
  <c r="BX113" i="37"/>
  <c r="B137" i="37"/>
  <c r="B140" i="37" s="1"/>
  <c r="BX137" i="37"/>
  <c r="BX112" i="37"/>
  <c r="BX111" i="37"/>
  <c r="BX119" i="37"/>
  <c r="BX93" i="37"/>
  <c r="BX104" i="37"/>
  <c r="BX118" i="37"/>
  <c r="BX110" i="37"/>
  <c r="BX9" i="37"/>
  <c r="BX10" i="37"/>
  <c r="BX22" i="37"/>
  <c r="BX34" i="37"/>
  <c r="BX41" i="37"/>
  <c r="BX56" i="37"/>
  <c r="BX47" i="37"/>
  <c r="BX88" i="37"/>
  <c r="BX81" i="37"/>
  <c r="BX86" i="37"/>
  <c r="BX67" i="37"/>
  <c r="BX143" i="37"/>
  <c r="BX123" i="37"/>
  <c r="BX79" i="37"/>
  <c r="BX11" i="37"/>
  <c r="BX5" i="37"/>
  <c r="BX23" i="37"/>
  <c r="BX38" i="37"/>
  <c r="BX43" i="37"/>
  <c r="BX57" i="37"/>
  <c r="BX60" i="37"/>
  <c r="BX62" i="37"/>
  <c r="BX82" i="37"/>
  <c r="BX87" i="37"/>
  <c r="BX68" i="37"/>
  <c r="BX142" i="37"/>
  <c r="BX139" i="37"/>
  <c r="BX122" i="37"/>
  <c r="BX146" i="37"/>
  <c r="BX6" i="37"/>
  <c r="BX17" i="37"/>
  <c r="BX24" i="37"/>
  <c r="BX39" i="37"/>
  <c r="BX32" i="37"/>
  <c r="BX58" i="37"/>
  <c r="BX52" i="37"/>
  <c r="BX74" i="37"/>
  <c r="BX63" i="37"/>
  <c r="BX89" i="37"/>
  <c r="BX69" i="37"/>
  <c r="BX141" i="37"/>
  <c r="BX138" i="37"/>
  <c r="BX18" i="37"/>
  <c r="BX7" i="37"/>
  <c r="BX25" i="37"/>
  <c r="BX40" i="37"/>
  <c r="BX19" i="37"/>
  <c r="BX59" i="37"/>
  <c r="BX53" i="37"/>
  <c r="BX75" i="37"/>
  <c r="BX70" i="37"/>
  <c r="BX90" i="37"/>
  <c r="BX71" i="37"/>
  <c r="BX140" i="37"/>
  <c r="BX105" i="37"/>
  <c r="BX99" i="37"/>
  <c r="BX14" i="37"/>
  <c r="BX15" i="37"/>
  <c r="BX27" i="37"/>
  <c r="BX20" i="37"/>
  <c r="BX51" i="37"/>
  <c r="BX46" i="37"/>
  <c r="BX33" i="37"/>
  <c r="BX77" i="37"/>
  <c r="BX83" i="37"/>
  <c r="BX49" i="37"/>
  <c r="BX73" i="37"/>
  <c r="BX108" i="37"/>
  <c r="BX126" i="37"/>
  <c r="BX8" i="37"/>
  <c r="BX30" i="37"/>
  <c r="BX55" i="37"/>
  <c r="BX85" i="37"/>
  <c r="BX107" i="37"/>
  <c r="BX124" i="37"/>
  <c r="BX136" i="37"/>
  <c r="BX128" i="37"/>
  <c r="BX13" i="37"/>
  <c r="BX36" i="37"/>
  <c r="BX44" i="37"/>
  <c r="BX91" i="37"/>
  <c r="BX95" i="37"/>
  <c r="BX135" i="37"/>
  <c r="BX127" i="37"/>
  <c r="BX100" i="37"/>
  <c r="BX117" i="37"/>
  <c r="BX29" i="37"/>
  <c r="BX45" i="37"/>
  <c r="BX61" i="37"/>
  <c r="BX65" i="37"/>
  <c r="BX102" i="37"/>
  <c r="BX134" i="37"/>
  <c r="BX98" i="37"/>
  <c r="BX116" i="37"/>
  <c r="BX21" i="37"/>
  <c r="BX48" i="37"/>
  <c r="BX76" i="37"/>
  <c r="BX66" i="37"/>
  <c r="BX101" i="37"/>
  <c r="BX133" i="37"/>
  <c r="BX26" i="37"/>
  <c r="BX54" i="37"/>
  <c r="BX78" i="37"/>
  <c r="BX72" i="37"/>
  <c r="BX132" i="37"/>
  <c r="BX106" i="37"/>
  <c r="BX103" i="37"/>
  <c r="BX4" i="37"/>
  <c r="BX28" i="37"/>
  <c r="BX37" i="37"/>
  <c r="BX80" i="37"/>
  <c r="BX64" i="37"/>
  <c r="BX121" i="37"/>
  <c r="BX131" i="37"/>
  <c r="BX12" i="37"/>
  <c r="BX31" i="37"/>
  <c r="BX35" i="37"/>
  <c r="BX97" i="37"/>
  <c r="BX144" i="37"/>
  <c r="BX92" i="37"/>
  <c r="BX120" i="37"/>
  <c r="BX130" i="37"/>
  <c r="BX94" i="37"/>
  <c r="BX16" i="37"/>
  <c r="BX42" i="37"/>
  <c r="BX125" i="37"/>
  <c r="BX50" i="37"/>
  <c r="BX129" i="37"/>
  <c r="BX84" i="37"/>
  <c r="BX109" i="37"/>
  <c r="AN98" i="37"/>
  <c r="AD97" i="37"/>
  <c r="AD98" i="37"/>
  <c r="AB97" i="37"/>
  <c r="AB98" i="37"/>
  <c r="AL98" i="37"/>
  <c r="AN97" i="37"/>
  <c r="AL97" i="37"/>
  <c r="BT46" i="37"/>
  <c r="CA92" i="37"/>
  <c r="CA102" i="37"/>
  <c r="CA108" i="37"/>
  <c r="BT119" i="37"/>
  <c r="CA100" i="37"/>
  <c r="BT116" i="37"/>
  <c r="BT104" i="37"/>
  <c r="BT112" i="37"/>
  <c r="CA95" i="37"/>
  <c r="CA112" i="37"/>
  <c r="BT117" i="37"/>
  <c r="CA120" i="37"/>
  <c r="BT105" i="37"/>
  <c r="CA117" i="37"/>
  <c r="CA107" i="37"/>
  <c r="CA123" i="37"/>
  <c r="BT134" i="37"/>
  <c r="CA138" i="37"/>
  <c r="BT128" i="37"/>
  <c r="CA105" i="37"/>
  <c r="BT124" i="37"/>
  <c r="CA131" i="37"/>
  <c r="CA136" i="37"/>
  <c r="CA146" i="37"/>
  <c r="CA125" i="37"/>
  <c r="CA128" i="37"/>
  <c r="CA141" i="37"/>
  <c r="BT102" i="37"/>
  <c r="CA114" i="37"/>
  <c r="BT118" i="37"/>
  <c r="BT127" i="37"/>
  <c r="BT142" i="37"/>
  <c r="CA145" i="37"/>
  <c r="CA132" i="37"/>
  <c r="CA137" i="37"/>
  <c r="BT110" i="37"/>
  <c r="BT121" i="37"/>
  <c r="BT126" i="37"/>
  <c r="CA130" i="37"/>
  <c r="CA121" i="37"/>
  <c r="BT136" i="37"/>
  <c r="BT145" i="37"/>
  <c r="BT125" i="37"/>
  <c r="BT80" i="37"/>
  <c r="BT122" i="37"/>
  <c r="CA94" i="37"/>
  <c r="BT129" i="37"/>
  <c r="BT109" i="37"/>
  <c r="BT123" i="37"/>
  <c r="CA111" i="37"/>
  <c r="CA89" i="37"/>
  <c r="BT74" i="37"/>
  <c r="BT82" i="37"/>
  <c r="BT144" i="37"/>
  <c r="BT120" i="37"/>
  <c r="CA142" i="37"/>
  <c r="CA91" i="37"/>
  <c r="CA127" i="37"/>
  <c r="BT106" i="37"/>
  <c r="CA144" i="37"/>
  <c r="CA118" i="37"/>
  <c r="BT77" i="37"/>
  <c r="BT64" i="37"/>
  <c r="CA86" i="37"/>
  <c r="BT141" i="37"/>
  <c r="CA115" i="37"/>
  <c r="CA113" i="37"/>
  <c r="BT146" i="37"/>
  <c r="BT103" i="37"/>
  <c r="BT143" i="37"/>
  <c r="CA135" i="37"/>
  <c r="CA104" i="37"/>
  <c r="CA70" i="37"/>
  <c r="CA139" i="37"/>
  <c r="BT111" i="37"/>
  <c r="CA110" i="37"/>
  <c r="CA143" i="37"/>
  <c r="CA124" i="37"/>
  <c r="CA97" i="37"/>
  <c r="BT140" i="37"/>
  <c r="BT108" i="37"/>
  <c r="BT130" i="37"/>
  <c r="BT101" i="37"/>
  <c r="BT81" i="37"/>
  <c r="BT138" i="37"/>
  <c r="CA109" i="37"/>
  <c r="CA140" i="37"/>
  <c r="CA119" i="37"/>
  <c r="BT137" i="37"/>
  <c r="CA101" i="37"/>
  <c r="CA122" i="37"/>
  <c r="CA99" i="37"/>
  <c r="CA83" i="37"/>
  <c r="BT76" i="37"/>
  <c r="BT135" i="37"/>
  <c r="BT107" i="37"/>
  <c r="CA106" i="37"/>
  <c r="BT139" i="37"/>
  <c r="BT115" i="37"/>
  <c r="BT97" i="37"/>
  <c r="CA133" i="37"/>
  <c r="CA96" i="37"/>
  <c r="CA90" i="37"/>
  <c r="BT133" i="37"/>
  <c r="CA134" i="37"/>
  <c r="BT78" i="37"/>
  <c r="CA129" i="37"/>
  <c r="BT131" i="37"/>
  <c r="CA98" i="37"/>
  <c r="BT113" i="37"/>
  <c r="CA116" i="37"/>
  <c r="BT75" i="37"/>
  <c r="O88" i="37"/>
  <c r="BT114" i="37"/>
  <c r="CA87" i="37"/>
  <c r="CA84" i="37"/>
  <c r="CA126" i="37"/>
  <c r="CA93" i="37"/>
  <c r="CA85" i="37"/>
  <c r="BT48" i="37"/>
  <c r="CA103" i="37"/>
  <c r="CA74" i="37"/>
  <c r="BT94" i="37"/>
  <c r="BT5" i="37"/>
  <c r="BT12" i="37"/>
  <c r="BT9" i="37"/>
  <c r="CA5" i="37"/>
  <c r="BT20" i="37"/>
  <c r="CA22" i="37"/>
  <c r="BT21" i="37"/>
  <c r="CA42" i="37"/>
  <c r="BT42" i="37"/>
  <c r="BT50" i="37"/>
  <c r="BT55" i="37"/>
  <c r="CA43" i="37"/>
  <c r="BT45" i="37"/>
  <c r="CA88" i="37"/>
  <c r="BT66" i="37"/>
  <c r="CA72" i="37"/>
  <c r="BT63" i="37"/>
  <c r="O89" i="37"/>
  <c r="CA82" i="37"/>
  <c r="CA63" i="37"/>
  <c r="BT93" i="37"/>
  <c r="CA7" i="37"/>
  <c r="BT14" i="37"/>
  <c r="CA10" i="37"/>
  <c r="CA17" i="37"/>
  <c r="BT24" i="37"/>
  <c r="CA19" i="37"/>
  <c r="CA31" i="37"/>
  <c r="BT22" i="37"/>
  <c r="BT31" i="37"/>
  <c r="CA52" i="37"/>
  <c r="CA36" i="37"/>
  <c r="CA46" i="37"/>
  <c r="BT51" i="37"/>
  <c r="CA62" i="37"/>
  <c r="BT65" i="37"/>
  <c r="CA71" i="37"/>
  <c r="BT87" i="37"/>
  <c r="BT132" i="37"/>
  <c r="CA81" i="37"/>
  <c r="CA47" i="37"/>
  <c r="BT92" i="37"/>
  <c r="BT19" i="37"/>
  <c r="BT16" i="37"/>
  <c r="BT11" i="37"/>
  <c r="CA24" i="37"/>
  <c r="BT25" i="37"/>
  <c r="CA20" i="37"/>
  <c r="CA34" i="37"/>
  <c r="CA29" i="37"/>
  <c r="BT35" i="37"/>
  <c r="CA53" i="37"/>
  <c r="CA45" i="37"/>
  <c r="CA48" i="37"/>
  <c r="BT54" i="37"/>
  <c r="BT73" i="37"/>
  <c r="CA61" i="37"/>
  <c r="CA69" i="37"/>
  <c r="BT86" i="37"/>
  <c r="BT61" i="37"/>
  <c r="CA80" i="37"/>
  <c r="BT100" i="37"/>
  <c r="CA12" i="37"/>
  <c r="CA4" i="37"/>
  <c r="BT17" i="37"/>
  <c r="BT13" i="37"/>
  <c r="CA25" i="37"/>
  <c r="BT26" i="37"/>
  <c r="CA23" i="37"/>
  <c r="BT32" i="37"/>
  <c r="BT33" i="37"/>
  <c r="BT37" i="37"/>
  <c r="CA55" i="37"/>
  <c r="BT52" i="37"/>
  <c r="CA54" i="37"/>
  <c r="BT56" i="37"/>
  <c r="BT72" i="37"/>
  <c r="CA60" i="37"/>
  <c r="CA68" i="37"/>
  <c r="BT85" i="37"/>
  <c r="BT70" i="37"/>
  <c r="CA78" i="37"/>
  <c r="BT99" i="37"/>
  <c r="CA13" i="37"/>
  <c r="BT8" i="37"/>
  <c r="CA6" i="37"/>
  <c r="BT15" i="37"/>
  <c r="CA26" i="37"/>
  <c r="BT27" i="37"/>
  <c r="CA32" i="37"/>
  <c r="CA35" i="37"/>
  <c r="CA37" i="37"/>
  <c r="BT23" i="37"/>
  <c r="BT60" i="37"/>
  <c r="BT44" i="37"/>
  <c r="CA50" i="37"/>
  <c r="CA77" i="37"/>
  <c r="BT98" i="37"/>
  <c r="CA14" i="37"/>
  <c r="CA9" i="37"/>
  <c r="BT7" i="37"/>
  <c r="BT6" i="37"/>
  <c r="CA27" i="37"/>
  <c r="BT28" i="37"/>
  <c r="BT41" i="37"/>
  <c r="CA38" i="37"/>
  <c r="BT38" i="37"/>
  <c r="BT36" i="37"/>
  <c r="BT47" i="37"/>
  <c r="BT49" i="37"/>
  <c r="CA57" i="37"/>
  <c r="BT58" i="37"/>
  <c r="BT69" i="37"/>
  <c r="CA66" i="37"/>
  <c r="BT90" i="37"/>
  <c r="BT83" i="37"/>
  <c r="CA76" i="37"/>
  <c r="BT96" i="37"/>
  <c r="CA15" i="37"/>
  <c r="BT10" i="37"/>
  <c r="CA18" i="37"/>
  <c r="BT18" i="37"/>
  <c r="CA28" i="37"/>
  <c r="BT30" i="37"/>
  <c r="BT43" i="37"/>
  <c r="CA39" i="37"/>
  <c r="BT39" i="37"/>
  <c r="CA41" i="37"/>
  <c r="CA49" i="37"/>
  <c r="CA51" i="37"/>
  <c r="CA58" i="37"/>
  <c r="BT59" i="37"/>
  <c r="BT68" i="37"/>
  <c r="BT79" i="37"/>
  <c r="CA65" i="37"/>
  <c r="BT89" i="37"/>
  <c r="CA79" i="37"/>
  <c r="BT88" i="37"/>
  <c r="CA21" i="37"/>
  <c r="CA59" i="37"/>
  <c r="CA64" i="37"/>
  <c r="CA75" i="37"/>
  <c r="BT29" i="37"/>
  <c r="BT57" i="37"/>
  <c r="BT84" i="37"/>
  <c r="BT95" i="37"/>
  <c r="CA40" i="37"/>
  <c r="CA33" i="37"/>
  <c r="BT53" i="37"/>
  <c r="CA16" i="37"/>
  <c r="BT40" i="37"/>
  <c r="BT71" i="37"/>
  <c r="BT91" i="37"/>
  <c r="CA11" i="37"/>
  <c r="CA44" i="37"/>
  <c r="BT67" i="37"/>
  <c r="CA8" i="37"/>
  <c r="BT4" i="37"/>
  <c r="CA30" i="37"/>
  <c r="BT62" i="37"/>
  <c r="BT34" i="37"/>
  <c r="CA56" i="37"/>
  <c r="CA73" i="37"/>
  <c r="CA67" i="37"/>
  <c r="G120" i="37"/>
  <c r="H120" i="37"/>
  <c r="I120" i="37"/>
  <c r="AF92" i="37"/>
  <c r="V138" i="37"/>
  <c r="S138" i="37" s="1"/>
  <c r="J138" i="37"/>
  <c r="K138" i="37"/>
  <c r="T138" i="37"/>
  <c r="Q138" i="37" s="1"/>
  <c r="U138" i="37"/>
  <c r="R138" i="37" s="1"/>
  <c r="BW65" i="37"/>
  <c r="BW131" i="37"/>
  <c r="BW136" i="37"/>
  <c r="BW133" i="37"/>
  <c r="BW128" i="37"/>
  <c r="BW134" i="37"/>
  <c r="BW141" i="37"/>
  <c r="BW143" i="37"/>
  <c r="BW139" i="37"/>
  <c r="BW145" i="37"/>
  <c r="BW132" i="37"/>
  <c r="BW135" i="37"/>
  <c r="BW137" i="37"/>
  <c r="BW138" i="37"/>
  <c r="BW127" i="37"/>
  <c r="BW130" i="37"/>
  <c r="BW142" i="37"/>
  <c r="BW144" i="37"/>
  <c r="BW140" i="37"/>
  <c r="BW146" i="37"/>
  <c r="BW98" i="37"/>
  <c r="BW115" i="37"/>
  <c r="BW67" i="37"/>
  <c r="BW94" i="37"/>
  <c r="BW114" i="37"/>
  <c r="BW113" i="37"/>
  <c r="BW119" i="37"/>
  <c r="BW112" i="37"/>
  <c r="B119" i="37"/>
  <c r="B122" i="37" s="1"/>
  <c r="BW111" i="37"/>
  <c r="BW129" i="37"/>
  <c r="BW118" i="37"/>
  <c r="BW110" i="37"/>
  <c r="BW106" i="37"/>
  <c r="BW73" i="37"/>
  <c r="BW16" i="37"/>
  <c r="BW9" i="37"/>
  <c r="BW19" i="37"/>
  <c r="BW30" i="37"/>
  <c r="BW54" i="37"/>
  <c r="BW39" i="37"/>
  <c r="BW63" i="37"/>
  <c r="BW75" i="37"/>
  <c r="BW101" i="37"/>
  <c r="BW89" i="37"/>
  <c r="BW100" i="37"/>
  <c r="BW6" i="37"/>
  <c r="BW11" i="37"/>
  <c r="BW20" i="37"/>
  <c r="BW41" i="37"/>
  <c r="BW56" i="37"/>
  <c r="BW42" i="37"/>
  <c r="BW64" i="37"/>
  <c r="BW76" i="37"/>
  <c r="BW102" i="37"/>
  <c r="BW90" i="37"/>
  <c r="BW18" i="37"/>
  <c r="BW36" i="37"/>
  <c r="BW35" i="37"/>
  <c r="BW24" i="37"/>
  <c r="BW57" i="37"/>
  <c r="BW43" i="37"/>
  <c r="BW53" i="37"/>
  <c r="BW77" i="37"/>
  <c r="BW103" i="37"/>
  <c r="BW91" i="37"/>
  <c r="BW72" i="37"/>
  <c r="BW93" i="37"/>
  <c r="BW4" i="37"/>
  <c r="BW8" i="37"/>
  <c r="BW37" i="37"/>
  <c r="BW48" i="37"/>
  <c r="BW25" i="37"/>
  <c r="BW58" i="37"/>
  <c r="BW40" i="37"/>
  <c r="BW55" i="37"/>
  <c r="BW78" i="37"/>
  <c r="BW83" i="37"/>
  <c r="BW79" i="37"/>
  <c r="BW117" i="37"/>
  <c r="BW116" i="37"/>
  <c r="BW13" i="37"/>
  <c r="BW5" i="37"/>
  <c r="BW21" i="37"/>
  <c r="BW50" i="37"/>
  <c r="BW27" i="37"/>
  <c r="BW38" i="37"/>
  <c r="BW60" i="37"/>
  <c r="BW44" i="37"/>
  <c r="BW81" i="37"/>
  <c r="BW85" i="37"/>
  <c r="BW12" i="37"/>
  <c r="BW23" i="37"/>
  <c r="BW46" i="37"/>
  <c r="BW80" i="37"/>
  <c r="BW126" i="37"/>
  <c r="BW120" i="37"/>
  <c r="BW14" i="37"/>
  <c r="BW49" i="37"/>
  <c r="BW31" i="37"/>
  <c r="BW82" i="37"/>
  <c r="BW99" i="37"/>
  <c r="BW125" i="37"/>
  <c r="BW104" i="37"/>
  <c r="BW15" i="37"/>
  <c r="BW51" i="37"/>
  <c r="BW47" i="37"/>
  <c r="BW70" i="37"/>
  <c r="BW109" i="37"/>
  <c r="BW124" i="37"/>
  <c r="BW69" i="37"/>
  <c r="BW88" i="37"/>
  <c r="BW10" i="37"/>
  <c r="BW52" i="37"/>
  <c r="BW61" i="37"/>
  <c r="BW84" i="37"/>
  <c r="BW108" i="37"/>
  <c r="BW123" i="37"/>
  <c r="BW17" i="37"/>
  <c r="BW26" i="37"/>
  <c r="BW62" i="37"/>
  <c r="BW86" i="37"/>
  <c r="BW107" i="37"/>
  <c r="BW92" i="37"/>
  <c r="BW122" i="37"/>
  <c r="BW71" i="37"/>
  <c r="BW95" i="37"/>
  <c r="BW96" i="37"/>
  <c r="BW7" i="37"/>
  <c r="BW33" i="37"/>
  <c r="BW34" i="37"/>
  <c r="BW87" i="37"/>
  <c r="BW105" i="37"/>
  <c r="BW29" i="37"/>
  <c r="BW28" i="37"/>
  <c r="BW32" i="37"/>
  <c r="BW45" i="37"/>
  <c r="BW68" i="37"/>
  <c r="BW97" i="37"/>
  <c r="BW66" i="37"/>
  <c r="BW59" i="37"/>
  <c r="BW74" i="37"/>
  <c r="BW121" i="37"/>
  <c r="BW22" i="37"/>
  <c r="AF36" i="37"/>
  <c r="I138" i="37"/>
  <c r="G138" i="37"/>
  <c r="H138" i="37"/>
  <c r="J120" i="37"/>
  <c r="K120" i="37"/>
  <c r="T120" i="37"/>
  <c r="Q120" i="37" s="1"/>
  <c r="U120" i="37"/>
  <c r="R120" i="37" s="1"/>
  <c r="V120" i="37"/>
  <c r="S120" i="37" s="1"/>
  <c r="AF48" i="37"/>
  <c r="AF60" i="37"/>
  <c r="P55" i="37"/>
  <c r="AN88" i="37"/>
  <c r="AB88" i="37"/>
  <c r="AD89" i="37"/>
  <c r="AL88" i="37"/>
  <c r="AD88" i="37"/>
  <c r="AB89" i="37"/>
  <c r="AL89" i="37"/>
  <c r="AN89" i="37"/>
  <c r="AF24" i="37"/>
  <c r="AT21" i="37"/>
  <c r="AY23" i="37"/>
  <c r="BI24" i="37"/>
  <c r="BI26" i="37"/>
  <c r="BI28" i="37"/>
  <c r="BI30" i="37"/>
  <c r="AY34" i="37"/>
  <c r="AY37" i="37"/>
  <c r="AY40" i="37"/>
  <c r="BI41" i="37"/>
  <c r="AY43" i="37"/>
  <c r="BD48" i="37"/>
  <c r="AT51" i="37"/>
  <c r="AT52" i="37"/>
  <c r="AY53" i="37"/>
  <c r="BD54" i="37"/>
  <c r="BI56" i="37"/>
  <c r="BI58" i="37"/>
  <c r="BD61" i="37"/>
  <c r="AT62" i="37"/>
  <c r="AY64" i="37"/>
  <c r="BI64" i="37"/>
  <c r="AT75" i="37"/>
  <c r="BD75" i="37"/>
  <c r="AT86" i="37"/>
  <c r="BD86" i="37"/>
  <c r="AT88" i="37"/>
  <c r="BD88" i="37"/>
  <c r="AT92" i="37"/>
  <c r="BD92" i="37"/>
  <c r="AY96" i="37"/>
  <c r="BI96" i="37"/>
  <c r="AT97" i="37"/>
  <c r="BD97" i="37"/>
  <c r="AT99" i="37"/>
  <c r="BD99" i="37"/>
  <c r="AY100" i="37"/>
  <c r="BI100" i="37"/>
  <c r="AT102" i="37"/>
  <c r="BD102" i="37"/>
  <c r="AY103" i="37"/>
  <c r="BI103" i="37"/>
  <c r="BI23" i="37"/>
  <c r="AT25" i="37"/>
  <c r="AT27" i="37"/>
  <c r="AT29" i="37"/>
  <c r="BD32" i="37"/>
  <c r="BD34" i="37"/>
  <c r="BD37" i="37"/>
  <c r="AT39" i="37"/>
  <c r="AT42" i="37"/>
  <c r="AY44" i="37"/>
  <c r="AY45" i="37"/>
  <c r="BD46" i="37"/>
  <c r="BI55" i="37"/>
  <c r="BD57" i="37"/>
  <c r="BD59" i="37"/>
  <c r="AT61" i="37"/>
  <c r="BI63" i="37"/>
  <c r="AY65" i="37"/>
  <c r="BI65" i="37"/>
  <c r="AY66" i="37"/>
  <c r="BI66" i="37"/>
  <c r="AY67" i="37"/>
  <c r="BI67" i="37"/>
  <c r="AY68" i="37"/>
  <c r="BI68" i="37"/>
  <c r="AY69" i="37"/>
  <c r="BI69" i="37"/>
  <c r="AY70" i="37"/>
  <c r="BI70" i="37"/>
  <c r="AT76" i="37"/>
  <c r="BD76" i="37"/>
  <c r="AY78" i="37"/>
  <c r="BI78" i="37"/>
  <c r="AT79" i="37"/>
  <c r="BD79" i="37"/>
  <c r="AY80" i="37"/>
  <c r="BI80" i="37"/>
  <c r="AT82" i="37"/>
  <c r="BD82" i="37"/>
  <c r="AY85" i="37"/>
  <c r="BI85" i="37"/>
  <c r="AT91" i="37"/>
  <c r="BD91" i="37"/>
  <c r="AT95" i="37"/>
  <c r="BD95" i="37"/>
  <c r="AY98" i="37"/>
  <c r="BI98" i="37"/>
  <c r="AT104" i="37"/>
  <c r="BD104" i="37"/>
  <c r="AY105" i="37"/>
  <c r="BI105" i="37"/>
  <c r="AT107" i="37"/>
  <c r="BD107" i="37"/>
  <c r="AY109" i="37"/>
  <c r="BI109" i="37"/>
  <c r="AY129" i="37"/>
  <c r="BI129" i="37"/>
  <c r="AT133" i="37"/>
  <c r="BD133" i="37"/>
  <c r="AY137" i="37"/>
  <c r="BI137" i="37"/>
  <c r="AT139" i="37"/>
  <c r="BD139" i="37"/>
  <c r="AY25" i="37"/>
  <c r="AY27" i="37"/>
  <c r="AY29" i="37"/>
  <c r="AT31" i="37"/>
  <c r="BI32" i="37"/>
  <c r="BI34" i="37"/>
  <c r="BI37" i="37"/>
  <c r="AY39" i="37"/>
  <c r="BD40" i="37"/>
  <c r="AY42" i="37"/>
  <c r="BD43" i="37"/>
  <c r="BD45" i="37"/>
  <c r="BD47" i="37"/>
  <c r="BI48" i="37"/>
  <c r="BD49" i="37"/>
  <c r="AY50" i="37"/>
  <c r="AY51" i="37"/>
  <c r="AY52" i="37"/>
  <c r="AT54" i="37"/>
  <c r="AY56" i="37"/>
  <c r="AY58" i="37"/>
  <c r="BD60" i="37"/>
  <c r="AY63" i="37"/>
  <c r="AT84" i="37"/>
  <c r="BD84" i="37"/>
  <c r="AY90" i="37"/>
  <c r="BI90" i="37"/>
  <c r="AY94" i="37"/>
  <c r="BI94" i="37"/>
  <c r="AT106" i="37"/>
  <c r="BD106" i="37"/>
  <c r="AY130" i="37"/>
  <c r="BI130" i="37"/>
  <c r="AT134" i="37"/>
  <c r="BD134" i="37"/>
  <c r="AT140" i="37"/>
  <c r="BD140" i="37"/>
  <c r="AY144" i="37"/>
  <c r="BI144" i="37"/>
  <c r="AT145" i="37"/>
  <c r="O20" i="37"/>
  <c r="BD25" i="37"/>
  <c r="BD27" i="37"/>
  <c r="BD29" i="37"/>
  <c r="AY31" i="37"/>
  <c r="AT33" i="37"/>
  <c r="AT35" i="37"/>
  <c r="AT36" i="37"/>
  <c r="AT38" i="37"/>
  <c r="BD39" i="37"/>
  <c r="BI40" i="37"/>
  <c r="BD42" i="37"/>
  <c r="BI43" i="37"/>
  <c r="BD44" i="37"/>
  <c r="BI46" i="37"/>
  <c r="BI47" i="37"/>
  <c r="AT48" i="37"/>
  <c r="BD53" i="37"/>
  <c r="BI54" i="37"/>
  <c r="AY55" i="37"/>
  <c r="AT57" i="37"/>
  <c r="AT59" i="37"/>
  <c r="AT60" i="37"/>
  <c r="BI62" i="37"/>
  <c r="AY71" i="37"/>
  <c r="BI71" i="37"/>
  <c r="AY72" i="37"/>
  <c r="BI72" i="37"/>
  <c r="AY73" i="37"/>
  <c r="BI73" i="37"/>
  <c r="AY74" i="37"/>
  <c r="BI74" i="37"/>
  <c r="AT77" i="37"/>
  <c r="BD77" i="37"/>
  <c r="AY81" i="37"/>
  <c r="BI81" i="37"/>
  <c r="AY83" i="37"/>
  <c r="BI83" i="37"/>
  <c r="AT87" i="37"/>
  <c r="BD87" i="37"/>
  <c r="AT89" i="37"/>
  <c r="BD89" i="37"/>
  <c r="AT93" i="37"/>
  <c r="BD93" i="37"/>
  <c r="AT101" i="37"/>
  <c r="BD101" i="37"/>
  <c r="AY108" i="37"/>
  <c r="BI108" i="37"/>
  <c r="AY110" i="37"/>
  <c r="BI110" i="37"/>
  <c r="AY111" i="37"/>
  <c r="BI111" i="37"/>
  <c r="AY112" i="37"/>
  <c r="BI112" i="37"/>
  <c r="AY113" i="37"/>
  <c r="BI113" i="37"/>
  <c r="AY114" i="37"/>
  <c r="BI114" i="37"/>
  <c r="AY115" i="37"/>
  <c r="BI115" i="37"/>
  <c r="AY116" i="37"/>
  <c r="BI116" i="37"/>
  <c r="AY117" i="37"/>
  <c r="BI117" i="37"/>
  <c r="AY118" i="37"/>
  <c r="BI118" i="37"/>
  <c r="BI20" i="37"/>
  <c r="BI25" i="37"/>
  <c r="BI27" i="37"/>
  <c r="BI29" i="37"/>
  <c r="BD31" i="37"/>
  <c r="AY33" i="37"/>
  <c r="AY35" i="37"/>
  <c r="AY36" i="37"/>
  <c r="BI39" i="37"/>
  <c r="AT41" i="37"/>
  <c r="BI42" i="37"/>
  <c r="BI44" i="37"/>
  <c r="BI45" i="37"/>
  <c r="BD50" i="37"/>
  <c r="BD51" i="37"/>
  <c r="AT53" i="37"/>
  <c r="BI57" i="37"/>
  <c r="BI59" i="37"/>
  <c r="BI61" i="37"/>
  <c r="AY62" i="37"/>
  <c r="AT64" i="37"/>
  <c r="BD64" i="37"/>
  <c r="AY75" i="37"/>
  <c r="BI75" i="37"/>
  <c r="AY86" i="37"/>
  <c r="BI86" i="37"/>
  <c r="AY88" i="37"/>
  <c r="BI88" i="37"/>
  <c r="AY92" i="37"/>
  <c r="BI92" i="37"/>
  <c r="AT96" i="37"/>
  <c r="BD96" i="37"/>
  <c r="AY97" i="37"/>
  <c r="BI97" i="37"/>
  <c r="AY99" i="37"/>
  <c r="BI99" i="37"/>
  <c r="AT100" i="37"/>
  <c r="BD100" i="37"/>
  <c r="AY102" i="37"/>
  <c r="BI102" i="37"/>
  <c r="AT103" i="37"/>
  <c r="BD103" i="37"/>
  <c r="AY120" i="37"/>
  <c r="BI120" i="37"/>
  <c r="AY121" i="37"/>
  <c r="BI121" i="37"/>
  <c r="AY122" i="37"/>
  <c r="BI122" i="37"/>
  <c r="AY123" i="37"/>
  <c r="BI123" i="37"/>
  <c r="AY124" i="37"/>
  <c r="BI124" i="37"/>
  <c r="AY125" i="37"/>
  <c r="BI125" i="37"/>
  <c r="AY126" i="37"/>
  <c r="BI126" i="37"/>
  <c r="AT128" i="37"/>
  <c r="BD128" i="37"/>
  <c r="AY21" i="37"/>
  <c r="BD24" i="37"/>
  <c r="AY30" i="37"/>
  <c r="BI33" i="37"/>
  <c r="BD36" i="37"/>
  <c r="AY46" i="37"/>
  <c r="AT50" i="37"/>
  <c r="BD55" i="37"/>
  <c r="AT56" i="37"/>
  <c r="BD58" i="37"/>
  <c r="AT68" i="37"/>
  <c r="AT73" i="37"/>
  <c r="AT78" i="37"/>
  <c r="AT83" i="37"/>
  <c r="AY87" i="37"/>
  <c r="AT98" i="37"/>
  <c r="BD105" i="37"/>
  <c r="BD111" i="37"/>
  <c r="AT114" i="37"/>
  <c r="BD123" i="37"/>
  <c r="AT126" i="37"/>
  <c r="AT127" i="37"/>
  <c r="BD127" i="37"/>
  <c r="AT135" i="37"/>
  <c r="BD135" i="37"/>
  <c r="BD137" i="37"/>
  <c r="AT142" i="37"/>
  <c r="BD142" i="37"/>
  <c r="AT143" i="37"/>
  <c r="BD143" i="37"/>
  <c r="AT144" i="37"/>
  <c r="BI106" i="37"/>
  <c r="BI138" i="37"/>
  <c r="AT49" i="37"/>
  <c r="BD78" i="37"/>
  <c r="BI132" i="37"/>
  <c r="BD144" i="37"/>
  <c r="AT26" i="37"/>
  <c r="BD30" i="37"/>
  <c r="AT34" i="37"/>
  <c r="BI36" i="37"/>
  <c r="AT40" i="37"/>
  <c r="AT43" i="37"/>
  <c r="AY49" i="37"/>
  <c r="BI52" i="37"/>
  <c r="AY61" i="37"/>
  <c r="BD67" i="37"/>
  <c r="BD72" i="37"/>
  <c r="BI82" i="37"/>
  <c r="BD90" i="37"/>
  <c r="BD94" i="37"/>
  <c r="AT105" i="37"/>
  <c r="BD108" i="37"/>
  <c r="AT111" i="37"/>
  <c r="BD116" i="37"/>
  <c r="AT119" i="37"/>
  <c r="BD119" i="37"/>
  <c r="BD120" i="37"/>
  <c r="AT123" i="37"/>
  <c r="AT136" i="37"/>
  <c r="BD136" i="37"/>
  <c r="AT137" i="37"/>
  <c r="BD145" i="37"/>
  <c r="AY135" i="37"/>
  <c r="AY142" i="37"/>
  <c r="AY143" i="37"/>
  <c r="AY93" i="37"/>
  <c r="BD73" i="37"/>
  <c r="AT80" i="37"/>
  <c r="AY106" i="37"/>
  <c r="AY132" i="37"/>
  <c r="BD141" i="37"/>
  <c r="AY26" i="37"/>
  <c r="BD35" i="37"/>
  <c r="AT37" i="37"/>
  <c r="AT45" i="37"/>
  <c r="AY48" i="37"/>
  <c r="AY54" i="37"/>
  <c r="AT55" i="37"/>
  <c r="AT67" i="37"/>
  <c r="AT72" i="37"/>
  <c r="AY82" i="37"/>
  <c r="BI84" i="37"/>
  <c r="AT90" i="37"/>
  <c r="AT94" i="37"/>
  <c r="BI107" i="37"/>
  <c r="AT108" i="37"/>
  <c r="BD113" i="37"/>
  <c r="AT116" i="37"/>
  <c r="AT120" i="37"/>
  <c r="BD125" i="37"/>
  <c r="AT138" i="37"/>
  <c r="BD138" i="37"/>
  <c r="AT122" i="37"/>
  <c r="BI134" i="37"/>
  <c r="AY140" i="37"/>
  <c r="BI142" i="37"/>
  <c r="AY91" i="37"/>
  <c r="AT124" i="37"/>
  <c r="AY24" i="37"/>
  <c r="BD26" i="37"/>
  <c r="BI31" i="37"/>
  <c r="BI35" i="37"/>
  <c r="BI51" i="37"/>
  <c r="BI53" i="37"/>
  <c r="AT58" i="37"/>
  <c r="BI60" i="37"/>
  <c r="BD63" i="37"/>
  <c r="BD66" i="37"/>
  <c r="BD70" i="37"/>
  <c r="BD71" i="37"/>
  <c r="BI77" i="37"/>
  <c r="BI79" i="37"/>
  <c r="AY84" i="37"/>
  <c r="BI101" i="37"/>
  <c r="BI104" i="37"/>
  <c r="AY107" i="37"/>
  <c r="BD110" i="37"/>
  <c r="AT113" i="37"/>
  <c r="BD118" i="37"/>
  <c r="BD122" i="37"/>
  <c r="AT125" i="37"/>
  <c r="BI128" i="37"/>
  <c r="BD130" i="37"/>
  <c r="AT131" i="37"/>
  <c r="BD131" i="37"/>
  <c r="AT132" i="37"/>
  <c r="BD132" i="37"/>
  <c r="BI140" i="37"/>
  <c r="AY141" i="37"/>
  <c r="BI141" i="37"/>
  <c r="AT146" i="37"/>
  <c r="BD146" i="37"/>
  <c r="BI127" i="37"/>
  <c r="BI143" i="37"/>
  <c r="AT112" i="37"/>
  <c r="BD33" i="37"/>
  <c r="BD52" i="37"/>
  <c r="BD62" i="37"/>
  <c r="BD83" i="37"/>
  <c r="BI87" i="37"/>
  <c r="AT117" i="37"/>
  <c r="BD126" i="37"/>
  <c r="AY131" i="37"/>
  <c r="AY133" i="37"/>
  <c r="AY146" i="37"/>
  <c r="AT28" i="37"/>
  <c r="AT32" i="37"/>
  <c r="AY38" i="37"/>
  <c r="AY41" i="37"/>
  <c r="AT47" i="37"/>
  <c r="AY57" i="37"/>
  <c r="AT66" i="37"/>
  <c r="AT70" i="37"/>
  <c r="AT71" i="37"/>
  <c r="BI76" i="37"/>
  <c r="AY77" i="37"/>
  <c r="AY79" i="37"/>
  <c r="AY101" i="37"/>
  <c r="AY104" i="37"/>
  <c r="BD109" i="37"/>
  <c r="AT110" i="37"/>
  <c r="BD115" i="37"/>
  <c r="AT118" i="37"/>
  <c r="AY127" i="37"/>
  <c r="AY128" i="37"/>
  <c r="AT130" i="37"/>
  <c r="BI135" i="37"/>
  <c r="BD121" i="37"/>
  <c r="AT129" i="37"/>
  <c r="BI133" i="37"/>
  <c r="AY138" i="37"/>
  <c r="AT30" i="37"/>
  <c r="AY59" i="37"/>
  <c r="AT85" i="37"/>
  <c r="BD98" i="37"/>
  <c r="BI131" i="37"/>
  <c r="BI146" i="37"/>
  <c r="AY22" i="37"/>
  <c r="AY28" i="37"/>
  <c r="AY32" i="37"/>
  <c r="BD38" i="37"/>
  <c r="BI50" i="37"/>
  <c r="BD56" i="37"/>
  <c r="AY60" i="37"/>
  <c r="AT63" i="37"/>
  <c r="BD65" i="37"/>
  <c r="BD69" i="37"/>
  <c r="BD74" i="37"/>
  <c r="AY76" i="37"/>
  <c r="BI89" i="37"/>
  <c r="BI91" i="37"/>
  <c r="BI93" i="37"/>
  <c r="BI95" i="37"/>
  <c r="AT109" i="37"/>
  <c r="BD112" i="37"/>
  <c r="AT115" i="37"/>
  <c r="AY119" i="37"/>
  <c r="BI119" i="37"/>
  <c r="BD124" i="37"/>
  <c r="BD129" i="37"/>
  <c r="AY134" i="37"/>
  <c r="AY136" i="37"/>
  <c r="BI136" i="37"/>
  <c r="BI139" i="37"/>
  <c r="AY145" i="37"/>
  <c r="BI145" i="37"/>
  <c r="BI22" i="37"/>
  <c r="BD28" i="37"/>
  <c r="BI38" i="37"/>
  <c r="BD41" i="37"/>
  <c r="AT44" i="37"/>
  <c r="AT46" i="37"/>
  <c r="AY47" i="37"/>
  <c r="BI49" i="37"/>
  <c r="AT65" i="37"/>
  <c r="AT69" i="37"/>
  <c r="AT74" i="37"/>
  <c r="BD80" i="37"/>
  <c r="BD81" i="37"/>
  <c r="BD85" i="37"/>
  <c r="AY89" i="37"/>
  <c r="AY95" i="37"/>
  <c r="BD117" i="37"/>
  <c r="AY139" i="37"/>
  <c r="BD68" i="37"/>
  <c r="AT81" i="37"/>
  <c r="BD114" i="37"/>
  <c r="AT121" i="37"/>
  <c r="AT141" i="37"/>
  <c r="BI11" i="37"/>
  <c r="BD11" i="37"/>
  <c r="BI7" i="37"/>
  <c r="AT11" i="37"/>
  <c r="BD21" i="37"/>
  <c r="AT24" i="37"/>
  <c r="AT8" i="37"/>
  <c r="BD13" i="37"/>
  <c r="AT17" i="37"/>
  <c r="BD4" i="37"/>
  <c r="AY13" i="37"/>
  <c r="BI9" i="37"/>
  <c r="O18" i="37"/>
  <c r="BD10" i="37"/>
  <c r="BI19" i="37"/>
  <c r="AT4" i="37"/>
  <c r="BI12" i="37"/>
  <c r="AT12" i="37"/>
  <c r="BD17" i="37"/>
  <c r="BD22" i="37"/>
  <c r="AY9" i="37"/>
  <c r="AT10" i="37"/>
  <c r="BD15" i="37"/>
  <c r="AT23" i="37"/>
  <c r="O17" i="37"/>
  <c r="BI14" i="37"/>
  <c r="AY7" i="37"/>
  <c r="AY8" i="37"/>
  <c r="AT6" i="37"/>
  <c r="BD5" i="37"/>
  <c r="AT9" i="37"/>
  <c r="AY16" i="37"/>
  <c r="AY5" i="37"/>
  <c r="BI13" i="37"/>
  <c r="AT13" i="37"/>
  <c r="AY18" i="37"/>
  <c r="BD23" i="37"/>
  <c r="AY11" i="37"/>
  <c r="BI17" i="37"/>
  <c r="AT22" i="37"/>
  <c r="O19" i="37"/>
  <c r="BD18" i="37"/>
  <c r="BD9" i="37"/>
  <c r="AY6" i="37"/>
  <c r="AT20" i="37"/>
  <c r="BI4" i="37"/>
  <c r="AT14" i="37"/>
  <c r="AY20" i="37"/>
  <c r="BI18" i="37"/>
  <c r="BI10" i="37"/>
  <c r="AT18" i="37"/>
  <c r="BI6" i="37"/>
  <c r="BD6" i="37"/>
  <c r="BI15" i="37"/>
  <c r="AT15" i="37"/>
  <c r="AY19" i="37"/>
  <c r="BD12" i="37"/>
  <c r="AY15" i="37"/>
  <c r="BD7" i="37"/>
  <c r="AY10" i="37"/>
  <c r="AT19" i="37"/>
  <c r="BD16" i="37"/>
  <c r="BD20" i="37"/>
  <c r="BI21" i="37"/>
  <c r="BI8" i="37"/>
  <c r="BD8" i="37"/>
  <c r="BI16" i="37"/>
  <c r="AT16" i="37"/>
  <c r="AY4" i="37"/>
  <c r="BD14" i="37"/>
  <c r="AY17" i="37"/>
  <c r="BD19" i="37"/>
  <c r="AY12" i="37"/>
  <c r="AT5" i="37"/>
  <c r="AY14" i="37"/>
  <c r="BI5" i="37"/>
  <c r="AT7" i="37"/>
  <c r="AB17" i="37"/>
  <c r="AN17" i="37"/>
  <c r="AL18" i="37"/>
  <c r="AB18" i="37"/>
  <c r="AL19" i="37"/>
  <c r="AB19" i="37"/>
  <c r="AN19" i="37"/>
  <c r="AD19" i="37"/>
  <c r="AD20" i="37"/>
  <c r="AN20" i="37"/>
  <c r="AD17" i="37"/>
  <c r="AD18" i="37"/>
  <c r="AB20" i="37"/>
  <c r="AN18" i="37"/>
  <c r="AL20" i="37"/>
  <c r="AL17" i="37"/>
  <c r="AF83" i="37"/>
  <c r="BZ60" i="37"/>
  <c r="BZ83" i="37"/>
  <c r="BS86" i="37"/>
  <c r="BS88" i="37"/>
  <c r="BS92" i="37"/>
  <c r="BS97" i="37"/>
  <c r="BS99" i="37"/>
  <c r="BS102" i="37"/>
  <c r="BZ109" i="37"/>
  <c r="BS76" i="37"/>
  <c r="BZ79" i="37"/>
  <c r="BS82" i="37"/>
  <c r="BZ86" i="37"/>
  <c r="BZ88" i="37"/>
  <c r="BS91" i="37"/>
  <c r="BZ92" i="37"/>
  <c r="BS95" i="37"/>
  <c r="BZ99" i="37"/>
  <c r="BS104" i="37"/>
  <c r="BS107" i="37"/>
  <c r="BZ128" i="37"/>
  <c r="BS133" i="37"/>
  <c r="BZ136" i="37"/>
  <c r="BS139" i="37"/>
  <c r="BZ142" i="37"/>
  <c r="BZ52" i="37"/>
  <c r="BS84" i="37"/>
  <c r="BZ91" i="37"/>
  <c r="BZ95" i="37"/>
  <c r="BZ97" i="37"/>
  <c r="BZ102" i="37"/>
  <c r="BS106" i="37"/>
  <c r="BZ108" i="37"/>
  <c r="BZ129" i="37"/>
  <c r="BS134" i="37"/>
  <c r="BS140" i="37"/>
  <c r="BZ143" i="37"/>
  <c r="BS77" i="37"/>
  <c r="BZ84" i="37"/>
  <c r="BS87" i="37"/>
  <c r="BS89" i="37"/>
  <c r="BS93" i="37"/>
  <c r="BS101" i="37"/>
  <c r="BZ104" i="37"/>
  <c r="BZ110" i="37"/>
  <c r="BZ111" i="37"/>
  <c r="BZ112" i="37"/>
  <c r="BZ113" i="37"/>
  <c r="BZ114" i="37"/>
  <c r="BZ115" i="37"/>
  <c r="BZ116" i="37"/>
  <c r="BZ117" i="37"/>
  <c r="BZ118" i="37"/>
  <c r="BZ87" i="37"/>
  <c r="BZ89" i="37"/>
  <c r="BZ93" i="37"/>
  <c r="BS96" i="37"/>
  <c r="BS100" i="37"/>
  <c r="BS103" i="37"/>
  <c r="BZ107" i="37"/>
  <c r="BZ120" i="37"/>
  <c r="BZ121" i="37"/>
  <c r="BZ122" i="37"/>
  <c r="BZ123" i="37"/>
  <c r="BZ124" i="37"/>
  <c r="BZ125" i="37"/>
  <c r="BZ126" i="37"/>
  <c r="BS128" i="37"/>
  <c r="BZ131" i="37"/>
  <c r="BS90" i="37"/>
  <c r="BS94" i="37"/>
  <c r="BZ101" i="37"/>
  <c r="BS108" i="37"/>
  <c r="BS116" i="37"/>
  <c r="BS120" i="37"/>
  <c r="BS127" i="37"/>
  <c r="BZ132" i="37"/>
  <c r="BS135" i="37"/>
  <c r="BS142" i="37"/>
  <c r="BS143" i="37"/>
  <c r="BS98" i="37"/>
  <c r="BS126" i="37"/>
  <c r="BZ103" i="37"/>
  <c r="BZ138" i="37"/>
  <c r="BZ145" i="37"/>
  <c r="BS61" i="37"/>
  <c r="BZ90" i="37"/>
  <c r="BZ94" i="37"/>
  <c r="BZ105" i="37"/>
  <c r="BS113" i="37"/>
  <c r="BS119" i="37"/>
  <c r="BS125" i="37"/>
  <c r="BS136" i="37"/>
  <c r="BS145" i="37"/>
  <c r="BZ146" i="37"/>
  <c r="BS129" i="37"/>
  <c r="BZ98" i="37"/>
  <c r="BS111" i="37"/>
  <c r="BS70" i="37"/>
  <c r="BS110" i="37"/>
  <c r="BS118" i="37"/>
  <c r="BS122" i="37"/>
  <c r="BS130" i="37"/>
  <c r="BS138" i="37"/>
  <c r="BZ100" i="37"/>
  <c r="BS109" i="37"/>
  <c r="BS115" i="37"/>
  <c r="BS131" i="37"/>
  <c r="BS132" i="37"/>
  <c r="BZ140" i="37"/>
  <c r="BZ144" i="37"/>
  <c r="BS146" i="37"/>
  <c r="BZ134" i="37"/>
  <c r="BZ141" i="37"/>
  <c r="BS137" i="37"/>
  <c r="BZ106" i="37"/>
  <c r="BS112" i="37"/>
  <c r="BS124" i="37"/>
  <c r="BS114" i="37"/>
  <c r="BS144" i="37"/>
  <c r="BS105" i="37"/>
  <c r="BS123" i="37"/>
  <c r="BS141" i="37"/>
  <c r="BS80" i="37"/>
  <c r="BS81" i="37"/>
  <c r="BS85" i="37"/>
  <c r="BS117" i="37"/>
  <c r="BZ119" i="37"/>
  <c r="BS121" i="37"/>
  <c r="BZ127" i="37"/>
  <c r="BZ135" i="37"/>
  <c r="BZ137" i="37"/>
  <c r="BZ139" i="37"/>
  <c r="BS50" i="37"/>
  <c r="BZ55" i="37"/>
  <c r="BS78" i="37"/>
  <c r="BS83" i="37"/>
  <c r="BZ85" i="37"/>
  <c r="BZ96" i="37"/>
  <c r="BZ133" i="37"/>
  <c r="BZ130" i="37"/>
  <c r="BZ74" i="37"/>
  <c r="BZ17" i="37"/>
  <c r="BS10" i="37"/>
  <c r="BS5" i="37"/>
  <c r="BS18" i="37"/>
  <c r="BZ30" i="37"/>
  <c r="BS26" i="37"/>
  <c r="BS23" i="37"/>
  <c r="BZ44" i="37"/>
  <c r="BS39" i="37"/>
  <c r="BS48" i="37"/>
  <c r="BS52" i="37"/>
  <c r="BZ57" i="37"/>
  <c r="BS58" i="37"/>
  <c r="BZ71" i="37"/>
  <c r="BS64" i="37"/>
  <c r="BZ11" i="37"/>
  <c r="BZ40" i="37"/>
  <c r="BS56" i="37"/>
  <c r="BS8" i="37"/>
  <c r="BZ43" i="37"/>
  <c r="BS63" i="37"/>
  <c r="BZ82" i="37"/>
  <c r="BZ63" i="37"/>
  <c r="BS73" i="37"/>
  <c r="BS68" i="37"/>
  <c r="BZ5" i="37"/>
  <c r="BZ4" i="37"/>
  <c r="BS17" i="37"/>
  <c r="BS7" i="37"/>
  <c r="BS4" i="37"/>
  <c r="BZ32" i="37"/>
  <c r="BS27" i="37"/>
  <c r="BS29" i="37"/>
  <c r="BZ45" i="37"/>
  <c r="BS40" i="37"/>
  <c r="BS37" i="37"/>
  <c r="BS44" i="37"/>
  <c r="BZ58" i="37"/>
  <c r="BS59" i="37"/>
  <c r="BZ69" i="37"/>
  <c r="BS60" i="37"/>
  <c r="BZ14" i="37"/>
  <c r="BZ27" i="37"/>
  <c r="BZ41" i="37"/>
  <c r="BZ75" i="37"/>
  <c r="BZ28" i="37"/>
  <c r="BS38" i="37"/>
  <c r="BS57" i="37"/>
  <c r="BS75" i="37"/>
  <c r="BZ81" i="37"/>
  <c r="BZ61" i="37"/>
  <c r="BZ7" i="37"/>
  <c r="BZ6" i="37"/>
  <c r="BZ13" i="37"/>
  <c r="BS9" i="37"/>
  <c r="BZ19" i="37"/>
  <c r="BZ33" i="37"/>
  <c r="BS28" i="37"/>
  <c r="BS36" i="37"/>
  <c r="BZ46" i="37"/>
  <c r="BS42" i="37"/>
  <c r="BS43" i="37"/>
  <c r="BS49" i="37"/>
  <c r="BZ59" i="37"/>
  <c r="BS41" i="37"/>
  <c r="BZ68" i="37"/>
  <c r="BZ76" i="37"/>
  <c r="BS24" i="37"/>
  <c r="BZ64" i="37"/>
  <c r="BS65" i="37"/>
  <c r="BS25" i="37"/>
  <c r="BS35" i="37"/>
  <c r="BS62" i="37"/>
  <c r="BZ80" i="37"/>
  <c r="BS46" i="37"/>
  <c r="BS72" i="37"/>
  <c r="BS67" i="37"/>
  <c r="BS12" i="37"/>
  <c r="BZ8" i="37"/>
  <c r="BZ15" i="37"/>
  <c r="BS11" i="37"/>
  <c r="BZ24" i="37"/>
  <c r="BZ34" i="37"/>
  <c r="BS30" i="37"/>
  <c r="BS32" i="37"/>
  <c r="BZ47" i="37"/>
  <c r="BS31" i="37"/>
  <c r="BS47" i="37"/>
  <c r="BZ51" i="37"/>
  <c r="BS45" i="37"/>
  <c r="BZ50" i="37"/>
  <c r="BZ67" i="37"/>
  <c r="BS55" i="37"/>
  <c r="BZ23" i="37"/>
  <c r="BS74" i="37"/>
  <c r="BZ78" i="37"/>
  <c r="BS13" i="37"/>
  <c r="BZ9" i="37"/>
  <c r="BZ20" i="37"/>
  <c r="BS6" i="37"/>
  <c r="BZ25" i="37"/>
  <c r="BZ35" i="37"/>
  <c r="BZ18" i="37"/>
  <c r="BZ38" i="37"/>
  <c r="BZ29" i="37"/>
  <c r="BS34" i="37"/>
  <c r="BZ49" i="37"/>
  <c r="BZ31" i="37"/>
  <c r="BS51" i="37"/>
  <c r="BZ66" i="37"/>
  <c r="BS15" i="37"/>
  <c r="BS21" i="37"/>
  <c r="BZ54" i="37"/>
  <c r="BS69" i="37"/>
  <c r="BZ16" i="37"/>
  <c r="BS22" i="37"/>
  <c r="BZ56" i="37"/>
  <c r="BZ53" i="37"/>
  <c r="BZ70" i="37"/>
  <c r="BZ77" i="37"/>
  <c r="BS71" i="37"/>
  <c r="BS66" i="37"/>
  <c r="BS14" i="37"/>
  <c r="BZ10" i="37"/>
  <c r="BZ21" i="37"/>
  <c r="BZ12" i="37"/>
  <c r="BZ26" i="37"/>
  <c r="BS20" i="37"/>
  <c r="BS19" i="37"/>
  <c r="BZ39" i="37"/>
  <c r="BS33" i="37"/>
  <c r="BZ36" i="37"/>
  <c r="BS53" i="37"/>
  <c r="BZ48" i="37"/>
  <c r="BS54" i="37"/>
  <c r="BS79" i="37"/>
  <c r="BZ65" i="37"/>
  <c r="BZ22" i="37"/>
  <c r="BZ37" i="37"/>
  <c r="BZ73" i="37"/>
  <c r="BZ62" i="37"/>
  <c r="BS16" i="37"/>
  <c r="BZ42" i="37"/>
  <c r="BZ72" i="37"/>
  <c r="AD79" i="37"/>
  <c r="AL80" i="37"/>
  <c r="AN80" i="37"/>
  <c r="AB79" i="37"/>
  <c r="AN79" i="37"/>
  <c r="AL79" i="37"/>
  <c r="AB80" i="37"/>
  <c r="AD80" i="37"/>
  <c r="AF74" i="37"/>
  <c r="BR90" i="37"/>
  <c r="BY105" i="37"/>
  <c r="BR106" i="37"/>
  <c r="BY111" i="37"/>
  <c r="BY115" i="37"/>
  <c r="BY119" i="37"/>
  <c r="BR121" i="37"/>
  <c r="BR125" i="37"/>
  <c r="BR84" i="37"/>
  <c r="BY90" i="37"/>
  <c r="BR97" i="37"/>
  <c r="BR103" i="37"/>
  <c r="BY110" i="37"/>
  <c r="BY114" i="37"/>
  <c r="BY118" i="37"/>
  <c r="BR120" i="37"/>
  <c r="BR124" i="37"/>
  <c r="BY130" i="37"/>
  <c r="BY83" i="37"/>
  <c r="BR85" i="37"/>
  <c r="BY91" i="37"/>
  <c r="BR111" i="37"/>
  <c r="BR115" i="37"/>
  <c r="BR119" i="37"/>
  <c r="BY122" i="37"/>
  <c r="BY126" i="37"/>
  <c r="BY129" i="37"/>
  <c r="BR131" i="37"/>
  <c r="BY139" i="37"/>
  <c r="BR141" i="37"/>
  <c r="BY84" i="37"/>
  <c r="BR86" i="37"/>
  <c r="BR104" i="37"/>
  <c r="BY106" i="37"/>
  <c r="BY113" i="37"/>
  <c r="BY117" i="37"/>
  <c r="BR123" i="37"/>
  <c r="BY128" i="37"/>
  <c r="BR130" i="37"/>
  <c r="BY85" i="37"/>
  <c r="BR87" i="37"/>
  <c r="BY97" i="37"/>
  <c r="BR105" i="37"/>
  <c r="BR107" i="37"/>
  <c r="BY108" i="37"/>
  <c r="BR109" i="37"/>
  <c r="BR110" i="37"/>
  <c r="BR114" i="37"/>
  <c r="BR118" i="37"/>
  <c r="BY121" i="37"/>
  <c r="BY125" i="37"/>
  <c r="BY127" i="37"/>
  <c r="BR129" i="37"/>
  <c r="BY86" i="37"/>
  <c r="BY112" i="37"/>
  <c r="BY116" i="37"/>
  <c r="BR122" i="37"/>
  <c r="BR126" i="37"/>
  <c r="BR128" i="37"/>
  <c r="BY134" i="37"/>
  <c r="BR136" i="37"/>
  <c r="BR138" i="37"/>
  <c r="BY144" i="37"/>
  <c r="BR89" i="37"/>
  <c r="BR116" i="37"/>
  <c r="BY124" i="37"/>
  <c r="BR135" i="37"/>
  <c r="BR139" i="37"/>
  <c r="BR142" i="37"/>
  <c r="BR117" i="37"/>
  <c r="BY141" i="37"/>
  <c r="BR132" i="37"/>
  <c r="BY138" i="37"/>
  <c r="BY146" i="37"/>
  <c r="BY89" i="37"/>
  <c r="BR91" i="37"/>
  <c r="BY120" i="37"/>
  <c r="BY137" i="37"/>
  <c r="BR108" i="37"/>
  <c r="BR113" i="37"/>
  <c r="BR127" i="37"/>
  <c r="BY131" i="37"/>
  <c r="BR134" i="37"/>
  <c r="BR137" i="37"/>
  <c r="BR145" i="37"/>
  <c r="BR146" i="37"/>
  <c r="BY136" i="37"/>
  <c r="BY140" i="37"/>
  <c r="BR144" i="37"/>
  <c r="BR83" i="37"/>
  <c r="BR102" i="37"/>
  <c r="BY133" i="37"/>
  <c r="BY143" i="37"/>
  <c r="BY145" i="37"/>
  <c r="BR101" i="37"/>
  <c r="BY107" i="37"/>
  <c r="BY109" i="37"/>
  <c r="BY135" i="37"/>
  <c r="BR140" i="37"/>
  <c r="BY142" i="37"/>
  <c r="BY87" i="37"/>
  <c r="BY123" i="37"/>
  <c r="BY132" i="37"/>
  <c r="BR133" i="37"/>
  <c r="BR143" i="37"/>
  <c r="BR112" i="37"/>
  <c r="BY6" i="37"/>
  <c r="BR8" i="37"/>
  <c r="BR16" i="37"/>
  <c r="BR22" i="37"/>
  <c r="BY19" i="37"/>
  <c r="BR27" i="37"/>
  <c r="BY31" i="37"/>
  <c r="BR42" i="37"/>
  <c r="BY24" i="37"/>
  <c r="BY36" i="37"/>
  <c r="BY57" i="37"/>
  <c r="BR54" i="37"/>
  <c r="BR48" i="37"/>
  <c r="BR36" i="37"/>
  <c r="BR73" i="37"/>
  <c r="BY100" i="37"/>
  <c r="BR98" i="37"/>
  <c r="BY76" i="37"/>
  <c r="BR64" i="37"/>
  <c r="BR81" i="37"/>
  <c r="BY55" i="37"/>
  <c r="BY49" i="37"/>
  <c r="BY71" i="37"/>
  <c r="BY56" i="37"/>
  <c r="BY8" i="37"/>
  <c r="BR9" i="37"/>
  <c r="BY20" i="37"/>
  <c r="BR23" i="37"/>
  <c r="BY5" i="37"/>
  <c r="BR28" i="37"/>
  <c r="BY33" i="37"/>
  <c r="BR44" i="37"/>
  <c r="BY25" i="37"/>
  <c r="BY45" i="37"/>
  <c r="BY58" i="37"/>
  <c r="BR56" i="37"/>
  <c r="BY60" i="37"/>
  <c r="BR65" i="37"/>
  <c r="BY92" i="37"/>
  <c r="BY44" i="37"/>
  <c r="BR99" i="37"/>
  <c r="BY77" i="37"/>
  <c r="BY70" i="37"/>
  <c r="BR82" i="37"/>
  <c r="BR70" i="37"/>
  <c r="BR60" i="37"/>
  <c r="BY72" i="37"/>
  <c r="BR52" i="37"/>
  <c r="BY9" i="37"/>
  <c r="BR10" i="37"/>
  <c r="BY21" i="37"/>
  <c r="BY12" i="37"/>
  <c r="BY17" i="37"/>
  <c r="BR30" i="37"/>
  <c r="BY28" i="37"/>
  <c r="BR45" i="37"/>
  <c r="BY26" i="37"/>
  <c r="BR49" i="37"/>
  <c r="BY59" i="37"/>
  <c r="BR57" i="37"/>
  <c r="BY61" i="37"/>
  <c r="BR66" i="37"/>
  <c r="BY93" i="37"/>
  <c r="BY88" i="37"/>
  <c r="BR100" i="37"/>
  <c r="BY78" i="37"/>
  <c r="BR74" i="37"/>
  <c r="BY101" i="37"/>
  <c r="BY53" i="37"/>
  <c r="BR63" i="37"/>
  <c r="BY73" i="37"/>
  <c r="BY10" i="37"/>
  <c r="BR11" i="37"/>
  <c r="BY22" i="37"/>
  <c r="BR13" i="37"/>
  <c r="BR19" i="37"/>
  <c r="BR32" i="37"/>
  <c r="BY35" i="37"/>
  <c r="BR46" i="37"/>
  <c r="BY27" i="37"/>
  <c r="BY51" i="37"/>
  <c r="BY39" i="37"/>
  <c r="BR58" i="37"/>
  <c r="BY62" i="37"/>
  <c r="BR67" i="37"/>
  <c r="BY94" i="37"/>
  <c r="BR92" i="37"/>
  <c r="BY41" i="37"/>
  <c r="BY80" i="37"/>
  <c r="BR75" i="37"/>
  <c r="BY102" i="37"/>
  <c r="BR62" i="37"/>
  <c r="BY65" i="37"/>
  <c r="BR79" i="37"/>
  <c r="BY30" i="37"/>
  <c r="BY11" i="37"/>
  <c r="BR12" i="37"/>
  <c r="BY23" i="37"/>
  <c r="BY14" i="37"/>
  <c r="BY7" i="37"/>
  <c r="BR33" i="37"/>
  <c r="BY37" i="37"/>
  <c r="BR47" i="37"/>
  <c r="BR41" i="37"/>
  <c r="BY38" i="37"/>
  <c r="BY42" i="37"/>
  <c r="BR59" i="37"/>
  <c r="BY63" i="37"/>
  <c r="BR68" i="37"/>
  <c r="BY95" i="37"/>
  <c r="BR93" i="37"/>
  <c r="O71" i="37"/>
  <c r="BY81" i="37"/>
  <c r="BR76" i="37"/>
  <c r="BY103" i="37"/>
  <c r="O70" i="37"/>
  <c r="BY66" i="37"/>
  <c r="BR18" i="37"/>
  <c r="BR5" i="37"/>
  <c r="BR17" i="37"/>
  <c r="BY13" i="37"/>
  <c r="BY18" i="37"/>
  <c r="BR15" i="37"/>
  <c r="BR24" i="37"/>
  <c r="BR34" i="37"/>
  <c r="BR38" i="37"/>
  <c r="BR31" i="37"/>
  <c r="BR43" i="37"/>
  <c r="BY48" i="37"/>
  <c r="BY43" i="37"/>
  <c r="BY40" i="37"/>
  <c r="BY64" i="37"/>
  <c r="BR69" i="37"/>
  <c r="BY96" i="37"/>
  <c r="BR94" i="37"/>
  <c r="BY82" i="37"/>
  <c r="BR77" i="37"/>
  <c r="BY104" i="37"/>
  <c r="BY67" i="37"/>
  <c r="BR53" i="37"/>
  <c r="BR40" i="37"/>
  <c r="BR7" i="37"/>
  <c r="BR4" i="37"/>
  <c r="BR14" i="37"/>
  <c r="BR20" i="37"/>
  <c r="BY16" i="37"/>
  <c r="BR25" i="37"/>
  <c r="BR35" i="37"/>
  <c r="BR39" i="37"/>
  <c r="BR37" i="37"/>
  <c r="BR29" i="37"/>
  <c r="BY54" i="37"/>
  <c r="BY46" i="37"/>
  <c r="BY50" i="37"/>
  <c r="BY34" i="37"/>
  <c r="BR71" i="37"/>
  <c r="BY98" i="37"/>
  <c r="BR95" i="37"/>
  <c r="BY74" i="37"/>
  <c r="BR88" i="37"/>
  <c r="BR78" i="37"/>
  <c r="BR50" i="37"/>
  <c r="BY68" i="37"/>
  <c r="BR61" i="37"/>
  <c r="BY4" i="37"/>
  <c r="BR6" i="37"/>
  <c r="BY15" i="37"/>
  <c r="BR21" i="37"/>
  <c r="BR26" i="37"/>
  <c r="BY29" i="37"/>
  <c r="BR51" i="37"/>
  <c r="BY47" i="37"/>
  <c r="BY32" i="37"/>
  <c r="BR72" i="37"/>
  <c r="BY99" i="37"/>
  <c r="BR96" i="37"/>
  <c r="BY75" i="37"/>
  <c r="BR55" i="37"/>
  <c r="BR80" i="37"/>
  <c r="BY52" i="37"/>
  <c r="BY79" i="37"/>
  <c r="BY69" i="37"/>
  <c r="AN71" i="37"/>
  <c r="AB70" i="37"/>
  <c r="AL71" i="37"/>
  <c r="AL70" i="37"/>
  <c r="AB71" i="37"/>
  <c r="AD71" i="37"/>
  <c r="AN70" i="37"/>
  <c r="AD70" i="37"/>
  <c r="AF12" i="37"/>
  <c r="AX8" i="37"/>
  <c r="BC17" i="37"/>
  <c r="BH19" i="37"/>
  <c r="AX21" i="37"/>
  <c r="BH22" i="37"/>
  <c r="BC31" i="37"/>
  <c r="BH38" i="37"/>
  <c r="AX41" i="37"/>
  <c r="BH43" i="37"/>
  <c r="AX44" i="37"/>
  <c r="AS45" i="37"/>
  <c r="BH47" i="37"/>
  <c r="BC48" i="37"/>
  <c r="BC51" i="37"/>
  <c r="BH52" i="37"/>
  <c r="AS54" i="37"/>
  <c r="BC54" i="37"/>
  <c r="AX61" i="37"/>
  <c r="AS63" i="37"/>
  <c r="AX66" i="37"/>
  <c r="AX68" i="37"/>
  <c r="AX70" i="37"/>
  <c r="BH71" i="37"/>
  <c r="BH73" i="37"/>
  <c r="BH74" i="37"/>
  <c r="BC75" i="37"/>
  <c r="AX76" i="37"/>
  <c r="BH77" i="37"/>
  <c r="AX82" i="37"/>
  <c r="BC84" i="37"/>
  <c r="AS86" i="37"/>
  <c r="BH87" i="37"/>
  <c r="AX89" i="37"/>
  <c r="BH93" i="37"/>
  <c r="AS94" i="37"/>
  <c r="BC96" i="37"/>
  <c r="BC97" i="37"/>
  <c r="BH98" i="37"/>
  <c r="AS99" i="37"/>
  <c r="AS100" i="37"/>
  <c r="AX101" i="37"/>
  <c r="BC103" i="37"/>
  <c r="AS104" i="37"/>
  <c r="BH105" i="37"/>
  <c r="BH107" i="37"/>
  <c r="BH109" i="37"/>
  <c r="BH110" i="37"/>
  <c r="AX113" i="37"/>
  <c r="BH114" i="37"/>
  <c r="AX117" i="37"/>
  <c r="BH118" i="37"/>
  <c r="BC120" i="37"/>
  <c r="AS123" i="37"/>
  <c r="BC124" i="37"/>
  <c r="AX127" i="37"/>
  <c r="BH129" i="37"/>
  <c r="AS130" i="37"/>
  <c r="BC132" i="37"/>
  <c r="BC13" i="37"/>
  <c r="AX18" i="37"/>
  <c r="AS20" i="37"/>
  <c r="BC21" i="37"/>
  <c r="AS23" i="37"/>
  <c r="BH31" i="37"/>
  <c r="BC40" i="37"/>
  <c r="AX47" i="37"/>
  <c r="AX49" i="37"/>
  <c r="BH49" i="37"/>
  <c r="AS51" i="37"/>
  <c r="BH53" i="37"/>
  <c r="BC55" i="37"/>
  <c r="BC60" i="37"/>
  <c r="AS64" i="37"/>
  <c r="BH66" i="37"/>
  <c r="BH68" i="37"/>
  <c r="BH70" i="37"/>
  <c r="AX72" i="37"/>
  <c r="BH76" i="37"/>
  <c r="AX81" i="37"/>
  <c r="BH82" i="37"/>
  <c r="AX83" i="37"/>
  <c r="BC86" i="37"/>
  <c r="BH89" i="37"/>
  <c r="AX91" i="37"/>
  <c r="AS92" i="37"/>
  <c r="BC94" i="37"/>
  <c r="BC99" i="37"/>
  <c r="BC100" i="37"/>
  <c r="BH101" i="37"/>
  <c r="AX102" i="37"/>
  <c r="BC104" i="37"/>
  <c r="AX108" i="37"/>
  <c r="AX112" i="37"/>
  <c r="BH113" i="37"/>
  <c r="AX116" i="37"/>
  <c r="BH117" i="37"/>
  <c r="AS122" i="37"/>
  <c r="BC123" i="37"/>
  <c r="AS126" i="37"/>
  <c r="BH127" i="37"/>
  <c r="AS128" i="37"/>
  <c r="BC130" i="37"/>
  <c r="BH14" i="37"/>
  <c r="BC18" i="37"/>
  <c r="AX20" i="37"/>
  <c r="BH21" i="37"/>
  <c r="AX23" i="37"/>
  <c r="AS25" i="37"/>
  <c r="AS26" i="37"/>
  <c r="AS27" i="37"/>
  <c r="AS28" i="37"/>
  <c r="AS29" i="37"/>
  <c r="AS30" i="37"/>
  <c r="BH32" i="37"/>
  <c r="BH33" i="37"/>
  <c r="BH34" i="37"/>
  <c r="BH35" i="37"/>
  <c r="AX36" i="37"/>
  <c r="AX37" i="37"/>
  <c r="AS39" i="37"/>
  <c r="BC41" i="37"/>
  <c r="BC42" i="37"/>
  <c r="AX43" i="37"/>
  <c r="BC44" i="37"/>
  <c r="AS46" i="37"/>
  <c r="BH48" i="37"/>
  <c r="AX53" i="37"/>
  <c r="AS61" i="37"/>
  <c r="AX62" i="37"/>
  <c r="AS66" i="37"/>
  <c r="AS68" i="37"/>
  <c r="AS70" i="37"/>
  <c r="BC71" i="37"/>
  <c r="BC73" i="37"/>
  <c r="BC74" i="37"/>
  <c r="AX75" i="37"/>
  <c r="AS76" i="37"/>
  <c r="BC77" i="37"/>
  <c r="AS82" i="37"/>
  <c r="AX84" i="37"/>
  <c r="BC87" i="37"/>
  <c r="BH88" i="37"/>
  <c r="AS89" i="37"/>
  <c r="BH90" i="37"/>
  <c r="BC93" i="37"/>
  <c r="AX96" i="37"/>
  <c r="AX97" i="37"/>
  <c r="BC98" i="37"/>
  <c r="AS101" i="37"/>
  <c r="AX103" i="37"/>
  <c r="BC105" i="37"/>
  <c r="BH106" i="37"/>
  <c r="BC107" i="37"/>
  <c r="BC109" i="37"/>
  <c r="BC110" i="37"/>
  <c r="AS113" i="37"/>
  <c r="BC114" i="37"/>
  <c r="AS117" i="37"/>
  <c r="BC118" i="37"/>
  <c r="AX120" i="37"/>
  <c r="BH121" i="37"/>
  <c r="AX124" i="37"/>
  <c r="BH125" i="37"/>
  <c r="AS127" i="37"/>
  <c r="BC129" i="37"/>
  <c r="AX132" i="37"/>
  <c r="BH134" i="37"/>
  <c r="AS135" i="37"/>
  <c r="BC137" i="37"/>
  <c r="BC139" i="37"/>
  <c r="AX142" i="37"/>
  <c r="BH144" i="37"/>
  <c r="AX145" i="37"/>
  <c r="BC15" i="37"/>
  <c r="BH18" i="37"/>
  <c r="BC20" i="37"/>
  <c r="AS22" i="37"/>
  <c r="AS24" i="37"/>
  <c r="AS31" i="37"/>
  <c r="AS32" i="37"/>
  <c r="AX38" i="37"/>
  <c r="AS40" i="37"/>
  <c r="BH40" i="37"/>
  <c r="AX45" i="37"/>
  <c r="BH46" i="37"/>
  <c r="BC50" i="37"/>
  <c r="BH51" i="37"/>
  <c r="AX54" i="37"/>
  <c r="BH54" i="37"/>
  <c r="BC61" i="37"/>
  <c r="BH62" i="37"/>
  <c r="BC64" i="37"/>
  <c r="AX65" i="37"/>
  <c r="AX67" i="37"/>
  <c r="AX69" i="37"/>
  <c r="BH72" i="37"/>
  <c r="AX78" i="37"/>
  <c r="AX79" i="37"/>
  <c r="AX80" i="37"/>
  <c r="BH81" i="37"/>
  <c r="BH83" i="37"/>
  <c r="AX85" i="37"/>
  <c r="AS88" i="37"/>
  <c r="AS90" i="37"/>
  <c r="BH91" i="37"/>
  <c r="BC92" i="37"/>
  <c r="AX95" i="37"/>
  <c r="BH102" i="37"/>
  <c r="AS106" i="37"/>
  <c r="BH108" i="37"/>
  <c r="AX111" i="37"/>
  <c r="BH112" i="37"/>
  <c r="AX115" i="37"/>
  <c r="BH116" i="37"/>
  <c r="AX119" i="37"/>
  <c r="AS121" i="37"/>
  <c r="BC122" i="37"/>
  <c r="AS125" i="37"/>
  <c r="BC126" i="37"/>
  <c r="BC128" i="37"/>
  <c r="AX131" i="37"/>
  <c r="BH133" i="37"/>
  <c r="AS134" i="37"/>
  <c r="BH16" i="37"/>
  <c r="AS19" i="37"/>
  <c r="BH20" i="37"/>
  <c r="AX22" i="37"/>
  <c r="BC23" i="37"/>
  <c r="AX24" i="37"/>
  <c r="AX25" i="37"/>
  <c r="AX26" i="37"/>
  <c r="AX27" i="37"/>
  <c r="AX28" i="37"/>
  <c r="AX29" i="37"/>
  <c r="AX30" i="37"/>
  <c r="AS33" i="37"/>
  <c r="AS34" i="37"/>
  <c r="AS35" i="37"/>
  <c r="BC36" i="37"/>
  <c r="BC37" i="37"/>
  <c r="AX39" i="37"/>
  <c r="BH41" i="37"/>
  <c r="BH42" i="37"/>
  <c r="AS44" i="37"/>
  <c r="BH44" i="37"/>
  <c r="AX48" i="37"/>
  <c r="AS50" i="37"/>
  <c r="AX51" i="37"/>
  <c r="BC52" i="37"/>
  <c r="AS56" i="37"/>
  <c r="BC56" i="37"/>
  <c r="AS57" i="37"/>
  <c r="BC57" i="37"/>
  <c r="AS58" i="37"/>
  <c r="BC58" i="37"/>
  <c r="AS59" i="37"/>
  <c r="BC59" i="37"/>
  <c r="AX63" i="37"/>
  <c r="BC66" i="37"/>
  <c r="BC68" i="37"/>
  <c r="BC70" i="37"/>
  <c r="AS72" i="37"/>
  <c r="BH75" i="37"/>
  <c r="BC76" i="37"/>
  <c r="AS81" i="37"/>
  <c r="BC82" i="37"/>
  <c r="AS83" i="37"/>
  <c r="BH84" i="37"/>
  <c r="AX86" i="37"/>
  <c r="BC89" i="37"/>
  <c r="AS91" i="37"/>
  <c r="AX94" i="37"/>
  <c r="BH96" i="37"/>
  <c r="BH97" i="37"/>
  <c r="AX99" i="37"/>
  <c r="AX100" i="37"/>
  <c r="BC101" i="37"/>
  <c r="AS102" i="37"/>
  <c r="BH103" i="37"/>
  <c r="AX104" i="37"/>
  <c r="AS108" i="37"/>
  <c r="AS112" i="37"/>
  <c r="BC113" i="37"/>
  <c r="AS116" i="37"/>
  <c r="BC117" i="37"/>
  <c r="BH120" i="37"/>
  <c r="AX123" i="37"/>
  <c r="BH124" i="37"/>
  <c r="BC127" i="37"/>
  <c r="AX130" i="37"/>
  <c r="AS17" i="37"/>
  <c r="AX19" i="37"/>
  <c r="BH23" i="37"/>
  <c r="AX31" i="37"/>
  <c r="AX32" i="37"/>
  <c r="BC38" i="37"/>
  <c r="AS41" i="37"/>
  <c r="BC43" i="37"/>
  <c r="BC45" i="37"/>
  <c r="AX46" i="37"/>
  <c r="BC47" i="37"/>
  <c r="BC49" i="37"/>
  <c r="AS52" i="37"/>
  <c r="AS53" i="37"/>
  <c r="AX55" i="37"/>
  <c r="BH55" i="37"/>
  <c r="AX60" i="37"/>
  <c r="AS62" i="37"/>
  <c r="BH63" i="37"/>
  <c r="BH65" i="37"/>
  <c r="BH67" i="37"/>
  <c r="BH69" i="37"/>
  <c r="AX71" i="37"/>
  <c r="AX73" i="37"/>
  <c r="AX74" i="37"/>
  <c r="AS75" i="37"/>
  <c r="AX77" i="37"/>
  <c r="BH78" i="37"/>
  <c r="BH79" i="37"/>
  <c r="BH80" i="37"/>
  <c r="AS84" i="37"/>
  <c r="BH85" i="37"/>
  <c r="AX87" i="37"/>
  <c r="BC88" i="37"/>
  <c r="BC90" i="37"/>
  <c r="AX93" i="37"/>
  <c r="BH95" i="37"/>
  <c r="AS96" i="37"/>
  <c r="AS97" i="37"/>
  <c r="AX98" i="37"/>
  <c r="AS103" i="37"/>
  <c r="AX105" i="37"/>
  <c r="BC106" i="37"/>
  <c r="AX107" i="37"/>
  <c r="AX109" i="37"/>
  <c r="AX110" i="37"/>
  <c r="BH111" i="37"/>
  <c r="AX114" i="37"/>
  <c r="BH115" i="37"/>
  <c r="AX118" i="37"/>
  <c r="BH119" i="37"/>
  <c r="AS120" i="37"/>
  <c r="BC121" i="37"/>
  <c r="AS124" i="37"/>
  <c r="BC125" i="37"/>
  <c r="AX129" i="37"/>
  <c r="BH131" i="37"/>
  <c r="AS132" i="37"/>
  <c r="BC134" i="37"/>
  <c r="AX137" i="37"/>
  <c r="AX139" i="37"/>
  <c r="BH141" i="37"/>
  <c r="AS142" i="37"/>
  <c r="BC144" i="37"/>
  <c r="AS145" i="37"/>
  <c r="BH17" i="37"/>
  <c r="BC24" i="37"/>
  <c r="BH25" i="37"/>
  <c r="BC28" i="37"/>
  <c r="BH29" i="37"/>
  <c r="BC32" i="37"/>
  <c r="AX35" i="37"/>
  <c r="BH39" i="37"/>
  <c r="AS47" i="37"/>
  <c r="AX50" i="37"/>
  <c r="BH58" i="37"/>
  <c r="AX64" i="37"/>
  <c r="BC65" i="37"/>
  <c r="BC72" i="37"/>
  <c r="AS77" i="37"/>
  <c r="BC80" i="37"/>
  <c r="AX88" i="37"/>
  <c r="BC95" i="37"/>
  <c r="BC111" i="37"/>
  <c r="AS129" i="37"/>
  <c r="AX136" i="37"/>
  <c r="AS138" i="37"/>
  <c r="AX143" i="37"/>
  <c r="BH136" i="37"/>
  <c r="AS144" i="37"/>
  <c r="BC19" i="37"/>
  <c r="AS36" i="37"/>
  <c r="AX42" i="37"/>
  <c r="AS55" i="37"/>
  <c r="AX58" i="37"/>
  <c r="BH61" i="37"/>
  <c r="BH64" i="37"/>
  <c r="AS67" i="37"/>
  <c r="AS73" i="37"/>
  <c r="AS79" i="37"/>
  <c r="AX90" i="37"/>
  <c r="BC91" i="37"/>
  <c r="BC112" i="37"/>
  <c r="AX125" i="37"/>
  <c r="AX128" i="37"/>
  <c r="AX133" i="37"/>
  <c r="AX135" i="37"/>
  <c r="AS137" i="37"/>
  <c r="BH140" i="37"/>
  <c r="AS141" i="37"/>
  <c r="BC145" i="37"/>
  <c r="BC146" i="37"/>
  <c r="BH128" i="37"/>
  <c r="BH24" i="37"/>
  <c r="BC27" i="37"/>
  <c r="BH28" i="37"/>
  <c r="AX34" i="37"/>
  <c r="BC35" i="37"/>
  <c r="AS49" i="37"/>
  <c r="AX52" i="37"/>
  <c r="BH57" i="37"/>
  <c r="BH60" i="37"/>
  <c r="BC67" i="37"/>
  <c r="BC79" i="37"/>
  <c r="BH100" i="37"/>
  <c r="AS107" i="37"/>
  <c r="BC108" i="37"/>
  <c r="AS109" i="37"/>
  <c r="AS118" i="37"/>
  <c r="AX126" i="37"/>
  <c r="BH37" i="37"/>
  <c r="BC46" i="37"/>
  <c r="AX57" i="37"/>
  <c r="AS69" i="37"/>
  <c r="AS74" i="37"/>
  <c r="AS78" i="37"/>
  <c r="BC81" i="37"/>
  <c r="BH104" i="37"/>
  <c r="AS119" i="37"/>
  <c r="AX121" i="37"/>
  <c r="BH126" i="37"/>
  <c r="BH135" i="37"/>
  <c r="AS136" i="37"/>
  <c r="BH139" i="37"/>
  <c r="BC141" i="37"/>
  <c r="BH142" i="37"/>
  <c r="AS143" i="37"/>
  <c r="AS105" i="37"/>
  <c r="AS114" i="37"/>
  <c r="BC119" i="37"/>
  <c r="AX122" i="37"/>
  <c r="AS131" i="37"/>
  <c r="BH132" i="37"/>
  <c r="AS133" i="37"/>
  <c r="BC140" i="37"/>
  <c r="AX146" i="37"/>
  <c r="BC143" i="37"/>
  <c r="AX144" i="37"/>
  <c r="BC138" i="37"/>
  <c r="AS21" i="37"/>
  <c r="BC26" i="37"/>
  <c r="BH27" i="37"/>
  <c r="BC30" i="37"/>
  <c r="AX33" i="37"/>
  <c r="BC34" i="37"/>
  <c r="BC53" i="37"/>
  <c r="BH56" i="37"/>
  <c r="BC63" i="37"/>
  <c r="BC69" i="37"/>
  <c r="BC78" i="37"/>
  <c r="BC83" i="37"/>
  <c r="AS85" i="37"/>
  <c r="BC102" i="37"/>
  <c r="BH36" i="37"/>
  <c r="AS38" i="37"/>
  <c r="AX40" i="37"/>
  <c r="BH45" i="37"/>
  <c r="BH50" i="37"/>
  <c r="AX56" i="37"/>
  <c r="BC62" i="37"/>
  <c r="BC85" i="37"/>
  <c r="BH86" i="37"/>
  <c r="AS87" i="37"/>
  <c r="AS98" i="37"/>
  <c r="BH99" i="37"/>
  <c r="AS115" i="37"/>
  <c r="BH122" i="37"/>
  <c r="BC131" i="37"/>
  <c r="BC136" i="37"/>
  <c r="AX138" i="37"/>
  <c r="AS146" i="37"/>
  <c r="BH143" i="37"/>
  <c r="BH12" i="37"/>
  <c r="BC25" i="37"/>
  <c r="BH26" i="37"/>
  <c r="BC29" i="37"/>
  <c r="BH30" i="37"/>
  <c r="BC33" i="37"/>
  <c r="BC39" i="37"/>
  <c r="BH59" i="37"/>
  <c r="AS60" i="37"/>
  <c r="AX92" i="37"/>
  <c r="AX106" i="37"/>
  <c r="AS110" i="37"/>
  <c r="BC115" i="37"/>
  <c r="BH123" i="37"/>
  <c r="BH130" i="37"/>
  <c r="BC133" i="37"/>
  <c r="AX134" i="37"/>
  <c r="BC135" i="37"/>
  <c r="BH137" i="37"/>
  <c r="AS139" i="37"/>
  <c r="AX141" i="37"/>
  <c r="BC142" i="37"/>
  <c r="BH145" i="37"/>
  <c r="BH146" i="37"/>
  <c r="AX17" i="37"/>
  <c r="BC22" i="37"/>
  <c r="AS37" i="37"/>
  <c r="AS42" i="37"/>
  <c r="AS43" i="37"/>
  <c r="AS48" i="37"/>
  <c r="AX59" i="37"/>
  <c r="AS65" i="37"/>
  <c r="AS71" i="37"/>
  <c r="AS80" i="37"/>
  <c r="BH92" i="37"/>
  <c r="AS93" i="37"/>
  <c r="BH94" i="37"/>
  <c r="AS95" i="37"/>
  <c r="AS111" i="37"/>
  <c r="BC116" i="37"/>
  <c r="BH138" i="37"/>
  <c r="AX140" i="37"/>
  <c r="AS140" i="37"/>
  <c r="AS4" i="37"/>
  <c r="AX14" i="37"/>
  <c r="AS13" i="37"/>
  <c r="BH8" i="37"/>
  <c r="BC8" i="37"/>
  <c r="BC12" i="37"/>
  <c r="AX4" i="37"/>
  <c r="AX15" i="37"/>
  <c r="AS14" i="37"/>
  <c r="AS6" i="37"/>
  <c r="BH11" i="37"/>
  <c r="BC6" i="37"/>
  <c r="BH10" i="37"/>
  <c r="AS8" i="37"/>
  <c r="AX16" i="37"/>
  <c r="AS15" i="37"/>
  <c r="O7" i="37"/>
  <c r="BH9" i="37"/>
  <c r="BC11" i="37"/>
  <c r="AS9" i="37"/>
  <c r="BC4" i="37"/>
  <c r="AS16" i="37"/>
  <c r="O6" i="37"/>
  <c r="AX6" i="37"/>
  <c r="BH6" i="37"/>
  <c r="BC5" i="37"/>
  <c r="BH5" i="37"/>
  <c r="AX11" i="37"/>
  <c r="AX13" i="37"/>
  <c r="AX9" i="37"/>
  <c r="AX10" i="37"/>
  <c r="AS10" i="37"/>
  <c r="O5" i="37"/>
  <c r="AS18" i="37"/>
  <c r="AX5" i="37"/>
  <c r="BC16" i="37"/>
  <c r="AX7" i="37"/>
  <c r="BC9" i="37"/>
  <c r="AS5" i="37"/>
  <c r="AS11" i="37"/>
  <c r="BH15" i="37"/>
  <c r="BH13" i="37"/>
  <c r="AX12" i="37"/>
  <c r="BH7" i="37"/>
  <c r="AS7" i="37"/>
  <c r="BH4" i="37"/>
  <c r="BC10" i="37"/>
  <c r="BC14" i="37"/>
  <c r="O8" i="37"/>
  <c r="AS12" i="37"/>
  <c r="BC7" i="37"/>
  <c r="AL6" i="37"/>
  <c r="AN8" i="37"/>
  <c r="AD7" i="37"/>
  <c r="AL8" i="37"/>
  <c r="AD8" i="37"/>
  <c r="AL7" i="37"/>
  <c r="AB6" i="37"/>
  <c r="AB7" i="37"/>
  <c r="AN7" i="37"/>
  <c r="AD6" i="37"/>
  <c r="AN5" i="37"/>
  <c r="AB5" i="37"/>
  <c r="AB8" i="37"/>
  <c r="AD5" i="37"/>
  <c r="AL5" i="37"/>
  <c r="AN6" i="37"/>
  <c r="B97" i="12"/>
  <c r="V40" i="14"/>
  <c r="V41" i="14"/>
  <c r="V39" i="14"/>
  <c r="Z106" i="37" l="1"/>
  <c r="H53" i="37"/>
  <c r="H56" i="37"/>
  <c r="I106" i="37"/>
  <c r="P54" i="37"/>
  <c r="U54" i="37" s="1"/>
  <c r="P41" i="37"/>
  <c r="Z97" i="37"/>
  <c r="I88" i="37"/>
  <c r="E31" i="37"/>
  <c r="I30" i="37"/>
  <c r="I29" i="37"/>
  <c r="G98" i="37"/>
  <c r="G44" i="37"/>
  <c r="P44" i="37"/>
  <c r="V44" i="37" s="1"/>
  <c r="I89" i="37"/>
  <c r="P89" i="37"/>
  <c r="G137" i="37"/>
  <c r="G145" i="37" s="1"/>
  <c r="P97" i="37"/>
  <c r="V97" i="37" s="1"/>
  <c r="P98" i="37"/>
  <c r="T98" i="37" s="1"/>
  <c r="G97" i="37"/>
  <c r="AJ41" i="37"/>
  <c r="AJ42" i="37"/>
  <c r="E43" i="37"/>
  <c r="P42" i="37"/>
  <c r="U42" i="37" s="1"/>
  <c r="AJ107" i="37"/>
  <c r="AJ106" i="37"/>
  <c r="I97" i="37"/>
  <c r="P43" i="37"/>
  <c r="V43" i="37" s="1"/>
  <c r="G42" i="37"/>
  <c r="E41" i="37"/>
  <c r="E42" i="37"/>
  <c r="AJ89" i="37"/>
  <c r="E88" i="37"/>
  <c r="AJ92" i="37" s="1"/>
  <c r="AK92" i="37" s="1"/>
  <c r="P106" i="37"/>
  <c r="V106" i="37" s="1"/>
  <c r="H43" i="37"/>
  <c r="P119" i="37"/>
  <c r="P137" i="37"/>
  <c r="P107" i="37"/>
  <c r="T107" i="37" s="1"/>
  <c r="P29" i="37"/>
  <c r="T29" i="37" s="1"/>
  <c r="P32" i="37"/>
  <c r="P31" i="37"/>
  <c r="H31" i="37"/>
  <c r="G29" i="37"/>
  <c r="P30" i="37"/>
  <c r="V30" i="37" s="1"/>
  <c r="I54" i="37"/>
  <c r="P53" i="37"/>
  <c r="U53" i="37" s="1"/>
  <c r="AJ56" i="37"/>
  <c r="G55" i="37"/>
  <c r="P56" i="37"/>
  <c r="U56" i="37" s="1"/>
  <c r="Z53" i="37"/>
  <c r="I137" i="37"/>
  <c r="I145" i="37" s="1"/>
  <c r="I119" i="37"/>
  <c r="I127" i="37" s="1"/>
  <c r="P88" i="37"/>
  <c r="T88" i="37" s="1"/>
  <c r="H89" i="37"/>
  <c r="E107" i="37"/>
  <c r="G92" i="37"/>
  <c r="M92" i="37"/>
  <c r="U30" i="37"/>
  <c r="T30" i="37"/>
  <c r="AG30" i="37"/>
  <c r="F30" i="37"/>
  <c r="K30" i="37"/>
  <c r="J30" i="37"/>
  <c r="AG32" i="37"/>
  <c r="K32" i="37"/>
  <c r="F32" i="37"/>
  <c r="J32" i="37"/>
  <c r="AG5" i="37"/>
  <c r="AG71" i="37"/>
  <c r="AJ88" i="37"/>
  <c r="H88" i="37"/>
  <c r="H119" i="37"/>
  <c r="H127" i="37" s="1"/>
  <c r="K119" i="37"/>
  <c r="K127" i="37" s="1"/>
  <c r="O119" i="37"/>
  <c r="J119" i="37"/>
  <c r="J127" i="37" s="1"/>
  <c r="AG89" i="37"/>
  <c r="J89" i="37"/>
  <c r="K89" i="37"/>
  <c r="F89" i="37"/>
  <c r="AJ98" i="37"/>
  <c r="H107" i="37"/>
  <c r="AG98" i="37"/>
  <c r="F98" i="37"/>
  <c r="J98" i="37"/>
  <c r="K98" i="37"/>
  <c r="AG42" i="37"/>
  <c r="K42" i="37"/>
  <c r="F42" i="37"/>
  <c r="R42" i="37" s="1"/>
  <c r="J42" i="37"/>
  <c r="AJ55" i="37"/>
  <c r="Z55" i="37"/>
  <c r="H54" i="37"/>
  <c r="Z42" i="37"/>
  <c r="AJ43" i="37"/>
  <c r="AJ31" i="37"/>
  <c r="AJ29" i="37"/>
  <c r="H32" i="37"/>
  <c r="AG106" i="37"/>
  <c r="F106" i="37"/>
  <c r="J106" i="37"/>
  <c r="K106" i="37"/>
  <c r="U32" i="37"/>
  <c r="T32" i="37"/>
  <c r="V32" i="37"/>
  <c r="AG54" i="37"/>
  <c r="F54" i="37"/>
  <c r="J54" i="37"/>
  <c r="K54" i="37"/>
  <c r="T56" i="37"/>
  <c r="V56" i="37"/>
  <c r="G88" i="37"/>
  <c r="G89" i="37"/>
  <c r="E56" i="37"/>
  <c r="F119" i="37"/>
  <c r="F127" i="37" s="1"/>
  <c r="I98" i="37"/>
  <c r="H137" i="37"/>
  <c r="H145" i="37" s="1"/>
  <c r="G107" i="37"/>
  <c r="AG41" i="37"/>
  <c r="F41" i="37"/>
  <c r="K41" i="37"/>
  <c r="J41" i="37"/>
  <c r="I55" i="37"/>
  <c r="G56" i="37"/>
  <c r="Z56" i="37"/>
  <c r="I44" i="37"/>
  <c r="I32" i="37"/>
  <c r="Z30" i="37"/>
  <c r="AJ30" i="37"/>
  <c r="U106" i="37"/>
  <c r="T106" i="37"/>
  <c r="AG31" i="37"/>
  <c r="F31" i="37"/>
  <c r="J31" i="37"/>
  <c r="K31" i="37"/>
  <c r="AG53" i="37"/>
  <c r="J53" i="37"/>
  <c r="F53" i="37"/>
  <c r="K53" i="37"/>
  <c r="T55" i="37"/>
  <c r="V55" i="37"/>
  <c r="U55" i="37"/>
  <c r="Z88" i="37"/>
  <c r="E44" i="37"/>
  <c r="E32" i="37"/>
  <c r="E89" i="37"/>
  <c r="AG88" i="37"/>
  <c r="K88" i="37"/>
  <c r="F88" i="37"/>
  <c r="J88" i="37"/>
  <c r="H97" i="37"/>
  <c r="G106" i="37"/>
  <c r="AG43" i="37"/>
  <c r="J43" i="37"/>
  <c r="K43" i="37"/>
  <c r="F43" i="37"/>
  <c r="AJ54" i="37"/>
  <c r="AJ53" i="37"/>
  <c r="I53" i="37"/>
  <c r="H44" i="37"/>
  <c r="I42" i="37"/>
  <c r="H29" i="37"/>
  <c r="G30" i="37"/>
  <c r="G31" i="37"/>
  <c r="U29" i="37"/>
  <c r="V29" i="37"/>
  <c r="AG55" i="37"/>
  <c r="F55" i="37"/>
  <c r="J55" i="37"/>
  <c r="K55" i="37"/>
  <c r="G43" i="37"/>
  <c r="Z89" i="37"/>
  <c r="E53" i="37"/>
  <c r="G119" i="37"/>
  <c r="G127" i="37" s="1"/>
  <c r="AJ97" i="37"/>
  <c r="Z107" i="37"/>
  <c r="G54" i="37"/>
  <c r="G53" i="37"/>
  <c r="H55" i="37"/>
  <c r="H42" i="37"/>
  <c r="H41" i="37"/>
  <c r="I31" i="37"/>
  <c r="G32" i="37"/>
  <c r="Z31" i="37"/>
  <c r="AG29" i="37"/>
  <c r="J29" i="37"/>
  <c r="K29" i="37"/>
  <c r="F29" i="37"/>
  <c r="E106" i="37"/>
  <c r="E55" i="37"/>
  <c r="Z98" i="37"/>
  <c r="K137" i="37"/>
  <c r="K145" i="37" s="1"/>
  <c r="O137" i="37"/>
  <c r="J137" i="37"/>
  <c r="J145" i="37" s="1"/>
  <c r="I107" i="37"/>
  <c r="T41" i="37"/>
  <c r="V41" i="37"/>
  <c r="U41" i="37"/>
  <c r="U44" i="37"/>
  <c r="T44" i="37"/>
  <c r="I56" i="37"/>
  <c r="Z41" i="37"/>
  <c r="G41" i="37"/>
  <c r="Z29" i="37"/>
  <c r="H30" i="37"/>
  <c r="E54" i="37"/>
  <c r="E30" i="37"/>
  <c r="H98" i="37"/>
  <c r="F137" i="37"/>
  <c r="F145" i="37" s="1"/>
  <c r="H106" i="37"/>
  <c r="U98" i="37"/>
  <c r="V98" i="37"/>
  <c r="AG97" i="37"/>
  <c r="K97" i="37"/>
  <c r="F97" i="37"/>
  <c r="J97" i="37"/>
  <c r="Z54" i="37"/>
  <c r="I43" i="37"/>
  <c r="I41" i="37"/>
  <c r="Z43" i="37"/>
  <c r="Z32" i="37"/>
  <c r="U107" i="37"/>
  <c r="AG107" i="37"/>
  <c r="F107" i="37"/>
  <c r="J107" i="37"/>
  <c r="K107" i="37"/>
  <c r="E98" i="37"/>
  <c r="AG56" i="37"/>
  <c r="J56" i="37"/>
  <c r="K56" i="37"/>
  <c r="F56" i="37"/>
  <c r="R56" i="37" s="1"/>
  <c r="R54" i="37"/>
  <c r="E29" i="37"/>
  <c r="T89" i="37"/>
  <c r="U89" i="37"/>
  <c r="V89" i="37"/>
  <c r="AG44" i="37"/>
  <c r="K44" i="37"/>
  <c r="F44" i="37"/>
  <c r="J44" i="37"/>
  <c r="T42" i="37"/>
  <c r="V42" i="37"/>
  <c r="AJ44" i="37"/>
  <c r="Z44" i="37"/>
  <c r="AJ32" i="37"/>
  <c r="E97" i="37"/>
  <c r="T31" i="37"/>
  <c r="U31" i="37"/>
  <c r="V31" i="37"/>
  <c r="T54" i="37"/>
  <c r="V54" i="37"/>
  <c r="AG6" i="37"/>
  <c r="AG79" i="37"/>
  <c r="AG19" i="37"/>
  <c r="AG8" i="37"/>
  <c r="AG7" i="37"/>
  <c r="AG17" i="37"/>
  <c r="AG80" i="37"/>
  <c r="AG70" i="37"/>
  <c r="AG20" i="37"/>
  <c r="AG18" i="37"/>
  <c r="E71" i="37"/>
  <c r="H19" i="37"/>
  <c r="O79" i="37"/>
  <c r="H6" i="37"/>
  <c r="O80" i="37"/>
  <c r="AJ18" i="37"/>
  <c r="I17" i="37"/>
  <c r="I79" i="37"/>
  <c r="I20" i="37"/>
  <c r="H18" i="37"/>
  <c r="AJ20" i="37"/>
  <c r="H20" i="37"/>
  <c r="G20" i="37"/>
  <c r="Z18" i="37"/>
  <c r="AJ17" i="37"/>
  <c r="H17" i="37"/>
  <c r="AJ19" i="37"/>
  <c r="Z19" i="37"/>
  <c r="G18" i="37"/>
  <c r="I19" i="37"/>
  <c r="G17" i="37"/>
  <c r="P80" i="37"/>
  <c r="Z80" i="37"/>
  <c r="G79" i="37"/>
  <c r="AJ79" i="37"/>
  <c r="AJ80" i="37"/>
  <c r="I80" i="37"/>
  <c r="P20" i="37"/>
  <c r="V20" i="37" s="1"/>
  <c r="Z79" i="37"/>
  <c r="P79" i="37"/>
  <c r="I18" i="37"/>
  <c r="P17" i="37"/>
  <c r="U17" i="37" s="1"/>
  <c r="H80" i="37"/>
  <c r="P19" i="37"/>
  <c r="U19" i="37" s="1"/>
  <c r="P18" i="37"/>
  <c r="V18" i="37" s="1"/>
  <c r="G80" i="37"/>
  <c r="E80" i="37"/>
  <c r="H79" i="37"/>
  <c r="F79" i="37"/>
  <c r="J79" i="37"/>
  <c r="K79" i="37"/>
  <c r="Z20" i="37"/>
  <c r="J20" i="37"/>
  <c r="F20" i="37"/>
  <c r="S20" i="37" s="1"/>
  <c r="K20" i="37"/>
  <c r="E18" i="37"/>
  <c r="J18" i="37"/>
  <c r="K18" i="37"/>
  <c r="F18" i="37"/>
  <c r="E19" i="37"/>
  <c r="U18" i="37"/>
  <c r="E20" i="37"/>
  <c r="E79" i="37"/>
  <c r="J80" i="37"/>
  <c r="K80" i="37"/>
  <c r="F80" i="37"/>
  <c r="G19" i="37"/>
  <c r="J19" i="37"/>
  <c r="K19" i="37"/>
  <c r="F19" i="37"/>
  <c r="Z17" i="37"/>
  <c r="J17" i="37"/>
  <c r="F17" i="37"/>
  <c r="K17" i="37"/>
  <c r="E17" i="37"/>
  <c r="P7" i="37"/>
  <c r="V7" i="37" s="1"/>
  <c r="H8" i="37"/>
  <c r="Z6" i="37"/>
  <c r="I8" i="37"/>
  <c r="P70" i="37"/>
  <c r="T70" i="37" s="1"/>
  <c r="G8" i="37"/>
  <c r="AJ7" i="37"/>
  <c r="Z5" i="37"/>
  <c r="I6" i="37"/>
  <c r="Z71" i="37"/>
  <c r="H70" i="37"/>
  <c r="P71" i="37"/>
  <c r="T71" i="37" s="1"/>
  <c r="P8" i="37"/>
  <c r="U8" i="37" s="1"/>
  <c r="P6" i="37"/>
  <c r="V6" i="37" s="1"/>
  <c r="I71" i="37"/>
  <c r="P5" i="37"/>
  <c r="U5" i="37" s="1"/>
  <c r="H71" i="37"/>
  <c r="E5" i="37"/>
  <c r="G70" i="37"/>
  <c r="AJ8" i="37"/>
  <c r="I5" i="37"/>
  <c r="G71" i="37"/>
  <c r="F70" i="37"/>
  <c r="J70" i="37"/>
  <c r="K70" i="37"/>
  <c r="G6" i="37"/>
  <c r="AJ6" i="37"/>
  <c r="J6" i="37"/>
  <c r="F6" i="37"/>
  <c r="K6" i="37"/>
  <c r="AJ70" i="37"/>
  <c r="AJ71" i="37"/>
  <c r="Z7" i="37"/>
  <c r="U7" i="37"/>
  <c r="T7" i="37"/>
  <c r="H7" i="37"/>
  <c r="G7" i="37"/>
  <c r="E6" i="37"/>
  <c r="K7" i="37"/>
  <c r="F7" i="37"/>
  <c r="J7" i="37"/>
  <c r="U70" i="37"/>
  <c r="V70" i="37"/>
  <c r="E70" i="37"/>
  <c r="E7" i="37"/>
  <c r="K5" i="37"/>
  <c r="F5" i="37"/>
  <c r="J5" i="37"/>
  <c r="F8" i="37"/>
  <c r="K8" i="37"/>
  <c r="J8" i="37"/>
  <c r="I70" i="37"/>
  <c r="G5" i="37"/>
  <c r="F71" i="37"/>
  <c r="K71" i="37"/>
  <c r="J71" i="37"/>
  <c r="Z8" i="37"/>
  <c r="AJ5" i="37"/>
  <c r="H5" i="37"/>
  <c r="I7" i="37"/>
  <c r="E8" i="37"/>
  <c r="Z70" i="37"/>
  <c r="S24" i="14"/>
  <c r="F24" i="14"/>
  <c r="G101" i="12" s="1"/>
  <c r="R24" i="14"/>
  <c r="V6" i="14"/>
  <c r="V7" i="14"/>
  <c r="V8" i="14"/>
  <c r="V9" i="14"/>
  <c r="V5" i="14"/>
  <c r="U6" i="14"/>
  <c r="U7" i="14"/>
  <c r="U8" i="14"/>
  <c r="U9" i="14"/>
  <c r="U5" i="14"/>
  <c r="AN92" i="37" l="1"/>
  <c r="AO92" i="37" s="1"/>
  <c r="M54" i="37"/>
  <c r="X54" i="37" s="1"/>
  <c r="V71" i="37"/>
  <c r="N71" i="37" s="1"/>
  <c r="Y71" i="37" s="1"/>
  <c r="V107" i="37"/>
  <c r="V53" i="37"/>
  <c r="V80" i="37"/>
  <c r="T53" i="37"/>
  <c r="N106" i="37"/>
  <c r="Y106" i="37" s="1"/>
  <c r="W92" i="37"/>
  <c r="T43" i="37"/>
  <c r="Q43" i="37" s="1"/>
  <c r="U43" i="37"/>
  <c r="T97" i="37"/>
  <c r="U97" i="37"/>
  <c r="H48" i="37"/>
  <c r="R48" i="37"/>
  <c r="R23" i="14" s="1"/>
  <c r="R92" i="37"/>
  <c r="U92" i="37"/>
  <c r="Z92" i="37"/>
  <c r="AA92" i="37" s="1"/>
  <c r="J92" i="37"/>
  <c r="S92" i="37"/>
  <c r="Y92" i="37"/>
  <c r="H92" i="37"/>
  <c r="X92" i="37"/>
  <c r="M53" i="37"/>
  <c r="L107" i="37"/>
  <c r="W107" i="37" s="1"/>
  <c r="AL48" i="37"/>
  <c r="J48" i="37"/>
  <c r="G23" i="14" s="1"/>
  <c r="AJ48" i="37"/>
  <c r="G48" i="37"/>
  <c r="AN48" i="37"/>
  <c r="K48" i="37"/>
  <c r="V48" i="37"/>
  <c r="AG92" i="37"/>
  <c r="AH92" i="37" s="1"/>
  <c r="AI92" i="37" s="1"/>
  <c r="V79" i="37"/>
  <c r="N79" i="37" s="1"/>
  <c r="Y79" i="37" s="1"/>
  <c r="Y83" i="37" s="1"/>
  <c r="V88" i="37"/>
  <c r="S88" i="37" s="1"/>
  <c r="V17" i="37"/>
  <c r="U88" i="37"/>
  <c r="M88" i="37" s="1"/>
  <c r="X88" i="37" s="1"/>
  <c r="AD92" i="37"/>
  <c r="AE92" i="37" s="1"/>
  <c r="AB92" i="37"/>
  <c r="AC92" i="37" s="1"/>
  <c r="K92" i="37"/>
  <c r="AD48" i="37"/>
  <c r="Z48" i="37"/>
  <c r="T17" i="37"/>
  <c r="I92" i="37"/>
  <c r="F92" i="37"/>
  <c r="V92" i="37"/>
  <c r="AB48" i="37"/>
  <c r="T48" i="37"/>
  <c r="AG48" i="37"/>
  <c r="L98" i="37"/>
  <c r="W98" i="37" s="1"/>
  <c r="Q92" i="37"/>
  <c r="AL92" i="37"/>
  <c r="AM92" i="37" s="1"/>
  <c r="L92" i="37"/>
  <c r="U48" i="37"/>
  <c r="I48" i="37"/>
  <c r="T92" i="37"/>
  <c r="N92" i="37"/>
  <c r="F48" i="37"/>
  <c r="N89" i="37"/>
  <c r="Y89" i="37" s="1"/>
  <c r="S89" i="37"/>
  <c r="S107" i="37"/>
  <c r="N107" i="37"/>
  <c r="Y107" i="37" s="1"/>
  <c r="M44" i="37"/>
  <c r="X44" i="37" s="1"/>
  <c r="R44" i="37"/>
  <c r="N43" i="37"/>
  <c r="Y43" i="37" s="1"/>
  <c r="S43" i="37"/>
  <c r="L32" i="37"/>
  <c r="W32" i="37" s="1"/>
  <c r="Q32" i="37"/>
  <c r="M30" i="37"/>
  <c r="X30" i="37" s="1"/>
  <c r="R30" i="37"/>
  <c r="Q98" i="37"/>
  <c r="S54" i="37"/>
  <c r="N54" i="37"/>
  <c r="R89" i="37"/>
  <c r="M89" i="37"/>
  <c r="X89" i="37" s="1"/>
  <c r="R41" i="37"/>
  <c r="M41" i="37"/>
  <c r="X41" i="37" s="1"/>
  <c r="N53" i="37"/>
  <c r="Y53" i="37" s="1"/>
  <c r="S53" i="37"/>
  <c r="N56" i="37"/>
  <c r="Y56" i="37" s="1"/>
  <c r="S56" i="37"/>
  <c r="M32" i="37"/>
  <c r="X32" i="37" s="1"/>
  <c r="R32" i="37"/>
  <c r="N30" i="37"/>
  <c r="Y30" i="37" s="1"/>
  <c r="S30" i="37"/>
  <c r="V8" i="37"/>
  <c r="S8" i="37" s="1"/>
  <c r="T8" i="37"/>
  <c r="L8" i="37" s="1"/>
  <c r="W8" i="37" s="1"/>
  <c r="L54" i="37"/>
  <c r="W54" i="37" s="1"/>
  <c r="Q54" i="37"/>
  <c r="S42" i="37"/>
  <c r="N42" i="37"/>
  <c r="Y42" i="37" s="1"/>
  <c r="Q89" i="37"/>
  <c r="L89" i="37"/>
  <c r="W89" i="37" s="1"/>
  <c r="S98" i="37"/>
  <c r="N98" i="37"/>
  <c r="Y98" i="37" s="1"/>
  <c r="N41" i="37"/>
  <c r="Y41" i="37" s="1"/>
  <c r="Y48" i="37" s="1"/>
  <c r="S41" i="37"/>
  <c r="S48" i="37" s="1"/>
  <c r="S23" i="14" s="1"/>
  <c r="V110" i="37"/>
  <c r="N110" i="37"/>
  <c r="Z110" i="37"/>
  <c r="AA110" i="37" s="1"/>
  <c r="I110" i="37"/>
  <c r="AB110" i="37"/>
  <c r="AC110" i="37" s="1"/>
  <c r="R110" i="37"/>
  <c r="AJ110" i="37"/>
  <c r="AK110" i="37" s="1"/>
  <c r="Y110" i="37"/>
  <c r="AN110" i="37"/>
  <c r="AO110" i="37" s="1"/>
  <c r="F110" i="37"/>
  <c r="G110" i="37"/>
  <c r="X110" i="37"/>
  <c r="M110" i="37"/>
  <c r="AG110" i="37"/>
  <c r="AH110" i="37" s="1"/>
  <c r="AI110" i="37" s="1"/>
  <c r="S110" i="37"/>
  <c r="AD110" i="37"/>
  <c r="AE110" i="37" s="1"/>
  <c r="L110" i="37"/>
  <c r="K110" i="37"/>
  <c r="H110" i="37"/>
  <c r="AL110" i="37"/>
  <c r="AM110" i="37" s="1"/>
  <c r="W110" i="37"/>
  <c r="U110" i="37"/>
  <c r="T110" i="37"/>
  <c r="J110" i="37"/>
  <c r="Q110" i="37"/>
  <c r="AG60" i="37"/>
  <c r="AH60" i="37" s="1"/>
  <c r="AI60" i="37" s="1"/>
  <c r="K60" i="37"/>
  <c r="X60" i="37"/>
  <c r="AL60" i="37"/>
  <c r="AM60" i="37" s="1"/>
  <c r="F60" i="37"/>
  <c r="T60" i="37"/>
  <c r="Y60" i="37"/>
  <c r="R60" i="37"/>
  <c r="AD60" i="37"/>
  <c r="AE60" i="37" s="1"/>
  <c r="M60" i="37"/>
  <c r="U60" i="37"/>
  <c r="L60" i="37"/>
  <c r="AJ60" i="37"/>
  <c r="AK60" i="37" s="1"/>
  <c r="Q60" i="37"/>
  <c r="N60" i="37"/>
  <c r="G60" i="37"/>
  <c r="S60" i="37"/>
  <c r="Z60" i="37"/>
  <c r="AA60" i="37" s="1"/>
  <c r="AB60" i="37"/>
  <c r="AC60" i="37" s="1"/>
  <c r="W60" i="37"/>
  <c r="AN60" i="37"/>
  <c r="AO60" i="37" s="1"/>
  <c r="J60" i="37"/>
  <c r="V60" i="37"/>
  <c r="H60" i="37"/>
  <c r="I60" i="37"/>
  <c r="L53" i="37"/>
  <c r="W53" i="37" s="1"/>
  <c r="Q53" i="37"/>
  <c r="M55" i="37"/>
  <c r="X55" i="37" s="1"/>
  <c r="R55" i="37"/>
  <c r="Q56" i="37"/>
  <c r="L56" i="37"/>
  <c r="W56" i="37" s="1"/>
  <c r="M56" i="37"/>
  <c r="X56" i="37" s="1"/>
  <c r="S106" i="37"/>
  <c r="N31" i="37"/>
  <c r="Y31" i="37" s="1"/>
  <c r="S31" i="37"/>
  <c r="Q42" i="37"/>
  <c r="L42" i="37"/>
  <c r="W42" i="37" s="1"/>
  <c r="F36" i="37"/>
  <c r="S36" i="37"/>
  <c r="S22" i="14" s="1"/>
  <c r="G36" i="37"/>
  <c r="M36" i="37"/>
  <c r="AG36" i="37"/>
  <c r="H36" i="37"/>
  <c r="V36" i="37"/>
  <c r="T36" i="37"/>
  <c r="Z36" i="37"/>
  <c r="U36" i="37"/>
  <c r="AL36" i="37"/>
  <c r="AM36" i="37" s="1"/>
  <c r="Q41" i="14" s="1"/>
  <c r="K36" i="37"/>
  <c r="R36" i="37"/>
  <c r="R22" i="14" s="1"/>
  <c r="AD36" i="37"/>
  <c r="AE36" i="37" s="1"/>
  <c r="I36" i="37"/>
  <c r="F22" i="14" s="1"/>
  <c r="G99" i="12" s="1"/>
  <c r="AN36" i="37"/>
  <c r="AO36" i="37" s="1"/>
  <c r="S41" i="14" s="1"/>
  <c r="AJ36" i="37"/>
  <c r="AK36" i="37" s="1"/>
  <c r="J36" i="37"/>
  <c r="G22" i="14" s="1"/>
  <c r="H99" i="12" s="1"/>
  <c r="AB36" i="37"/>
  <c r="AC36" i="37" s="1"/>
  <c r="R98" i="37"/>
  <c r="M98" i="37"/>
  <c r="X98" i="37" s="1"/>
  <c r="Q41" i="37"/>
  <c r="Q48" i="37" s="1"/>
  <c r="Q23" i="14" s="1"/>
  <c r="L41" i="37"/>
  <c r="W41" i="37" s="1"/>
  <c r="W48" i="37" s="1"/>
  <c r="Q29" i="37"/>
  <c r="Q36" i="37" s="1"/>
  <c r="L29" i="37"/>
  <c r="W29" i="37" s="1"/>
  <c r="W36" i="37" s="1"/>
  <c r="N55" i="37"/>
  <c r="Y55" i="37" s="1"/>
  <c r="S55" i="37"/>
  <c r="M31" i="37"/>
  <c r="X31" i="37" s="1"/>
  <c r="R31" i="37"/>
  <c r="S29" i="37"/>
  <c r="N29" i="37"/>
  <c r="Y29" i="37" s="1"/>
  <c r="Y36" i="37" s="1"/>
  <c r="Q55" i="37"/>
  <c r="L55" i="37"/>
  <c r="W55" i="37" s="1"/>
  <c r="Y54" i="37"/>
  <c r="Q97" i="37"/>
  <c r="L97" i="37"/>
  <c r="W97" i="37" s="1"/>
  <c r="R53" i="37"/>
  <c r="Q31" i="37"/>
  <c r="L31" i="37"/>
  <c r="W31" i="37" s="1"/>
  <c r="R29" i="37"/>
  <c r="M29" i="37"/>
  <c r="X29" i="37" s="1"/>
  <c r="X36" i="37" s="1"/>
  <c r="L106" i="37"/>
  <c r="W106" i="37" s="1"/>
  <c r="Q106" i="37"/>
  <c r="V119" i="37"/>
  <c r="S119" i="37" s="1"/>
  <c r="S127" i="37" s="1"/>
  <c r="T119" i="37"/>
  <c r="Q119" i="37" s="1"/>
  <c r="Q127" i="37" s="1"/>
  <c r="U119" i="37"/>
  <c r="R119" i="37" s="1"/>
  <c r="R127" i="37" s="1"/>
  <c r="M97" i="37"/>
  <c r="X97" i="37" s="1"/>
  <c r="R97" i="37"/>
  <c r="M42" i="37"/>
  <c r="X42" i="37" s="1"/>
  <c r="X48" i="37" s="1"/>
  <c r="G101" i="37"/>
  <c r="M101" i="37"/>
  <c r="H101" i="37"/>
  <c r="R101" i="37"/>
  <c r="K101" i="37"/>
  <c r="I101" i="37"/>
  <c r="N101" i="37"/>
  <c r="AN101" i="37"/>
  <c r="AO101" i="37" s="1"/>
  <c r="Q101" i="37"/>
  <c r="Y101" i="37"/>
  <c r="U101" i="37"/>
  <c r="F101" i="37"/>
  <c r="T101" i="37"/>
  <c r="L101" i="37"/>
  <c r="AD101" i="37"/>
  <c r="AE101" i="37" s="1"/>
  <c r="X101" i="37"/>
  <c r="AL101" i="37"/>
  <c r="AM101" i="37" s="1"/>
  <c r="W101" i="37"/>
  <c r="AJ101" i="37"/>
  <c r="AK101" i="37" s="1"/>
  <c r="AB101" i="37"/>
  <c r="AC101" i="37" s="1"/>
  <c r="V101" i="37"/>
  <c r="Z101" i="37"/>
  <c r="AA101" i="37" s="1"/>
  <c r="J101" i="37"/>
  <c r="S101" i="37"/>
  <c r="AG101" i="37"/>
  <c r="AH101" i="37" s="1"/>
  <c r="AI101" i="37" s="1"/>
  <c r="Q44" i="37"/>
  <c r="L44" i="37"/>
  <c r="W44" i="37" s="1"/>
  <c r="U137" i="37"/>
  <c r="R137" i="37" s="1"/>
  <c r="R145" i="37" s="1"/>
  <c r="V137" i="37"/>
  <c r="S137" i="37" s="1"/>
  <c r="S145" i="37" s="1"/>
  <c r="T137" i="37"/>
  <c r="Q137" i="37" s="1"/>
  <c r="Q145" i="37" s="1"/>
  <c r="M106" i="37"/>
  <c r="X106" i="37" s="1"/>
  <c r="R106" i="37"/>
  <c r="S97" i="37"/>
  <c r="N97" i="37"/>
  <c r="Y97" i="37" s="1"/>
  <c r="Q107" i="37"/>
  <c r="R107" i="37"/>
  <c r="M107" i="37"/>
  <c r="X107" i="37" s="1"/>
  <c r="S44" i="37"/>
  <c r="N44" i="37"/>
  <c r="Y44" i="37" s="1"/>
  <c r="M43" i="37"/>
  <c r="X43" i="37" s="1"/>
  <c r="R43" i="37"/>
  <c r="L88" i="37"/>
  <c r="W88" i="37" s="1"/>
  <c r="Q88" i="37"/>
  <c r="X53" i="37"/>
  <c r="S32" i="37"/>
  <c r="N32" i="37"/>
  <c r="Y32" i="37" s="1"/>
  <c r="L30" i="37"/>
  <c r="W30" i="37" s="1"/>
  <c r="Q30" i="37"/>
  <c r="T20" i="37"/>
  <c r="Q20" i="37" s="1"/>
  <c r="T19" i="37"/>
  <c r="Q19" i="37" s="1"/>
  <c r="U71" i="37"/>
  <c r="R71" i="37" s="1"/>
  <c r="U80" i="37"/>
  <c r="M80" i="37" s="1"/>
  <c r="X80" i="37" s="1"/>
  <c r="T80" i="37"/>
  <c r="L80" i="37" s="1"/>
  <c r="W80" i="37" s="1"/>
  <c r="U20" i="37"/>
  <c r="M20" i="37" s="1"/>
  <c r="X20" i="37" s="1"/>
  <c r="V5" i="37"/>
  <c r="N5" i="37" s="1"/>
  <c r="Y5" i="37" s="1"/>
  <c r="T5" i="37"/>
  <c r="L5" i="37" s="1"/>
  <c r="W5" i="37" s="1"/>
  <c r="T18" i="37"/>
  <c r="Q18" i="37" s="1"/>
  <c r="V19" i="37"/>
  <c r="N19" i="37" s="1"/>
  <c r="Y19" i="37" s="1"/>
  <c r="U79" i="37"/>
  <c r="M79" i="37" s="1"/>
  <c r="X79" i="37" s="1"/>
  <c r="T79" i="37"/>
  <c r="Q79" i="37" s="1"/>
  <c r="N18" i="37"/>
  <c r="Y18" i="37" s="1"/>
  <c r="S18" i="37"/>
  <c r="S24" i="37" s="1"/>
  <c r="N80" i="37"/>
  <c r="Y80" i="37" s="1"/>
  <c r="S80" i="37"/>
  <c r="R18" i="37"/>
  <c r="R24" i="37" s="1"/>
  <c r="M18" i="37"/>
  <c r="X18" i="37" s="1"/>
  <c r="L17" i="37"/>
  <c r="W17" i="37" s="1"/>
  <c r="Q17" i="37"/>
  <c r="R17" i="37"/>
  <c r="M17" i="37"/>
  <c r="X17" i="37" s="1"/>
  <c r="S17" i="37"/>
  <c r="N17" i="37"/>
  <c r="Y17" i="37" s="1"/>
  <c r="AG24" i="37"/>
  <c r="AH24" i="37" s="1"/>
  <c r="AI24" i="37" s="1"/>
  <c r="AN24" i="37"/>
  <c r="AO24" i="37" s="1"/>
  <c r="S40" i="14" s="1"/>
  <c r="AL24" i="37"/>
  <c r="AM24" i="37" s="1"/>
  <c r="F24" i="37"/>
  <c r="H24" i="37"/>
  <c r="K24" i="37"/>
  <c r="Q24" i="37"/>
  <c r="X24" i="37"/>
  <c r="J24" i="37"/>
  <c r="AJ24" i="37"/>
  <c r="AK24" i="37" s="1"/>
  <c r="AB24" i="37"/>
  <c r="AC24" i="37" s="1"/>
  <c r="Z24" i="37"/>
  <c r="N24" i="37"/>
  <c r="AD24" i="37"/>
  <c r="AE24" i="37" s="1"/>
  <c r="V24" i="37"/>
  <c r="G24" i="37"/>
  <c r="Y24" i="37"/>
  <c r="I24" i="37"/>
  <c r="U24" i="37"/>
  <c r="S19" i="37"/>
  <c r="G83" i="37"/>
  <c r="AB83" i="37"/>
  <c r="AC83" i="37" s="1"/>
  <c r="AG83" i="37"/>
  <c r="Z83" i="37"/>
  <c r="AA83" i="37" s="1"/>
  <c r="T83" i="37"/>
  <c r="V83" i="37"/>
  <c r="K83" i="37"/>
  <c r="AN83" i="37"/>
  <c r="AO83" i="37" s="1"/>
  <c r="I83" i="37"/>
  <c r="H83" i="37"/>
  <c r="J83" i="37"/>
  <c r="AD83" i="37"/>
  <c r="AE83" i="37" s="1"/>
  <c r="M40" i="14" s="1"/>
  <c r="F83" i="37"/>
  <c r="AJ83" i="37"/>
  <c r="AK83" i="37" s="1"/>
  <c r="O40" i="14" s="1"/>
  <c r="AL83" i="37"/>
  <c r="AM83" i="37" s="1"/>
  <c r="Q83" i="37"/>
  <c r="M19" i="37"/>
  <c r="X19" i="37" s="1"/>
  <c r="R19" i="37"/>
  <c r="N20" i="37"/>
  <c r="Y20" i="37" s="1"/>
  <c r="U6" i="37"/>
  <c r="R6" i="37" s="1"/>
  <c r="T6" i="37"/>
  <c r="L6" i="37" s="1"/>
  <c r="W6" i="37" s="1"/>
  <c r="N70" i="37"/>
  <c r="Y70" i="37" s="1"/>
  <c r="S70" i="37"/>
  <c r="R70" i="37"/>
  <c r="M70" i="37"/>
  <c r="X70" i="37" s="1"/>
  <c r="N7" i="37"/>
  <c r="Y7" i="37" s="1"/>
  <c r="S7" i="37"/>
  <c r="Q71" i="37"/>
  <c r="L71" i="37"/>
  <c r="W71" i="37" s="1"/>
  <c r="S71" i="37"/>
  <c r="M5" i="37"/>
  <c r="X5" i="37" s="1"/>
  <c r="R5" i="37"/>
  <c r="Q70" i="37"/>
  <c r="L70" i="37"/>
  <c r="W70" i="37" s="1"/>
  <c r="Q7" i="37"/>
  <c r="L7" i="37"/>
  <c r="W7" i="37" s="1"/>
  <c r="M7" i="37"/>
  <c r="X7" i="37" s="1"/>
  <c r="R7" i="37"/>
  <c r="AB74" i="37"/>
  <c r="AC74" i="37" s="1"/>
  <c r="AL74" i="37"/>
  <c r="AM74" i="37" s="1"/>
  <c r="Q74" i="37"/>
  <c r="U74" i="37"/>
  <c r="I74" i="37"/>
  <c r="T74" i="37"/>
  <c r="S74" i="37"/>
  <c r="Z74" i="37"/>
  <c r="AA74" i="37" s="1"/>
  <c r="J74" i="37"/>
  <c r="F74" i="37"/>
  <c r="G74" i="37"/>
  <c r="AN74" i="37"/>
  <c r="AO74" i="37" s="1"/>
  <c r="V74" i="37"/>
  <c r="Y74" i="37"/>
  <c r="AJ74" i="37"/>
  <c r="AK74" i="37" s="1"/>
  <c r="M74" i="37"/>
  <c r="AD74" i="37"/>
  <c r="AE74" i="37" s="1"/>
  <c r="K74" i="37"/>
  <c r="AG74" i="37"/>
  <c r="AH74" i="37" s="1"/>
  <c r="AI74" i="37" s="1"/>
  <c r="R74" i="37"/>
  <c r="W74" i="37"/>
  <c r="X74" i="37"/>
  <c r="L74" i="37"/>
  <c r="H74" i="37"/>
  <c r="N74" i="37"/>
  <c r="R8" i="37"/>
  <c r="M8" i="37"/>
  <c r="X8" i="37" s="1"/>
  <c r="N6" i="37"/>
  <c r="Y6" i="37" s="1"/>
  <c r="Y12" i="37" s="1"/>
  <c r="S6" i="37"/>
  <c r="AG12" i="37"/>
  <c r="K12" i="37"/>
  <c r="AN12" i="37"/>
  <c r="AO12" i="37" s="1"/>
  <c r="S39" i="14" s="1"/>
  <c r="H12" i="37"/>
  <c r="I12" i="37"/>
  <c r="J12" i="37"/>
  <c r="AL12" i="37"/>
  <c r="AM12" i="37" s="1"/>
  <c r="Q39" i="14" s="1"/>
  <c r="G12" i="37"/>
  <c r="V12" i="37"/>
  <c r="N12" i="37"/>
  <c r="AD12" i="37"/>
  <c r="AE12" i="37" s="1"/>
  <c r="M39" i="14" s="1"/>
  <c r="F12" i="37"/>
  <c r="AJ12" i="37"/>
  <c r="AK12" i="37" s="1"/>
  <c r="O39" i="14" s="1"/>
  <c r="Z12" i="37"/>
  <c r="AB12" i="37"/>
  <c r="AC12" i="37" s="1"/>
  <c r="K39" i="14" s="1"/>
  <c r="R39" i="14"/>
  <c r="R41" i="14"/>
  <c r="M41" i="14"/>
  <c r="L41" i="14"/>
  <c r="K41" i="14"/>
  <c r="J41" i="14"/>
  <c r="O41" i="14"/>
  <c r="N41" i="14"/>
  <c r="Q40" i="14"/>
  <c r="P40" i="14"/>
  <c r="Q24" i="14"/>
  <c r="H22" i="14"/>
  <c r="V99" i="12" s="1"/>
  <c r="F23" i="14"/>
  <c r="G100" i="12" s="1"/>
  <c r="J24" i="14"/>
  <c r="Q101" i="12" s="1"/>
  <c r="H100" i="12"/>
  <c r="D23" i="14"/>
  <c r="E100" i="12" s="1"/>
  <c r="H101" i="12"/>
  <c r="H23" i="14"/>
  <c r="V100" i="12" s="1"/>
  <c r="D24" i="14"/>
  <c r="E101" i="12" s="1"/>
  <c r="E22" i="14"/>
  <c r="F99" i="12" s="1"/>
  <c r="D22" i="14"/>
  <c r="E99" i="12" s="1"/>
  <c r="H24" i="14"/>
  <c r="V101" i="12" s="1"/>
  <c r="C23" i="14"/>
  <c r="D100" i="12" s="1"/>
  <c r="E24" i="14"/>
  <c r="F101" i="12" s="1"/>
  <c r="E23" i="14"/>
  <c r="F100" i="12" s="1"/>
  <c r="O24" i="14"/>
  <c r="T101" i="12" s="1"/>
  <c r="P24" i="14"/>
  <c r="U101" i="12" s="1"/>
  <c r="N24" i="14"/>
  <c r="S101" i="12" s="1"/>
  <c r="L43" i="37" l="1"/>
  <c r="W43" i="37" s="1"/>
  <c r="AH48" i="37"/>
  <c r="AI48" i="37" s="1"/>
  <c r="C42" i="14"/>
  <c r="AA48" i="37"/>
  <c r="I42" i="14" s="1"/>
  <c r="H42" i="14"/>
  <c r="AO48" i="37"/>
  <c r="S42" i="14" s="1"/>
  <c r="R42" i="14"/>
  <c r="M48" i="37"/>
  <c r="J23" i="14" s="1"/>
  <c r="Q100" i="12" s="1"/>
  <c r="N48" i="37"/>
  <c r="K23" i="14" s="1"/>
  <c r="R100" i="12" s="1"/>
  <c r="AE48" i="37"/>
  <c r="M42" i="14" s="1"/>
  <c r="L42" i="14"/>
  <c r="AK48" i="37"/>
  <c r="O42" i="14" s="1"/>
  <c r="N42" i="14"/>
  <c r="AC48" i="37"/>
  <c r="K42" i="14" s="1"/>
  <c r="J42" i="14"/>
  <c r="AM48" i="37"/>
  <c r="Q42" i="14" s="1"/>
  <c r="P42" i="14"/>
  <c r="L48" i="37"/>
  <c r="I23" i="14" s="1"/>
  <c r="P100" i="12" s="1"/>
  <c r="AH36" i="37"/>
  <c r="AI36" i="37" s="1"/>
  <c r="C41" i="14"/>
  <c r="P41" i="14"/>
  <c r="L36" i="37"/>
  <c r="AA36" i="37"/>
  <c r="I41" i="14" s="1"/>
  <c r="H41" i="14"/>
  <c r="N36" i="37"/>
  <c r="T24" i="37"/>
  <c r="R40" i="14"/>
  <c r="L19" i="37"/>
  <c r="W19" i="37" s="1"/>
  <c r="AA24" i="37"/>
  <c r="I40" i="14" s="1"/>
  <c r="H40" i="14"/>
  <c r="J40" i="14"/>
  <c r="M24" i="37"/>
  <c r="K40" i="14"/>
  <c r="R12" i="37"/>
  <c r="AA12" i="37"/>
  <c r="I39" i="14" s="1"/>
  <c r="H39" i="14"/>
  <c r="U12" i="37"/>
  <c r="T12" i="37"/>
  <c r="N8" i="37"/>
  <c r="Y8" i="37" s="1"/>
  <c r="S5" i="37"/>
  <c r="S12" i="37" s="1"/>
  <c r="S20" i="14" s="1"/>
  <c r="N88" i="37"/>
  <c r="Y88" i="37" s="1"/>
  <c r="R88" i="37"/>
  <c r="R80" i="37"/>
  <c r="Q8" i="37"/>
  <c r="S79" i="37"/>
  <c r="S83" i="37" s="1"/>
  <c r="L79" i="37"/>
  <c r="W79" i="37" s="1"/>
  <c r="W83" i="37" s="1"/>
  <c r="L20" i="37"/>
  <c r="W20" i="37" s="1"/>
  <c r="L18" i="37"/>
  <c r="Q80" i="37"/>
  <c r="M71" i="37"/>
  <c r="X71" i="37" s="1"/>
  <c r="T145" i="37"/>
  <c r="L145" i="37"/>
  <c r="W145" i="37" s="1"/>
  <c r="U145" i="37"/>
  <c r="M145" i="37"/>
  <c r="X145" i="37" s="1"/>
  <c r="U127" i="37"/>
  <c r="M127" i="37"/>
  <c r="X127" i="37" s="1"/>
  <c r="L127" i="37"/>
  <c r="W127" i="37" s="1"/>
  <c r="T127" i="37"/>
  <c r="V145" i="37"/>
  <c r="N145" i="37"/>
  <c r="Y145" i="37" s="1"/>
  <c r="Q5" i="37"/>
  <c r="N127" i="37"/>
  <c r="Y127" i="37" s="1"/>
  <c r="V127" i="37"/>
  <c r="R20" i="37"/>
  <c r="Q6" i="37"/>
  <c r="M6" i="37"/>
  <c r="X6" i="37" s="1"/>
  <c r="X12" i="37" s="1"/>
  <c r="L12" i="37"/>
  <c r="X83" i="37"/>
  <c r="U83" i="37"/>
  <c r="N83" i="37"/>
  <c r="Q12" i="37"/>
  <c r="Q20" i="14" s="1"/>
  <c r="R79" i="37"/>
  <c r="R83" i="37" s="1"/>
  <c r="L40" i="14"/>
  <c r="N40" i="14"/>
  <c r="M83" i="37"/>
  <c r="L83" i="37"/>
  <c r="AH83" i="37"/>
  <c r="AI83" i="37" s="1"/>
  <c r="C40" i="14"/>
  <c r="N39" i="14"/>
  <c r="P39" i="14"/>
  <c r="AH12" i="37"/>
  <c r="AI12" i="37" s="1"/>
  <c r="C39" i="14"/>
  <c r="W12" i="37"/>
  <c r="M12" i="37"/>
  <c r="J39" i="14"/>
  <c r="L39" i="14"/>
  <c r="R20" i="14"/>
  <c r="Q22" i="14"/>
  <c r="K22" i="14"/>
  <c r="R99" i="12" s="1"/>
  <c r="C22" i="14"/>
  <c r="D99" i="12" s="1"/>
  <c r="C24" i="14"/>
  <c r="D101" i="12" s="1"/>
  <c r="L100" i="12"/>
  <c r="N23" i="14"/>
  <c r="S100" i="12" s="1"/>
  <c r="O23" i="14"/>
  <c r="T100" i="12" s="1"/>
  <c r="P23" i="14"/>
  <c r="U100" i="12" s="1"/>
  <c r="J100" i="12"/>
  <c r="K100" i="12"/>
  <c r="I24" i="14"/>
  <c r="P101" i="12" s="1"/>
  <c r="J22" i="14"/>
  <c r="Q99" i="12" s="1"/>
  <c r="K24" i="14"/>
  <c r="R101" i="12" s="1"/>
  <c r="G42" i="14" l="1"/>
  <c r="E42" i="14"/>
  <c r="G41" i="14"/>
  <c r="E41" i="14"/>
  <c r="W18" i="37"/>
  <c r="W24" i="37" s="1"/>
  <c r="L24" i="37"/>
  <c r="G39" i="14"/>
  <c r="E39" i="14"/>
  <c r="G40" i="14"/>
  <c r="E40" i="14"/>
  <c r="J99" i="12"/>
  <c r="K99" i="12"/>
  <c r="L99" i="12"/>
  <c r="L101" i="12"/>
  <c r="K101" i="12"/>
  <c r="J101" i="12"/>
  <c r="I22" i="14"/>
  <c r="P99" i="12" s="1"/>
  <c r="P22" i="14"/>
  <c r="U99" i="12" s="1"/>
  <c r="O22" i="14"/>
  <c r="T99" i="12" s="1"/>
  <c r="N22" i="14"/>
  <c r="S99" i="12" s="1"/>
  <c r="R181" i="7" l="1"/>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N180" i="7" a="1"/>
  <c r="N180" i="7" s="1"/>
  <c r="G180" i="7" s="1"/>
  <c r="R180" i="7" s="1"/>
  <c r="O180" i="7" a="1"/>
  <c r="O180" i="7" s="1"/>
  <c r="H180" i="7" s="1"/>
  <c r="S180" i="7" s="1"/>
  <c r="N181" i="7" a="1"/>
  <c r="N181" i="7" s="1"/>
  <c r="G181" i="7" s="1"/>
  <c r="O181" i="7" a="1"/>
  <c r="O181" i="7" s="1"/>
  <c r="H181" i="7" s="1"/>
  <c r="N182" i="7" a="1"/>
  <c r="N182" i="7" s="1"/>
  <c r="G182" i="7" s="1"/>
  <c r="O182" i="7" a="1"/>
  <c r="O182" i="7" s="1"/>
  <c r="H182" i="7" s="1"/>
  <c r="N183" i="7" a="1"/>
  <c r="N183" i="7" s="1"/>
  <c r="G183" i="7" s="1"/>
  <c r="O183" i="7" a="1"/>
  <c r="O183" i="7" s="1"/>
  <c r="H183" i="7" s="1"/>
  <c r="N184" i="7" a="1"/>
  <c r="N184" i="7" s="1"/>
  <c r="G184" i="7" s="1"/>
  <c r="O184" i="7" a="1"/>
  <c r="O184" i="7" s="1"/>
  <c r="H184" i="7" s="1"/>
  <c r="M182" i="7" a="1"/>
  <c r="M182" i="7" s="1"/>
  <c r="M183" i="7" a="1"/>
  <c r="M183" i="7" s="1"/>
  <c r="M184" i="7" a="1"/>
  <c r="M184" i="7" s="1"/>
  <c r="M181" i="7" a="1"/>
  <c r="M181" i="7" s="1"/>
  <c r="M180" i="7" a="1"/>
  <c r="M180" i="7" s="1"/>
  <c r="I180" i="7" s="1"/>
  <c r="AW26" i="7"/>
  <c r="AW23" i="7"/>
  <c r="BH39" i="7"/>
  <c r="AW24" i="7"/>
  <c r="AZ24" i="7"/>
  <c r="BG24" i="7" a="1"/>
  <c r="BG24" i="7" s="1"/>
  <c r="BF24" i="7" s="1"/>
  <c r="CQ24" i="7"/>
  <c r="AE25" i="7"/>
  <c r="AF25" i="7"/>
  <c r="AM25" i="7" a="1"/>
  <c r="AM25" i="7" s="1"/>
  <c r="AW25" i="7"/>
  <c r="AZ25" i="7"/>
  <c r="BG25" i="7" a="1"/>
  <c r="BG25" i="7" s="1"/>
  <c r="BF25" i="7" s="1"/>
  <c r="AB25" i="7" s="1"/>
  <c r="BJ25" i="7"/>
  <c r="BK25" i="7" s="1"/>
  <c r="BM25" i="7"/>
  <c r="BN25" i="7"/>
  <c r="CZ25" i="7" s="1"/>
  <c r="BO25" i="7"/>
  <c r="DA25" i="7" s="1"/>
  <c r="BP25" i="7"/>
  <c r="U25" i="7" s="1"/>
  <c r="BQ25" i="7"/>
  <c r="BA25" i="7" s="1"/>
  <c r="BR25" i="7"/>
  <c r="BB25" i="7" s="1"/>
  <c r="BS25" i="7"/>
  <c r="BT25" i="7"/>
  <c r="BU25" i="7"/>
  <c r="BV25" i="7"/>
  <c r="BW25" i="7"/>
  <c r="BX25" i="7"/>
  <c r="BY25" i="7"/>
  <c r="BZ25" i="7"/>
  <c r="CJ25" i="7"/>
  <c r="CK25" i="7"/>
  <c r="CQ25" i="7"/>
  <c r="CS25" i="7"/>
  <c r="CT25" i="7"/>
  <c r="CU25" i="7"/>
  <c r="DS25" i="7" a="1"/>
  <c r="DS25" i="7" s="1"/>
  <c r="AF26" i="7"/>
  <c r="AZ26" i="7"/>
  <c r="BG26" i="7" a="1"/>
  <c r="BG26" i="7" s="1"/>
  <c r="BF26" i="7" s="1"/>
  <c r="BJ26" i="7"/>
  <c r="BK26" i="7" s="1"/>
  <c r="BW26" i="7"/>
  <c r="CQ26" i="7"/>
  <c r="AE27" i="7"/>
  <c r="AF27" i="7"/>
  <c r="AW27" i="7"/>
  <c r="AZ27" i="7"/>
  <c r="BG27" i="7" a="1"/>
  <c r="BG27" i="7" s="1"/>
  <c r="BF27" i="7" s="1"/>
  <c r="BU27" i="7"/>
  <c r="BV27" i="7"/>
  <c r="BW27" i="7"/>
  <c r="CQ27" i="7"/>
  <c r="AE28" i="7"/>
  <c r="AF28" i="7"/>
  <c r="AW28" i="7"/>
  <c r="AZ28" i="7"/>
  <c r="BG28" i="7" a="1"/>
  <c r="BG28" i="7" s="1"/>
  <c r="BF28" i="7" s="1"/>
  <c r="BU28" i="7"/>
  <c r="BV28" i="7"/>
  <c r="BW28" i="7"/>
  <c r="CQ28" i="7"/>
  <c r="AE29" i="7"/>
  <c r="AF29" i="7"/>
  <c r="AW29" i="7"/>
  <c r="AZ29" i="7"/>
  <c r="BG29" i="7" a="1"/>
  <c r="BG29" i="7" s="1"/>
  <c r="BF29" i="7" s="1"/>
  <c r="AB29" i="7" s="1"/>
  <c r="BU29" i="7"/>
  <c r="BV29" i="7"/>
  <c r="BW29" i="7"/>
  <c r="CQ29" i="7"/>
  <c r="AE30" i="7"/>
  <c r="AF30" i="7"/>
  <c r="AW30" i="7"/>
  <c r="AZ30" i="7"/>
  <c r="BJ30" i="7"/>
  <c r="BK30" i="7" s="1"/>
  <c r="BM30" i="7"/>
  <c r="BN30" i="7"/>
  <c r="CZ30" i="7" s="1"/>
  <c r="BO30" i="7"/>
  <c r="DA30" i="7" s="1"/>
  <c r="BP30" i="7"/>
  <c r="U30" i="7" s="1"/>
  <c r="BQ30" i="7"/>
  <c r="BA30" i="7" s="1"/>
  <c r="BT30" i="7"/>
  <c r="BZ30" i="7"/>
  <c r="CQ30" i="7"/>
  <c r="AE31" i="7"/>
  <c r="AF31" i="7"/>
  <c r="AW31" i="7"/>
  <c r="AZ31" i="7"/>
  <c r="BJ31" i="7"/>
  <c r="BK31" i="7" s="1"/>
  <c r="BM31" i="7"/>
  <c r="BN31" i="7"/>
  <c r="CZ31" i="7" s="1"/>
  <c r="BO31" i="7"/>
  <c r="DA31" i="7" s="1"/>
  <c r="BP31" i="7"/>
  <c r="U31" i="7" s="1"/>
  <c r="BQ31" i="7"/>
  <c r="BA31" i="7" s="1"/>
  <c r="BT31" i="7"/>
  <c r="BZ31" i="7"/>
  <c r="CQ31" i="7"/>
  <c r="DS31" i="7" a="1"/>
  <c r="DS31" i="7" s="1"/>
  <c r="AE32" i="7"/>
  <c r="AF32" i="7"/>
  <c r="AM32" i="7" a="1"/>
  <c r="AM32" i="7" s="1"/>
  <c r="AW32" i="7"/>
  <c r="AZ32" i="7"/>
  <c r="BC32" i="7"/>
  <c r="BD32" i="7"/>
  <c r="BE32" i="7"/>
  <c r="BG32" i="7" a="1"/>
  <c r="BG32" i="7" s="1"/>
  <c r="BF32" i="7" s="1"/>
  <c r="BJ32" i="7"/>
  <c r="BK32" i="7" s="1"/>
  <c r="BM32" i="7"/>
  <c r="BN32" i="7"/>
  <c r="CZ32" i="7" s="1"/>
  <c r="BO32" i="7"/>
  <c r="DA32" i="7" s="1"/>
  <c r="BP32" i="7"/>
  <c r="U32" i="7" s="1"/>
  <c r="AX32" i="7" s="1"/>
  <c r="BQ32" i="7"/>
  <c r="BA32" i="7" s="1"/>
  <c r="BR32" i="7"/>
  <c r="BB32" i="7" s="1"/>
  <c r="BS32" i="7"/>
  <c r="BT32" i="7"/>
  <c r="BU32" i="7"/>
  <c r="BV32" i="7"/>
  <c r="BW32" i="7"/>
  <c r="BX32" i="7"/>
  <c r="BY32" i="7"/>
  <c r="BZ32" i="7"/>
  <c r="CJ32" i="7"/>
  <c r="CK32" i="7"/>
  <c r="CQ32" i="7"/>
  <c r="P32" i="7" s="1"/>
  <c r="CS32" i="7"/>
  <c r="CT32" i="7"/>
  <c r="CU32" i="7"/>
  <c r="DS32" i="7" a="1"/>
  <c r="DS32" i="7" s="1"/>
  <c r="AE33" i="7"/>
  <c r="AF33" i="7"/>
  <c r="AM33" i="7" a="1"/>
  <c r="AM33" i="7" s="1"/>
  <c r="AW33" i="7"/>
  <c r="AZ33" i="7"/>
  <c r="BC33" i="7"/>
  <c r="BD33" i="7"/>
  <c r="BE33" i="7"/>
  <c r="BG33" i="7" a="1"/>
  <c r="BG33" i="7" s="1"/>
  <c r="BF33" i="7" s="1"/>
  <c r="AB33" i="7" s="1"/>
  <c r="BJ33" i="7"/>
  <c r="BK33" i="7" s="1"/>
  <c r="BM33" i="7"/>
  <c r="BN33" i="7"/>
  <c r="CZ33" i="7" s="1"/>
  <c r="BO33" i="7"/>
  <c r="DA33" i="7" s="1"/>
  <c r="BP33" i="7"/>
  <c r="V33" i="7" s="1"/>
  <c r="AV33" i="7" s="1"/>
  <c r="BQ33" i="7"/>
  <c r="BA33" i="7" s="1"/>
  <c r="BR33" i="7"/>
  <c r="BB33" i="7" s="1"/>
  <c r="BS33" i="7"/>
  <c r="BT33" i="7"/>
  <c r="BU33" i="7"/>
  <c r="BV33" i="7"/>
  <c r="BW33" i="7"/>
  <c r="BX33" i="7"/>
  <c r="BY33" i="7"/>
  <c r="BZ33" i="7"/>
  <c r="CJ33" i="7"/>
  <c r="CK33" i="7"/>
  <c r="CQ33" i="7"/>
  <c r="Q33" i="7" s="1"/>
  <c r="CS33" i="7"/>
  <c r="CT33" i="7"/>
  <c r="CU33" i="7"/>
  <c r="DS33" i="7" a="1"/>
  <c r="DS33" i="7" s="1"/>
  <c r="AE34" i="7"/>
  <c r="AF34" i="7"/>
  <c r="AM34" i="7" a="1"/>
  <c r="AM34" i="7" s="1"/>
  <c r="AW34" i="7"/>
  <c r="AZ34" i="7"/>
  <c r="BC34" i="7"/>
  <c r="BD34" i="7"/>
  <c r="BE34" i="7"/>
  <c r="BG34" i="7" a="1"/>
  <c r="BG34" i="7" s="1"/>
  <c r="BF34" i="7" s="1"/>
  <c r="BJ34" i="7"/>
  <c r="BK34" i="7" s="1"/>
  <c r="BM34" i="7"/>
  <c r="BN34" i="7"/>
  <c r="CZ34" i="7" s="1"/>
  <c r="BO34" i="7"/>
  <c r="DA34" i="7" s="1"/>
  <c r="BP34" i="7"/>
  <c r="U34" i="7" s="1"/>
  <c r="BQ34" i="7"/>
  <c r="BA34" i="7" s="1"/>
  <c r="BR34" i="7"/>
  <c r="BB34" i="7" s="1"/>
  <c r="BS34" i="7"/>
  <c r="BT34" i="7"/>
  <c r="BU34" i="7"/>
  <c r="BV34" i="7"/>
  <c r="BW34" i="7"/>
  <c r="BX34" i="7"/>
  <c r="BY34" i="7"/>
  <c r="BZ34" i="7"/>
  <c r="CJ34" i="7"/>
  <c r="CK34" i="7"/>
  <c r="CQ34" i="7"/>
  <c r="CS34" i="7"/>
  <c r="CT34" i="7"/>
  <c r="CU34" i="7"/>
  <c r="DS34" i="7" a="1"/>
  <c r="DS34" i="7" s="1"/>
  <c r="AE35" i="7"/>
  <c r="AF35" i="7"/>
  <c r="AM35" i="7" a="1"/>
  <c r="AM35" i="7" s="1"/>
  <c r="AW35" i="7"/>
  <c r="AZ35" i="7"/>
  <c r="BC35" i="7"/>
  <c r="BD35" i="7"/>
  <c r="BE35" i="7"/>
  <c r="BG35" i="7" a="1"/>
  <c r="BG35" i="7" s="1"/>
  <c r="BF35" i="7" s="1"/>
  <c r="BJ35" i="7"/>
  <c r="BK35" i="7" s="1"/>
  <c r="BM35" i="7"/>
  <c r="BN35" i="7"/>
  <c r="CZ35" i="7" s="1"/>
  <c r="BO35" i="7"/>
  <c r="DA35" i="7" s="1"/>
  <c r="BP35" i="7"/>
  <c r="V35" i="7" s="1"/>
  <c r="BQ35" i="7"/>
  <c r="BA35" i="7" s="1"/>
  <c r="BR35" i="7"/>
  <c r="BB35" i="7" s="1"/>
  <c r="BS35" i="7"/>
  <c r="BT35" i="7"/>
  <c r="BU35" i="7"/>
  <c r="BV35" i="7"/>
  <c r="BW35" i="7"/>
  <c r="BX35" i="7"/>
  <c r="BY35" i="7"/>
  <c r="BZ35" i="7"/>
  <c r="CJ35" i="7"/>
  <c r="CK35" i="7"/>
  <c r="CQ35" i="7"/>
  <c r="R35" i="7" s="1"/>
  <c r="CS35" i="7"/>
  <c r="CT35" i="7"/>
  <c r="CU35" i="7"/>
  <c r="DS35" i="7" a="1"/>
  <c r="DS35" i="7" s="1"/>
  <c r="AE36" i="7"/>
  <c r="AF36" i="7"/>
  <c r="AM36" i="7" a="1"/>
  <c r="AM36" i="7" s="1"/>
  <c r="AW36" i="7"/>
  <c r="AZ36" i="7"/>
  <c r="BC36" i="7"/>
  <c r="BD36" i="7"/>
  <c r="BE36" i="7"/>
  <c r="BG36" i="7" a="1"/>
  <c r="BG36" i="7" s="1"/>
  <c r="BF36" i="7" s="1"/>
  <c r="BJ36" i="7"/>
  <c r="BK36" i="7" s="1"/>
  <c r="BM36" i="7"/>
  <c r="BN36" i="7"/>
  <c r="CZ36" i="7" s="1"/>
  <c r="BO36" i="7"/>
  <c r="DA36" i="7" s="1"/>
  <c r="BP36" i="7"/>
  <c r="U36" i="7" s="1"/>
  <c r="BQ36" i="7"/>
  <c r="BA36" i="7" s="1"/>
  <c r="BR36" i="7"/>
  <c r="BB36" i="7" s="1"/>
  <c r="BS36" i="7"/>
  <c r="BT36" i="7"/>
  <c r="BU36" i="7"/>
  <c r="BV36" i="7"/>
  <c r="BW36" i="7"/>
  <c r="BX36" i="7"/>
  <c r="BY36" i="7"/>
  <c r="BZ36" i="7"/>
  <c r="CJ36" i="7"/>
  <c r="CK36" i="7"/>
  <c r="CQ36" i="7"/>
  <c r="CS36" i="7"/>
  <c r="CT36" i="7"/>
  <c r="CU36" i="7"/>
  <c r="DS36" i="7" a="1"/>
  <c r="DS36" i="7" s="1"/>
  <c r="AE37" i="7"/>
  <c r="AF37" i="7"/>
  <c r="AM37" i="7" a="1"/>
  <c r="AM37" i="7" s="1"/>
  <c r="AW37" i="7"/>
  <c r="AZ37" i="7"/>
  <c r="BC37" i="7"/>
  <c r="BD37" i="7"/>
  <c r="BE37" i="7"/>
  <c r="BG37" i="7" a="1"/>
  <c r="BG37" i="7" s="1"/>
  <c r="BF37" i="7" s="1"/>
  <c r="BJ37" i="7"/>
  <c r="BK37" i="7" s="1"/>
  <c r="BM37" i="7"/>
  <c r="BN37" i="7"/>
  <c r="CZ37" i="7" s="1"/>
  <c r="BO37" i="7"/>
  <c r="DA37" i="7" s="1"/>
  <c r="BP37" i="7"/>
  <c r="V37" i="7" s="1"/>
  <c r="BQ37" i="7"/>
  <c r="BA37" i="7" s="1"/>
  <c r="BR37" i="7"/>
  <c r="BB37" i="7" s="1"/>
  <c r="BS37" i="7"/>
  <c r="BT37" i="7"/>
  <c r="BU37" i="7"/>
  <c r="BV37" i="7"/>
  <c r="BW37" i="7"/>
  <c r="BX37" i="7"/>
  <c r="BY37" i="7"/>
  <c r="BZ37" i="7"/>
  <c r="CJ37" i="7"/>
  <c r="CK37" i="7"/>
  <c r="CQ37" i="7"/>
  <c r="CS37" i="7"/>
  <c r="CT37" i="7"/>
  <c r="CU37" i="7"/>
  <c r="DS37" i="7" a="1"/>
  <c r="DS37" i="7" s="1"/>
  <c r="AE38" i="7"/>
  <c r="AF38" i="7"/>
  <c r="AM38" i="7" a="1"/>
  <c r="AM38" i="7" s="1"/>
  <c r="AW38" i="7"/>
  <c r="AZ38" i="7"/>
  <c r="BC38" i="7"/>
  <c r="BD38" i="7"/>
  <c r="BE38" i="7"/>
  <c r="BG38" i="7" a="1"/>
  <c r="BG38" i="7" s="1"/>
  <c r="BF38" i="7" s="1"/>
  <c r="BJ38" i="7"/>
  <c r="BK38" i="7" s="1"/>
  <c r="BM38" i="7"/>
  <c r="BN38" i="7"/>
  <c r="CZ38" i="7" s="1"/>
  <c r="BO38" i="7"/>
  <c r="DA38" i="7" s="1"/>
  <c r="BP38" i="7"/>
  <c r="U38" i="7" s="1"/>
  <c r="BQ38" i="7"/>
  <c r="BA38" i="7" s="1"/>
  <c r="BR38" i="7"/>
  <c r="BB38" i="7" s="1"/>
  <c r="BS38" i="7"/>
  <c r="BT38" i="7"/>
  <c r="BU38" i="7"/>
  <c r="BV38" i="7"/>
  <c r="BW38" i="7"/>
  <c r="BX38" i="7"/>
  <c r="BY38" i="7"/>
  <c r="BZ38" i="7"/>
  <c r="CJ38" i="7"/>
  <c r="CK38" i="7"/>
  <c r="CQ38" i="7"/>
  <c r="CS38" i="7"/>
  <c r="CT38" i="7"/>
  <c r="CU38" i="7"/>
  <c r="DS38" i="7" a="1"/>
  <c r="DS38" i="7" s="1"/>
  <c r="BG23" i="7" a="1"/>
  <c r="BG23" i="7" s="1"/>
  <c r="AI101" i="12" a="1"/>
  <c r="AI101" i="12" s="1"/>
  <c r="AI97" i="12" a="1"/>
  <c r="AI97" i="12" s="1"/>
  <c r="AH101" i="12"/>
  <c r="CU27" i="7" s="1"/>
  <c r="AG100" i="12"/>
  <c r="CT26" i="7" s="1"/>
  <c r="AH103" i="12"/>
  <c r="CU29" i="7" s="1"/>
  <c r="AG103" i="12"/>
  <c r="CT29" i="7" s="1"/>
  <c r="AH102" i="12"/>
  <c r="AG102" i="12"/>
  <c r="CT28" i="7" s="1"/>
  <c r="AG101" i="12"/>
  <c r="AH100" i="12"/>
  <c r="CU26" i="7" s="1"/>
  <c r="AH98" i="12"/>
  <c r="CU24" i="7" s="1"/>
  <c r="AG98" i="12"/>
  <c r="CT24" i="7" s="1"/>
  <c r="AH97" i="12"/>
  <c r="CU23" i="7" s="1"/>
  <c r="AG97" i="12"/>
  <c r="CT23" i="7" s="1"/>
  <c r="AF103" i="12"/>
  <c r="CS29" i="7" s="1"/>
  <c r="AF102" i="12"/>
  <c r="AF101" i="12"/>
  <c r="CS27" i="7" s="1"/>
  <c r="AF100" i="12"/>
  <c r="CS26" i="7" s="1"/>
  <c r="AF98" i="12"/>
  <c r="CS24" i="7" s="1"/>
  <c r="AF97" i="12"/>
  <c r="CS23" i="7" s="1"/>
  <c r="AE97" i="12"/>
  <c r="CK23" i="7" s="1"/>
  <c r="AD103" i="12"/>
  <c r="CJ29" i="7" s="1"/>
  <c r="AD102" i="12"/>
  <c r="AD101" i="12"/>
  <c r="AD100" i="12"/>
  <c r="CJ26" i="7" s="1"/>
  <c r="AD98" i="12"/>
  <c r="CJ24" i="7" s="1"/>
  <c r="AD97" i="12"/>
  <c r="CJ23" i="7" s="1"/>
  <c r="AE103" i="12"/>
  <c r="CK29" i="7" s="1"/>
  <c r="AE102" i="12"/>
  <c r="AE101" i="12"/>
  <c r="CK27" i="7" s="1"/>
  <c r="AE100" i="12"/>
  <c r="CK26" i="7" s="1"/>
  <c r="AE98" i="12"/>
  <c r="CK24" i="7" s="1"/>
  <c r="DS29" i="7" a="1"/>
  <c r="DS29" i="7" s="1"/>
  <c r="DS24" i="7" a="1"/>
  <c r="DS24" i="7" s="1"/>
  <c r="AB100" i="12"/>
  <c r="DS26" i="7" s="1" a="1"/>
  <c r="DS26" i="7" s="1"/>
  <c r="AB97" i="12"/>
  <c r="DS23" i="7" s="1" a="1"/>
  <c r="DS23" i="7" s="1"/>
  <c r="BW23" i="7"/>
  <c r="BW24" i="7"/>
  <c r="BV23" i="7"/>
  <c r="BU23" i="7"/>
  <c r="C105" i="12"/>
  <c r="BG30" i="7" s="1" a="1"/>
  <c r="BG30" i="7" s="1"/>
  <c r="BF30" i="7" s="1"/>
  <c r="C106" i="12"/>
  <c r="C104" i="12"/>
  <c r="BG31" i="7" s="1" a="1"/>
  <c r="BG31" i="7" s="1"/>
  <c r="BF31" i="7" s="1"/>
  <c r="AI103" i="12" a="1"/>
  <c r="AI103" i="12" s="1"/>
  <c r="AJ103" i="12" a="1"/>
  <c r="AJ103" i="12" s="1"/>
  <c r="AK103" i="12" a="1"/>
  <c r="AK103" i="12" s="1"/>
  <c r="AI102" i="12" a="1"/>
  <c r="AI102" i="12" s="1"/>
  <c r="AJ102" i="12" a="1"/>
  <c r="AJ102" i="12" s="1"/>
  <c r="AK102" i="12" a="1"/>
  <c r="AK102" i="12" s="1"/>
  <c r="AJ101" i="12" a="1"/>
  <c r="AJ101" i="12" s="1"/>
  <c r="AK101" i="12" a="1"/>
  <c r="AK101" i="12" s="1"/>
  <c r="AI100" i="12" a="1"/>
  <c r="AI100" i="12" s="1"/>
  <c r="AJ100" i="12" a="1"/>
  <c r="AJ100" i="12" s="1"/>
  <c r="AK100" i="12" a="1"/>
  <c r="AK100" i="12" s="1"/>
  <c r="AI98" i="12" a="1"/>
  <c r="AI98" i="12" s="1"/>
  <c r="AJ98" i="12" a="1"/>
  <c r="AJ98" i="12" s="1"/>
  <c r="AK98" i="12" a="1"/>
  <c r="AK98" i="12" s="1"/>
  <c r="AJ97" i="12" a="1"/>
  <c r="AJ97" i="12" s="1"/>
  <c r="AK97" i="12" a="1"/>
  <c r="AK97" i="12" s="1"/>
  <c r="DS28" i="7" l="1" a="1"/>
  <c r="DS28" i="7" s="1"/>
  <c r="DS30" i="7" a="1"/>
  <c r="DS30" i="7" s="1"/>
  <c r="DS27" i="7" a="1"/>
  <c r="DS27" i="7" s="1"/>
  <c r="CK28" i="7"/>
  <c r="CT27" i="7"/>
  <c r="CJ27" i="7"/>
  <c r="CS28" i="7"/>
  <c r="CJ28" i="7"/>
  <c r="CU28" i="7"/>
  <c r="T104" i="12"/>
  <c r="J104" i="12"/>
  <c r="BX31" i="7" s="1"/>
  <c r="DM31" i="7" s="1"/>
  <c r="P104" i="12"/>
  <c r="BR31" i="7" s="1"/>
  <c r="BB31" i="7" s="1"/>
  <c r="Q104" i="12"/>
  <c r="BS31" i="7" s="1"/>
  <c r="S104" i="12"/>
  <c r="AM31" i="7" s="1" a="1"/>
  <c r="AM31" i="7" s="1"/>
  <c r="K104" i="12"/>
  <c r="BY31" i="7" s="1"/>
  <c r="AI106" i="12" a="1"/>
  <c r="AI106" i="12" s="1"/>
  <c r="J106" i="12"/>
  <c r="P106" i="12"/>
  <c r="Q106" i="12"/>
  <c r="K106" i="12"/>
  <c r="S106" i="12"/>
  <c r="T106" i="12"/>
  <c r="DQ32" i="7"/>
  <c r="DP32" i="7"/>
  <c r="AF105" i="12"/>
  <c r="CS30" i="7" s="1"/>
  <c r="J105" i="12"/>
  <c r="BX30" i="7" s="1"/>
  <c r="DL30" i="7" s="1"/>
  <c r="P105" i="12"/>
  <c r="BR30" i="7" s="1"/>
  <c r="BB30" i="7" s="1"/>
  <c r="Q105" i="12"/>
  <c r="BS30" i="7" s="1"/>
  <c r="T105" i="12"/>
  <c r="K105" i="12"/>
  <c r="BY30" i="7" s="1"/>
  <c r="S105" i="12"/>
  <c r="AM30" i="7" s="1" a="1"/>
  <c r="AM30" i="7" s="1"/>
  <c r="C25" i="14"/>
  <c r="AE106" i="12"/>
  <c r="AK106" i="12" a="1"/>
  <c r="AK106" i="12" s="1"/>
  <c r="Z105" i="12"/>
  <c r="BW30" i="7" s="1"/>
  <c r="AI105" i="12" a="1"/>
  <c r="AI105" i="12" s="1"/>
  <c r="AE105" i="12"/>
  <c r="CK30" i="7" s="1"/>
  <c r="AD105" i="12"/>
  <c r="CJ30" i="7" s="1"/>
  <c r="AK105" i="12" a="1"/>
  <c r="AK105" i="12" s="1"/>
  <c r="DM33" i="7"/>
  <c r="DL25" i="7"/>
  <c r="CY33" i="7"/>
  <c r="CY34" i="7"/>
  <c r="U35" i="7"/>
  <c r="AX35" i="7" s="1"/>
  <c r="CY36" i="7"/>
  <c r="V32" i="7"/>
  <c r="DG32" i="7" s="1"/>
  <c r="CY38" i="7"/>
  <c r="CY32" i="7"/>
  <c r="DM34" i="7"/>
  <c r="DM35" i="7"/>
  <c r="X27" i="7"/>
  <c r="AB27" i="7"/>
  <c r="DQ35" i="7"/>
  <c r="AV35" i="7"/>
  <c r="AH35" i="7" s="1"/>
  <c r="X31" i="7"/>
  <c r="AB31" i="7"/>
  <c r="DL38" i="7"/>
  <c r="DL37" i="7"/>
  <c r="DP35" i="7"/>
  <c r="Q35" i="7"/>
  <c r="DL34" i="7"/>
  <c r="AU32" i="7"/>
  <c r="DL36" i="7"/>
  <c r="U37" i="7"/>
  <c r="AU37" i="7" s="1"/>
  <c r="AI33" i="7"/>
  <c r="X25" i="7"/>
  <c r="CY37" i="7"/>
  <c r="DQ33" i="7"/>
  <c r="AV37" i="7"/>
  <c r="DP37" i="7"/>
  <c r="DQ37" i="7"/>
  <c r="AY37" i="7"/>
  <c r="AB36" i="7"/>
  <c r="X36" i="7"/>
  <c r="AB34" i="7"/>
  <c r="X34" i="7"/>
  <c r="P37" i="7"/>
  <c r="AX38" i="7"/>
  <c r="AU38" i="7"/>
  <c r="AX34" i="7"/>
  <c r="AU34" i="7"/>
  <c r="X37" i="7"/>
  <c r="AB37" i="7"/>
  <c r="AU36" i="7"/>
  <c r="AX36" i="7"/>
  <c r="DM32" i="7"/>
  <c r="DL32" i="7"/>
  <c r="X38" i="7"/>
  <c r="AB38" i="7"/>
  <c r="AB35" i="7"/>
  <c r="X35" i="7"/>
  <c r="AB30" i="7"/>
  <c r="X30" i="7"/>
  <c r="DM38" i="7"/>
  <c r="V38" i="7"/>
  <c r="DG38" i="7" s="1"/>
  <c r="CY35" i="7"/>
  <c r="P35" i="7"/>
  <c r="I35" i="7" s="1"/>
  <c r="AH33" i="7"/>
  <c r="AX25" i="7"/>
  <c r="AU25" i="7"/>
  <c r="S37" i="7"/>
  <c r="T37" i="7" s="1"/>
  <c r="Q32" i="7"/>
  <c r="AU31" i="7"/>
  <c r="AX31" i="7"/>
  <c r="AU30" i="7"/>
  <c r="R37" i="7"/>
  <c r="DL33" i="7"/>
  <c r="X33" i="7"/>
  <c r="Q37" i="7"/>
  <c r="DL35" i="7"/>
  <c r="AG33" i="7"/>
  <c r="X32" i="7"/>
  <c r="AB32" i="7"/>
  <c r="R38" i="7"/>
  <c r="DM36" i="7"/>
  <c r="V36" i="7"/>
  <c r="P36" i="7" s="1"/>
  <c r="U33" i="7"/>
  <c r="DG33" i="7" s="1"/>
  <c r="X28" i="7"/>
  <c r="AB28" i="7"/>
  <c r="Q38" i="7"/>
  <c r="AY35" i="7"/>
  <c r="S35" i="7"/>
  <c r="T35" i="7" s="1"/>
  <c r="V34" i="7"/>
  <c r="R34" i="7" s="1"/>
  <c r="R33" i="7"/>
  <c r="AX30" i="7"/>
  <c r="X29" i="7"/>
  <c r="CY25" i="7"/>
  <c r="DM37" i="7"/>
  <c r="DP33" i="7"/>
  <c r="AY33" i="7"/>
  <c r="S33" i="7"/>
  <c r="T33" i="7" s="1"/>
  <c r="DM25" i="7"/>
  <c r="V25" i="7"/>
  <c r="S32" i="7"/>
  <c r="T32" i="7" s="1"/>
  <c r="R32" i="7"/>
  <c r="V30" i="7"/>
  <c r="BL30" i="7" s="1"/>
  <c r="V31" i="7"/>
  <c r="DD31" i="7" s="1"/>
  <c r="AI104" i="12" a="1"/>
  <c r="AI104" i="12" s="1"/>
  <c r="Z104" i="12"/>
  <c r="BW31" i="7" s="1"/>
  <c r="AG104" i="12"/>
  <c r="CT31" i="7" s="1"/>
  <c r="AJ104" i="12" a="1"/>
  <c r="AJ104" i="12" s="1"/>
  <c r="AD104" i="12"/>
  <c r="CJ31" i="7" s="1"/>
  <c r="AK104" i="12" a="1"/>
  <c r="AK104" i="12" s="1"/>
  <c r="AF104" i="12"/>
  <c r="CS31" i="7" s="1"/>
  <c r="AH104" i="12"/>
  <c r="CU31" i="7" s="1"/>
  <c r="AE104" i="12"/>
  <c r="CK31" i="7" s="1"/>
  <c r="AJ105" i="12" a="1"/>
  <c r="AJ105" i="12" s="1"/>
  <c r="AD106" i="12"/>
  <c r="AG105" i="12"/>
  <c r="CT30" i="7" s="1"/>
  <c r="Z106" i="12"/>
  <c r="AH105" i="12"/>
  <c r="CU30" i="7" s="1"/>
  <c r="AJ106" i="12" a="1"/>
  <c r="AJ106" i="12" s="1"/>
  <c r="AG106" i="12"/>
  <c r="AF106" i="12"/>
  <c r="AH106" i="12"/>
  <c r="X106" i="12"/>
  <c r="Y106" i="12"/>
  <c r="X105" i="12"/>
  <c r="BU30" i="7" s="1"/>
  <c r="Y105" i="12"/>
  <c r="BV30" i="7" s="1"/>
  <c r="CY30" i="7" s="1"/>
  <c r="C26" i="14"/>
  <c r="D103" i="12" s="1"/>
  <c r="BJ29" i="7" s="1"/>
  <c r="BK29" i="7" s="1"/>
  <c r="AF24" i="7"/>
  <c r="AE23" i="7"/>
  <c r="DS42" i="7" l="1"/>
  <c r="DL31" i="7"/>
  <c r="DM30" i="7"/>
  <c r="D26" i="14"/>
  <c r="E103" i="12" s="1"/>
  <c r="BM29" i="7" s="1"/>
  <c r="CY29" i="7" s="1"/>
  <c r="F26" i="14"/>
  <c r="G103" i="12" s="1"/>
  <c r="BO29" i="7" s="1"/>
  <c r="DA29" i="7" s="1"/>
  <c r="E26" i="14"/>
  <c r="F103" i="12" s="1"/>
  <c r="BN29" i="7" s="1"/>
  <c r="CZ29" i="7" s="1"/>
  <c r="H26" i="14"/>
  <c r="V103" i="12" s="1"/>
  <c r="BQ29" i="7" s="1"/>
  <c r="BA29" i="7" s="1"/>
  <c r="D102" i="12"/>
  <c r="G26" i="14"/>
  <c r="H103" i="12" s="1"/>
  <c r="BP29" i="7" s="1"/>
  <c r="H25" i="14"/>
  <c r="V102" i="12" s="1"/>
  <c r="F25" i="14"/>
  <c r="G102" i="12" s="1"/>
  <c r="E25" i="14"/>
  <c r="F102" i="12" s="1"/>
  <c r="D25" i="14"/>
  <c r="E102" i="12" s="1"/>
  <c r="E21" i="14"/>
  <c r="F98" i="12" s="1"/>
  <c r="D21" i="14"/>
  <c r="E98" i="12" s="1"/>
  <c r="C21" i="14"/>
  <c r="D98" i="12" s="1"/>
  <c r="G21" i="14"/>
  <c r="H98" i="12" s="1"/>
  <c r="H21" i="14"/>
  <c r="V98" i="12" s="1"/>
  <c r="F21" i="14"/>
  <c r="G98" i="12" s="1"/>
  <c r="AF23" i="7"/>
  <c r="BL32" i="7"/>
  <c r="DD32" i="7"/>
  <c r="DG34" i="7"/>
  <c r="AV32" i="7"/>
  <c r="AU35" i="7"/>
  <c r="CV35" i="7" s="1"/>
  <c r="DG25" i="7"/>
  <c r="DF34" i="7"/>
  <c r="DG31" i="7"/>
  <c r="AY32" i="7"/>
  <c r="AA32" i="7" s="1"/>
  <c r="DF33" i="7"/>
  <c r="DF38" i="7"/>
  <c r="DG35" i="7"/>
  <c r="DF37" i="7"/>
  <c r="DG30" i="7"/>
  <c r="DG36" i="7"/>
  <c r="DF32" i="7"/>
  <c r="DF31" i="7"/>
  <c r="DF36" i="7"/>
  <c r="DF35" i="7"/>
  <c r="DG37" i="7"/>
  <c r="DF25" i="7"/>
  <c r="DF30" i="7"/>
  <c r="AD35" i="7"/>
  <c r="BL35" i="7"/>
  <c r="DD35" i="7"/>
  <c r="I37" i="7"/>
  <c r="DD37" i="7"/>
  <c r="CN32" i="7"/>
  <c r="BL37" i="7"/>
  <c r="J37" i="7"/>
  <c r="AI35" i="7"/>
  <c r="J35" i="7"/>
  <c r="L35" i="7" s="1"/>
  <c r="AG35" i="7"/>
  <c r="Z37" i="7"/>
  <c r="BL31" i="7"/>
  <c r="AX37" i="7"/>
  <c r="CV37" i="7" s="1"/>
  <c r="AL33" i="7"/>
  <c r="AJ33" i="7"/>
  <c r="AK33" i="7"/>
  <c r="CO33" i="7"/>
  <c r="CN31" i="7"/>
  <c r="AC35" i="7"/>
  <c r="AL37" i="7"/>
  <c r="AK37" i="7"/>
  <c r="AJ37" i="7"/>
  <c r="AY30" i="7"/>
  <c r="AV30" i="7"/>
  <c r="CN30" i="7"/>
  <c r="R36" i="7"/>
  <c r="I36" i="7" s="1"/>
  <c r="BL36" i="7"/>
  <c r="AA35" i="7"/>
  <c r="AY25" i="7"/>
  <c r="AV25" i="7"/>
  <c r="DD30" i="7"/>
  <c r="Q36" i="7"/>
  <c r="BL25" i="7"/>
  <c r="CN36" i="7"/>
  <c r="S36" i="7"/>
  <c r="T36" i="7" s="1"/>
  <c r="AV36" i="7"/>
  <c r="Y36" i="7" s="1"/>
  <c r="AY36" i="7"/>
  <c r="AD36" i="7" s="1"/>
  <c r="DQ36" i="7"/>
  <c r="AV34" i="7"/>
  <c r="Y34" i="7" s="1"/>
  <c r="DP34" i="7"/>
  <c r="DQ34" i="7"/>
  <c r="S34" i="7"/>
  <c r="T34" i="7" s="1"/>
  <c r="AY34" i="7"/>
  <c r="AD34" i="7" s="1"/>
  <c r="CN25" i="7"/>
  <c r="AV38" i="7"/>
  <c r="Z38" i="7" s="1"/>
  <c r="DP38" i="7"/>
  <c r="S38" i="7"/>
  <c r="T38" i="7" s="1"/>
  <c r="DQ38" i="7"/>
  <c r="AY38" i="7"/>
  <c r="AC38" i="7" s="1"/>
  <c r="DD36" i="7"/>
  <c r="CN34" i="7"/>
  <c r="CN38" i="7"/>
  <c r="AG37" i="7"/>
  <c r="CO37" i="7"/>
  <c r="AH37" i="7"/>
  <c r="AI37" i="7"/>
  <c r="DP36" i="7"/>
  <c r="P34" i="7"/>
  <c r="I34" i="7" s="1"/>
  <c r="BL38" i="7"/>
  <c r="Y37" i="7"/>
  <c r="DD25" i="7"/>
  <c r="DD34" i="7"/>
  <c r="DD38" i="7"/>
  <c r="Q34" i="7"/>
  <c r="AJ35" i="7"/>
  <c r="AK35" i="7"/>
  <c r="CO35" i="7"/>
  <c r="AL35" i="7"/>
  <c r="AV31" i="7"/>
  <c r="AY31" i="7"/>
  <c r="AX33" i="7"/>
  <c r="BL33" i="7"/>
  <c r="DD33" i="7"/>
  <c r="AU33" i="7"/>
  <c r="P33" i="7"/>
  <c r="P31" i="7"/>
  <c r="BL34" i="7"/>
  <c r="W37" i="7"/>
  <c r="P38" i="7"/>
  <c r="I38" i="7" s="1"/>
  <c r="L37" i="7" l="1"/>
  <c r="N35" i="7"/>
  <c r="CL35" i="7" s="1"/>
  <c r="DQ30" i="7"/>
  <c r="DP30" i="7"/>
  <c r="R30" i="7"/>
  <c r="R21" i="14"/>
  <c r="K98" i="12" s="1"/>
  <c r="S21" i="14"/>
  <c r="L98" i="12" s="1"/>
  <c r="Q21" i="14"/>
  <c r="J98" i="12" s="1"/>
  <c r="R31" i="7"/>
  <c r="DQ31" i="7"/>
  <c r="DP31" i="7"/>
  <c r="P30" i="7"/>
  <c r="R26" i="14"/>
  <c r="K103" i="12" s="1"/>
  <c r="BY29" i="7" s="1"/>
  <c r="S26" i="14"/>
  <c r="L103" i="12" s="1"/>
  <c r="BZ29" i="7" s="1"/>
  <c r="Q26" i="14"/>
  <c r="J103" i="12" s="1"/>
  <c r="BX29" i="7" s="1"/>
  <c r="DL29" i="7" s="1"/>
  <c r="S25" i="14"/>
  <c r="L102" i="12" s="1"/>
  <c r="Q25" i="14"/>
  <c r="J102" i="12" s="1"/>
  <c r="R25" i="14"/>
  <c r="K102" i="12" s="1"/>
  <c r="N26" i="14"/>
  <c r="S103" i="12" s="1"/>
  <c r="AM29" i="7" s="1" a="1"/>
  <c r="AM29" i="7" s="1"/>
  <c r="G25" i="14"/>
  <c r="H102" i="12" s="1"/>
  <c r="O26" i="14"/>
  <c r="T103" i="12" s="1"/>
  <c r="P26" i="14"/>
  <c r="U103" i="12" s="1"/>
  <c r="BJ24" i="7"/>
  <c r="BK24" i="7" s="1"/>
  <c r="U29" i="7"/>
  <c r="V29" i="7"/>
  <c r="AL32" i="7"/>
  <c r="AK32" i="7"/>
  <c r="AJ32" i="7"/>
  <c r="W38" i="7"/>
  <c r="CN35" i="7"/>
  <c r="Y35" i="7"/>
  <c r="Z35" i="7"/>
  <c r="W35" i="7"/>
  <c r="DE35" i="7" s="1"/>
  <c r="AC32" i="7"/>
  <c r="AD32" i="7"/>
  <c r="CV32" i="7"/>
  <c r="P25" i="7"/>
  <c r="DP25" i="7"/>
  <c r="DQ25" i="7"/>
  <c r="R25" i="7"/>
  <c r="AG32" i="7"/>
  <c r="W32" i="7"/>
  <c r="AI32" i="7"/>
  <c r="Z32" i="7"/>
  <c r="Y32" i="7"/>
  <c r="AH32" i="7"/>
  <c r="CO32" i="7"/>
  <c r="W34" i="7"/>
  <c r="Y38" i="7"/>
  <c r="AA38" i="7"/>
  <c r="CN37" i="7"/>
  <c r="J38" i="7"/>
  <c r="L38" i="7" s="1"/>
  <c r="AC34" i="7"/>
  <c r="CV34" i="7"/>
  <c r="J34" i="7"/>
  <c r="L34" i="7" s="1"/>
  <c r="Z34" i="7"/>
  <c r="J36" i="7"/>
  <c r="L36" i="7" s="1"/>
  <c r="AC37" i="7"/>
  <c r="AA37" i="7"/>
  <c r="DE37" i="7" s="1"/>
  <c r="AD37" i="7"/>
  <c r="CO31" i="7"/>
  <c r="AJ38" i="7"/>
  <c r="AK38" i="7"/>
  <c r="AL38" i="7"/>
  <c r="AJ34" i="7"/>
  <c r="AL34" i="7"/>
  <c r="AK34" i="7"/>
  <c r="Z36" i="7"/>
  <c r="Z33" i="7"/>
  <c r="W33" i="7"/>
  <c r="CN33" i="7"/>
  <c r="Y33" i="7"/>
  <c r="CV33" i="7"/>
  <c r="AG36" i="7"/>
  <c r="CO36" i="7"/>
  <c r="AH36" i="7"/>
  <c r="AI36" i="7"/>
  <c r="AG38" i="7"/>
  <c r="CO38" i="7"/>
  <c r="AH38" i="7"/>
  <c r="AI38" i="7"/>
  <c r="W36" i="7"/>
  <c r="CO30" i="7"/>
  <c r="AA36" i="7"/>
  <c r="CV38" i="7"/>
  <c r="CO34" i="7"/>
  <c r="AG34" i="7"/>
  <c r="AH34" i="7"/>
  <c r="AI34" i="7"/>
  <c r="CV36" i="7"/>
  <c r="CO25" i="7"/>
  <c r="AD33" i="7"/>
  <c r="AC33" i="7"/>
  <c r="AA33" i="7"/>
  <c r="AD38" i="7"/>
  <c r="AA34" i="7"/>
  <c r="AJ36" i="7"/>
  <c r="AK36" i="7"/>
  <c r="AL36" i="7"/>
  <c r="AC36" i="7"/>
  <c r="CM35" i="7" l="1"/>
  <c r="O21" i="14"/>
  <c r="T98" i="12" s="1"/>
  <c r="P21" i="14"/>
  <c r="U98" i="12" s="1"/>
  <c r="J21" i="14"/>
  <c r="Q98" i="12" s="1"/>
  <c r="J26" i="14"/>
  <c r="Q103" i="12" s="1"/>
  <c r="BS29" i="7" s="1"/>
  <c r="I26" i="14"/>
  <c r="P103" i="12" s="1"/>
  <c r="BR29" i="7" s="1"/>
  <c r="BB29" i="7" s="1"/>
  <c r="K26" i="14"/>
  <c r="R103" i="12" s="1"/>
  <c r="BT29" i="7" s="1"/>
  <c r="K21" i="14"/>
  <c r="R98" i="12" s="1"/>
  <c r="DM29" i="7"/>
  <c r="P25" i="14"/>
  <c r="U102" i="12" s="1"/>
  <c r="K25" i="14"/>
  <c r="R102" i="12" s="1"/>
  <c r="N25" i="14"/>
  <c r="S102" i="12" s="1"/>
  <c r="I25" i="14"/>
  <c r="P102" i="12" s="1"/>
  <c r="O25" i="14"/>
  <c r="T102" i="12" s="1"/>
  <c r="J25" i="14"/>
  <c r="Q102" i="12" s="1"/>
  <c r="DD29" i="7"/>
  <c r="AV29" i="7"/>
  <c r="AY29" i="7"/>
  <c r="AX29" i="7"/>
  <c r="AU29" i="7"/>
  <c r="DG29" i="7"/>
  <c r="BL29" i="7"/>
  <c r="DF29" i="7"/>
  <c r="N21" i="14"/>
  <c r="S98" i="12" s="1"/>
  <c r="I21" i="14"/>
  <c r="P98" i="12" s="1"/>
  <c r="DE32" i="7"/>
  <c r="DE38" i="7"/>
  <c r="DE36" i="7"/>
  <c r="DE33" i="7"/>
  <c r="DE34" i="7"/>
  <c r="R29" i="7" l="1"/>
  <c r="P29" i="7"/>
  <c r="DQ29" i="7"/>
  <c r="DP29" i="7"/>
  <c r="CO29" i="7"/>
  <c r="CN29" i="7"/>
  <c r="F20" i="14"/>
  <c r="G97" i="12" s="1"/>
  <c r="BO27" i="7" l="1"/>
  <c r="DA27" i="7" s="1"/>
  <c r="BO28" i="7"/>
  <c r="C20" i="14"/>
  <c r="D97" i="12" s="1"/>
  <c r="BJ28" i="7" s="1"/>
  <c r="BK28" i="7" s="1"/>
  <c r="G20" i="14"/>
  <c r="H97" i="12" s="1"/>
  <c r="BP28" i="7" s="1"/>
  <c r="H20" i="14"/>
  <c r="V97" i="12" s="1"/>
  <c r="BQ28" i="7" s="1"/>
  <c r="BA28" i="7" s="1"/>
  <c r="E20" i="14"/>
  <c r="F97" i="12" s="1"/>
  <c r="BN28" i="7" s="1"/>
  <c r="D20" i="14"/>
  <c r="E97" i="12" s="1"/>
  <c r="BM28" i="7" s="1"/>
  <c r="CY28" i="7" s="1"/>
  <c r="BO23" i="7"/>
  <c r="DA28" i="7" l="1"/>
  <c r="CZ28" i="7"/>
  <c r="V28" i="7"/>
  <c r="U28" i="7"/>
  <c r="BJ23" i="7"/>
  <c r="BJ27" i="7"/>
  <c r="BK27" i="7" s="1"/>
  <c r="BQ23" i="7"/>
  <c r="BQ27" i="7"/>
  <c r="BA27" i="7" s="1"/>
  <c r="BN23" i="7"/>
  <c r="BN27" i="7"/>
  <c r="BM23" i="7"/>
  <c r="BM27" i="7"/>
  <c r="BP23" i="7"/>
  <c r="BP27" i="7"/>
  <c r="L97" i="12"/>
  <c r="BZ28" i="7" s="1"/>
  <c r="K97" i="12"/>
  <c r="BY28" i="7" s="1"/>
  <c r="I20" i="14"/>
  <c r="P97" i="12" s="1"/>
  <c r="BR28" i="7" s="1"/>
  <c r="BB28" i="7" s="1"/>
  <c r="J20" i="14"/>
  <c r="Q97" i="12" s="1"/>
  <c r="BS28" i="7" s="1"/>
  <c r="J97" i="12"/>
  <c r="BX28" i="7" s="1"/>
  <c r="P20" i="14"/>
  <c r="U97" i="12" s="1"/>
  <c r="K20" i="14"/>
  <c r="R97" i="12" s="1"/>
  <c r="BT28" i="7" s="1"/>
  <c r="O20" i="14"/>
  <c r="T97" i="12" s="1"/>
  <c r="DL28" i="7" l="1"/>
  <c r="DM28" i="7"/>
  <c r="DD28" i="7"/>
  <c r="BL28" i="7"/>
  <c r="AX28" i="7"/>
  <c r="R28" i="7" s="1"/>
  <c r="AU28" i="7"/>
  <c r="DF28" i="7"/>
  <c r="AV28" i="7"/>
  <c r="AY28" i="7"/>
  <c r="DG28" i="7"/>
  <c r="BS23" i="7"/>
  <c r="BS27" i="7"/>
  <c r="CZ27" i="7"/>
  <c r="CY27" i="7"/>
  <c r="BR23" i="7"/>
  <c r="BR27" i="7"/>
  <c r="BB27" i="7" s="1"/>
  <c r="BY23" i="7"/>
  <c r="BY27" i="7"/>
  <c r="BX23" i="7"/>
  <c r="BX27" i="7"/>
  <c r="BZ23" i="7"/>
  <c r="BZ27" i="7"/>
  <c r="BT23" i="7"/>
  <c r="BT27" i="7"/>
  <c r="U27" i="7"/>
  <c r="V27" i="7"/>
  <c r="N20" i="14"/>
  <c r="S97" i="12" s="1"/>
  <c r="AM28" i="7" s="1" a="1"/>
  <c r="AM28" i="7" s="1"/>
  <c r="AI70" i="12" a="1"/>
  <c r="AI70" i="12" s="1"/>
  <c r="AJ70" i="12" a="1"/>
  <c r="AJ70" i="12" s="1"/>
  <c r="AK70" i="12" a="1"/>
  <c r="AK70" i="12" s="1"/>
  <c r="AI61" i="12" a="1"/>
  <c r="AI61" i="12" s="1"/>
  <c r="AJ61" i="12" a="1"/>
  <c r="AJ61" i="12" s="1"/>
  <c r="AK61" i="12" a="1"/>
  <c r="AK61" i="12" s="1"/>
  <c r="AI36" i="12" a="1"/>
  <c r="AI36" i="12" s="1"/>
  <c r="AJ36" i="12" a="1"/>
  <c r="AJ36" i="12" s="1"/>
  <c r="AK36" i="12" a="1"/>
  <c r="AK36" i="12" s="1"/>
  <c r="AI37" i="12" a="1"/>
  <c r="AI37" i="12" s="1"/>
  <c r="AJ37" i="12" a="1"/>
  <c r="AJ37" i="12" s="1"/>
  <c r="AK37" i="12" a="1"/>
  <c r="AK37" i="12" s="1"/>
  <c r="DQ28" i="7" l="1"/>
  <c r="DP28" i="7"/>
  <c r="DD27" i="7"/>
  <c r="P28" i="7"/>
  <c r="CN28" i="7"/>
  <c r="DF27" i="7"/>
  <c r="CO28" i="7"/>
  <c r="DL27" i="7"/>
  <c r="DM27" i="7"/>
  <c r="AM23" i="7" a="1"/>
  <c r="AM23" i="7" s="1"/>
  <c r="AM27" i="7" a="1"/>
  <c r="AM27" i="7" s="1"/>
  <c r="AV27" i="7"/>
  <c r="AY27" i="7"/>
  <c r="DQ27" i="7"/>
  <c r="DP27" i="7"/>
  <c r="AX27" i="7"/>
  <c r="R27" i="7" s="1"/>
  <c r="AU27" i="7"/>
  <c r="P27" i="7" s="1"/>
  <c r="BL27" i="7"/>
  <c r="DG27" i="7"/>
  <c r="A21" i="7"/>
  <c r="CO27" i="7" l="1"/>
  <c r="CN27" i="7"/>
  <c r="Y61" i="14"/>
  <c r="X57" i="14"/>
  <c r="X58" i="14"/>
  <c r="X59" i="14"/>
  <c r="X60" i="14"/>
  <c r="X56" i="14"/>
  <c r="P75" i="7" l="1"/>
  <c r="P76" i="7"/>
  <c r="P77" i="7"/>
  <c r="P74" i="7"/>
  <c r="AI72" i="12" l="1" a="1"/>
  <c r="AI72" i="12" s="1"/>
  <c r="AJ72" i="12" a="1"/>
  <c r="AJ72" i="12" s="1"/>
  <c r="AK72" i="12" a="1"/>
  <c r="AK72" i="12" s="1"/>
  <c r="AI73" i="12" a="1"/>
  <c r="AI73" i="12" s="1"/>
  <c r="AJ73" i="12" a="1"/>
  <c r="AJ73" i="12" s="1"/>
  <c r="AK73" i="12" a="1"/>
  <c r="AK73" i="12" s="1"/>
  <c r="AI74" i="12" a="1"/>
  <c r="AI74" i="12" s="1"/>
  <c r="AJ74" i="12" a="1"/>
  <c r="AJ74" i="12" s="1"/>
  <c r="AK74" i="12" a="1"/>
  <c r="AK74" i="12" s="1"/>
  <c r="AI75" i="12" a="1"/>
  <c r="AI75" i="12" s="1"/>
  <c r="AJ75" i="12" a="1"/>
  <c r="AJ75" i="12" s="1"/>
  <c r="AK75" i="12" a="1"/>
  <c r="AK75" i="12" s="1"/>
  <c r="AI76" i="12" a="1"/>
  <c r="AI76" i="12" s="1"/>
  <c r="AJ76" i="12" a="1"/>
  <c r="AJ76" i="12" s="1"/>
  <c r="AK76" i="12" a="1"/>
  <c r="AK76" i="12" s="1"/>
  <c r="AI77" i="12" a="1"/>
  <c r="AI77" i="12" s="1"/>
  <c r="AJ77" i="12" a="1"/>
  <c r="AJ77" i="12" s="1"/>
  <c r="AK77" i="12" a="1"/>
  <c r="AK77" i="12" s="1"/>
  <c r="AI78" i="12" a="1"/>
  <c r="AI78" i="12" s="1"/>
  <c r="AJ78" i="12" a="1"/>
  <c r="AJ78" i="12" s="1"/>
  <c r="AK78" i="12" a="1"/>
  <c r="AK78" i="12" s="1"/>
  <c r="AI79" i="12" a="1"/>
  <c r="AI79" i="12" s="1"/>
  <c r="AJ79" i="12" a="1"/>
  <c r="AJ79" i="12" s="1"/>
  <c r="AK79" i="12" a="1"/>
  <c r="AK79" i="12" s="1"/>
  <c r="AI80" i="12" a="1"/>
  <c r="AI80" i="12" s="1"/>
  <c r="AJ80" i="12" a="1"/>
  <c r="AJ80" i="12" s="1"/>
  <c r="AK80" i="12" a="1"/>
  <c r="AK80" i="12" s="1"/>
  <c r="AI81" i="12" a="1"/>
  <c r="AI81" i="12" s="1"/>
  <c r="AJ81" i="12" a="1"/>
  <c r="AJ81" i="12" s="1"/>
  <c r="AK81" i="12" a="1"/>
  <c r="AK81" i="12" s="1"/>
  <c r="AI82" i="12" a="1"/>
  <c r="AI82" i="12" s="1"/>
  <c r="AJ82" i="12" a="1"/>
  <c r="AJ82" i="12" s="1"/>
  <c r="AK82" i="12" a="1"/>
  <c r="AK82" i="12" s="1"/>
  <c r="AI83" i="12" a="1"/>
  <c r="AI83" i="12" s="1"/>
  <c r="AJ83" i="12" a="1"/>
  <c r="AJ83" i="12" s="1"/>
  <c r="AK83" i="12" a="1"/>
  <c r="AK83" i="12" s="1"/>
  <c r="AI84" i="12" a="1"/>
  <c r="AI84" i="12" s="1"/>
  <c r="AJ84" i="12" a="1"/>
  <c r="AJ84" i="12" s="1"/>
  <c r="AK84" i="12" a="1"/>
  <c r="AK84" i="12" s="1"/>
  <c r="AI85" i="12" a="1"/>
  <c r="AI85" i="12" s="1"/>
  <c r="AJ85" i="12" a="1"/>
  <c r="AJ85" i="12" s="1"/>
  <c r="AK85" i="12" a="1"/>
  <c r="AK85" i="12" s="1"/>
  <c r="AI86" i="12" a="1"/>
  <c r="AI86" i="12" s="1"/>
  <c r="AJ86" i="12" a="1"/>
  <c r="AJ86" i="12" s="1"/>
  <c r="AK86" i="12" a="1"/>
  <c r="AK86" i="12" s="1"/>
  <c r="AI87" i="12" a="1"/>
  <c r="AI87" i="12" s="1"/>
  <c r="AJ87" i="12" a="1"/>
  <c r="AJ87" i="12" s="1"/>
  <c r="AK87" i="12" a="1"/>
  <c r="AK87" i="12" s="1"/>
  <c r="AI88" i="12" a="1"/>
  <c r="AI88" i="12" s="1"/>
  <c r="AJ88" i="12" a="1"/>
  <c r="AJ88" i="12" s="1"/>
  <c r="AK88" i="12" a="1"/>
  <c r="AK88" i="12" s="1"/>
  <c r="AI89" i="12" a="1"/>
  <c r="AI89" i="12" s="1"/>
  <c r="AJ89" i="12" a="1"/>
  <c r="AJ89" i="12" s="1"/>
  <c r="AK89" i="12" a="1"/>
  <c r="AK89" i="12" s="1"/>
  <c r="AI90" i="12" a="1"/>
  <c r="AI90" i="12" s="1"/>
  <c r="AJ90" i="12" a="1"/>
  <c r="AJ90" i="12" s="1"/>
  <c r="AK90" i="12" a="1"/>
  <c r="AK90" i="12" s="1"/>
  <c r="AI91" i="12" a="1"/>
  <c r="AI91" i="12" s="1"/>
  <c r="BC28" i="7" s="1"/>
  <c r="AJ91" i="12" a="1"/>
  <c r="AJ91" i="12" s="1"/>
  <c r="BD28" i="7" s="1"/>
  <c r="AK91" i="12" a="1"/>
  <c r="AK91" i="12" s="1"/>
  <c r="BE28" i="7" s="1"/>
  <c r="AI92" i="12" a="1"/>
  <c r="AI92" i="12" s="1"/>
  <c r="AJ92" i="12" a="1"/>
  <c r="AJ92" i="12" s="1"/>
  <c r="AK92" i="12" a="1"/>
  <c r="AK92" i="12" s="1"/>
  <c r="AI93" i="12" a="1"/>
  <c r="AI93" i="12" s="1"/>
  <c r="BC31" i="7" s="1"/>
  <c r="AJ93" i="12" a="1"/>
  <c r="AJ93" i="12" s="1"/>
  <c r="BD31" i="7" s="1"/>
  <c r="AK93" i="12" a="1"/>
  <c r="AK93" i="12" s="1"/>
  <c r="BE31" i="7" s="1"/>
  <c r="AI94" i="12" a="1"/>
  <c r="AI94" i="12" s="1"/>
  <c r="AJ94" i="12" a="1"/>
  <c r="AJ94" i="12" s="1"/>
  <c r="AK94" i="12" a="1"/>
  <c r="AK94" i="12" s="1"/>
  <c r="AI95" i="12" a="1"/>
  <c r="AI95" i="12" s="1"/>
  <c r="AJ95" i="12" a="1"/>
  <c r="AJ95" i="12" s="1"/>
  <c r="AK95" i="12" a="1"/>
  <c r="AK95" i="12" s="1"/>
  <c r="AI96" i="12" a="1"/>
  <c r="AI96" i="12" s="1"/>
  <c r="AJ96" i="12" a="1"/>
  <c r="AJ96" i="12" s="1"/>
  <c r="AK96" i="12" a="1"/>
  <c r="AK96" i="12" s="1"/>
  <c r="BE27" i="7" s="1"/>
  <c r="AI32" i="12" a="1"/>
  <c r="AI32" i="12" s="1"/>
  <c r="AJ32" i="12" a="1"/>
  <c r="AJ32" i="12" s="1"/>
  <c r="AK32" i="12" a="1"/>
  <c r="AK32" i="12" s="1"/>
  <c r="AI33" i="12" a="1"/>
  <c r="AI33" i="12" s="1"/>
  <c r="AJ33" i="12" a="1"/>
  <c r="AJ33" i="12" s="1"/>
  <c r="AK33" i="12" a="1"/>
  <c r="AK33" i="12" s="1"/>
  <c r="AI34" i="12" a="1"/>
  <c r="AI34" i="12" s="1"/>
  <c r="AJ34" i="12" a="1"/>
  <c r="AJ34" i="12" s="1"/>
  <c r="AK34" i="12" a="1"/>
  <c r="AK34" i="12" s="1"/>
  <c r="AI35" i="12" a="1"/>
  <c r="AI35" i="12" s="1"/>
  <c r="AJ35" i="12" a="1"/>
  <c r="AJ35" i="12" s="1"/>
  <c r="AK35" i="12" a="1"/>
  <c r="AK35" i="12" s="1"/>
  <c r="AI38" i="12" a="1"/>
  <c r="AI38" i="12" s="1"/>
  <c r="AJ38" i="12" a="1"/>
  <c r="AJ38" i="12" s="1"/>
  <c r="AK38" i="12" a="1"/>
  <c r="AK38" i="12" s="1"/>
  <c r="AI39" i="12" a="1"/>
  <c r="AI39" i="12" s="1"/>
  <c r="AJ39" i="12" a="1"/>
  <c r="AJ39" i="12" s="1"/>
  <c r="AK39" i="12" a="1"/>
  <c r="AK39" i="12" s="1"/>
  <c r="AI40" i="12" a="1"/>
  <c r="AI40" i="12" s="1"/>
  <c r="AJ40" i="12" a="1"/>
  <c r="AJ40" i="12" s="1"/>
  <c r="AK40" i="12" a="1"/>
  <c r="AK40" i="12" s="1"/>
  <c r="AI41" i="12" a="1"/>
  <c r="AI41" i="12" s="1"/>
  <c r="AJ41" i="12" a="1"/>
  <c r="AJ41" i="12" s="1"/>
  <c r="AK41" i="12" a="1"/>
  <c r="AK41" i="12" s="1"/>
  <c r="AI42" i="12" a="1"/>
  <c r="AI42" i="12" s="1"/>
  <c r="AJ42" i="12" a="1"/>
  <c r="AJ42" i="12" s="1"/>
  <c r="AK42" i="12" a="1"/>
  <c r="AK42" i="12" s="1"/>
  <c r="AI43" i="12" a="1"/>
  <c r="AI43" i="12" s="1"/>
  <c r="AJ43" i="12" a="1"/>
  <c r="AJ43" i="12" s="1"/>
  <c r="AK43" i="12" a="1"/>
  <c r="AK43" i="12" s="1"/>
  <c r="AI44" i="12" a="1"/>
  <c r="AI44" i="12" s="1"/>
  <c r="AJ44" i="12" a="1"/>
  <c r="AJ44" i="12" s="1"/>
  <c r="AK44" i="12" a="1"/>
  <c r="AK44" i="12" s="1"/>
  <c r="AI45" i="12" a="1"/>
  <c r="AI45" i="12" s="1"/>
  <c r="AJ45" i="12" a="1"/>
  <c r="AJ45" i="12" s="1"/>
  <c r="AK45" i="12" a="1"/>
  <c r="AK45" i="12" s="1"/>
  <c r="AI50" i="12" a="1"/>
  <c r="AI50" i="12" s="1"/>
  <c r="AJ50" i="12" a="1"/>
  <c r="AJ50" i="12" s="1"/>
  <c r="AK50" i="12" a="1"/>
  <c r="AK50" i="12" s="1"/>
  <c r="AI51" i="12" a="1"/>
  <c r="AI51" i="12" s="1"/>
  <c r="AJ51" i="12" a="1"/>
  <c r="AJ51" i="12" s="1"/>
  <c r="AK51" i="12" a="1"/>
  <c r="AK51" i="12" s="1"/>
  <c r="AI52" i="12" a="1"/>
  <c r="AI52" i="12" s="1"/>
  <c r="AJ52" i="12" a="1"/>
  <c r="AJ52" i="12" s="1"/>
  <c r="AK52" i="12" a="1"/>
  <c r="AK52" i="12" s="1"/>
  <c r="AI53" i="12" a="1"/>
  <c r="AI53" i="12" s="1"/>
  <c r="AJ53" i="12" a="1"/>
  <c r="AJ53" i="12" s="1"/>
  <c r="AK53" i="12" a="1"/>
  <c r="AK53" i="12" s="1"/>
  <c r="AI54" i="12" a="1"/>
  <c r="AI54" i="12" s="1"/>
  <c r="AJ54" i="12" a="1"/>
  <c r="AJ54" i="12" s="1"/>
  <c r="AK54" i="12" a="1"/>
  <c r="AK54" i="12" s="1"/>
  <c r="AI55" i="12" a="1"/>
  <c r="AI55" i="12" s="1"/>
  <c r="AJ55" i="12" a="1"/>
  <c r="AJ55" i="12" s="1"/>
  <c r="AK55" i="12" a="1"/>
  <c r="AK55" i="12" s="1"/>
  <c r="AI57" i="12" a="1"/>
  <c r="AI57" i="12" s="1"/>
  <c r="BC29" i="7" s="1"/>
  <c r="AJ57" i="12" a="1"/>
  <c r="AJ57" i="12" s="1"/>
  <c r="BD29" i="7" s="1"/>
  <c r="AK57" i="12" a="1"/>
  <c r="AK57" i="12" s="1"/>
  <c r="BE29" i="7" s="1"/>
  <c r="AI58" i="12" a="1"/>
  <c r="AI58" i="12" s="1"/>
  <c r="AJ58" i="12" a="1"/>
  <c r="AJ58" i="12" s="1"/>
  <c r="AK58" i="12" a="1"/>
  <c r="AK58" i="12" s="1"/>
  <c r="AI59" i="12" a="1"/>
  <c r="AI59" i="12" s="1"/>
  <c r="AJ59" i="12" a="1"/>
  <c r="AJ59" i="12" s="1"/>
  <c r="AK59" i="12" a="1"/>
  <c r="AK59" i="12" s="1"/>
  <c r="AI60" i="12" a="1"/>
  <c r="AI60" i="12" s="1"/>
  <c r="AJ60" i="12" a="1"/>
  <c r="AJ60" i="12" s="1"/>
  <c r="AK60" i="12" a="1"/>
  <c r="AK60" i="12" s="1"/>
  <c r="AI68" i="12" a="1"/>
  <c r="AI68" i="12" s="1"/>
  <c r="AJ68" i="12" a="1"/>
  <c r="AJ68" i="12" s="1"/>
  <c r="AK68" i="12" a="1"/>
  <c r="AK68" i="12" s="1"/>
  <c r="AI69" i="12" a="1"/>
  <c r="AI69" i="12" s="1"/>
  <c r="AJ69" i="12" a="1"/>
  <c r="AJ69" i="12" s="1"/>
  <c r="AK69" i="12" a="1"/>
  <c r="AK69" i="12" s="1"/>
  <c r="AI71" i="12" a="1"/>
  <c r="AI71" i="12" s="1"/>
  <c r="AJ71" i="12" a="1"/>
  <c r="AJ71" i="12" s="1"/>
  <c r="AK71" i="12" a="1"/>
  <c r="AK71" i="12" s="1"/>
  <c r="AJ31" i="12" a="1"/>
  <c r="AJ31" i="12" s="1"/>
  <c r="AK31" i="12" a="1"/>
  <c r="AK31" i="12" s="1"/>
  <c r="AI31" i="12" a="1"/>
  <c r="AI31" i="12" s="1"/>
  <c r="BE23" i="7" l="1"/>
  <c r="BE24" i="7"/>
  <c r="BE30" i="7"/>
  <c r="BD23" i="7"/>
  <c r="BD24" i="7"/>
  <c r="BD30" i="7"/>
  <c r="Z28" i="7"/>
  <c r="AL28" i="7"/>
  <c r="AI28" i="7"/>
  <c r="AD28" i="7"/>
  <c r="BC23" i="7"/>
  <c r="BC24" i="7"/>
  <c r="BC30" i="7"/>
  <c r="AH28" i="7"/>
  <c r="AK28" i="7"/>
  <c r="Y28" i="7"/>
  <c r="AC28" i="7"/>
  <c r="BD27" i="7"/>
  <c r="AH27" i="7" s="1"/>
  <c r="AL31" i="7"/>
  <c r="AI31" i="7"/>
  <c r="AD31" i="7"/>
  <c r="Z31" i="7"/>
  <c r="AJ28" i="7"/>
  <c r="CV28" i="7"/>
  <c r="AG28" i="7"/>
  <c r="W28" i="7"/>
  <c r="AA28" i="7"/>
  <c r="BC27" i="7"/>
  <c r="AA27" i="7" s="1"/>
  <c r="AK31" i="7"/>
  <c r="AC31" i="7"/>
  <c r="AH31" i="7"/>
  <c r="Y31" i="7"/>
  <c r="Z27" i="7"/>
  <c r="AD27" i="7"/>
  <c r="AI27" i="7"/>
  <c r="AL27" i="7"/>
  <c r="AL29" i="7"/>
  <c r="Z29" i="7"/>
  <c r="AD29" i="7"/>
  <c r="AI29" i="7"/>
  <c r="Y29" i="7"/>
  <c r="AH29" i="7"/>
  <c r="AK29" i="7"/>
  <c r="AC29" i="7"/>
  <c r="AG29" i="7"/>
  <c r="W29" i="7"/>
  <c r="AJ29" i="7"/>
  <c r="CV29" i="7"/>
  <c r="AA29" i="7"/>
  <c r="BE25" i="7"/>
  <c r="BE26" i="7"/>
  <c r="BD25" i="7"/>
  <c r="BD26" i="7"/>
  <c r="BC26" i="7"/>
  <c r="BC25" i="7"/>
  <c r="I181" i="7"/>
  <c r="Y27" i="7" l="1"/>
  <c r="AC27" i="7"/>
  <c r="AG27" i="7"/>
  <c r="W27" i="7"/>
  <c r="CV27" i="7"/>
  <c r="AJ27" i="7"/>
  <c r="AK27" i="7"/>
  <c r="AC30" i="7"/>
  <c r="AK30" i="7"/>
  <c r="AH30" i="7"/>
  <c r="Y30" i="7"/>
  <c r="AJ30" i="7"/>
  <c r="W30" i="7"/>
  <c r="AG30" i="7"/>
  <c r="CV30" i="7"/>
  <c r="AA30" i="7"/>
  <c r="Z30" i="7"/>
  <c r="AL30" i="7"/>
  <c r="AI30" i="7"/>
  <c r="AD30" i="7"/>
  <c r="DE28" i="7"/>
  <c r="DE29" i="7"/>
  <c r="AA25" i="7"/>
  <c r="W25" i="7"/>
  <c r="AG25" i="7"/>
  <c r="CV25" i="7"/>
  <c r="AJ25" i="7"/>
  <c r="AK25" i="7"/>
  <c r="AH25" i="7"/>
  <c r="Y25" i="7"/>
  <c r="AC25" i="7"/>
  <c r="AD25" i="7"/>
  <c r="AI25" i="7"/>
  <c r="AL25" i="7"/>
  <c r="Z25" i="7"/>
  <c r="M5" i="7"/>
  <c r="N211" i="7" s="1"/>
  <c r="I151" i="7"/>
  <c r="C147" i="7"/>
  <c r="DE27" i="7" l="1"/>
  <c r="DE30" i="7"/>
  <c r="DE25" i="7"/>
  <c r="M9" i="7"/>
  <c r="BD12" i="7" s="1"/>
  <c r="Q151" i="7"/>
  <c r="V57" i="14"/>
  <c r="U57" i="14"/>
  <c r="W57" i="14"/>
  <c r="Q147" i="7" l="1"/>
  <c r="R144" i="7" s="1"/>
  <c r="Z144" i="7" s="1"/>
  <c r="B10" i="7"/>
  <c r="I187" i="7" l="1"/>
  <c r="I188" i="7"/>
  <c r="I189" i="7"/>
  <c r="I190" i="7"/>
  <c r="I191" i="7"/>
  <c r="I192" i="7"/>
  <c r="I193" i="7"/>
  <c r="I194" i="7"/>
  <c r="I195" i="7"/>
  <c r="I196" i="7"/>
  <c r="I183" i="7"/>
  <c r="I184" i="7"/>
  <c r="F183" i="7"/>
  <c r="F184" i="7"/>
  <c r="U58" i="14"/>
  <c r="V58" i="14"/>
  <c r="W58" i="14"/>
  <c r="U59" i="14"/>
  <c r="V59" i="14"/>
  <c r="W59" i="14"/>
  <c r="U60" i="14"/>
  <c r="V60" i="14"/>
  <c r="W60" i="14"/>
  <c r="U56" i="14"/>
  <c r="W56" i="14"/>
  <c r="V56" i="14"/>
  <c r="U61" i="14" l="1"/>
  <c r="V61" i="14"/>
  <c r="W61" i="14"/>
  <c r="G56" i="7" l="1"/>
  <c r="I206" i="7"/>
  <c r="AI144" i="7"/>
  <c r="G206" i="7" l="1"/>
  <c r="BF23" i="7"/>
  <c r="D201" i="7" l="1"/>
  <c r="I185" i="7"/>
  <c r="I198" i="7" l="1"/>
  <c r="I197" i="7"/>
  <c r="I186" i="7"/>
  <c r="I182" i="7"/>
  <c r="F182" i="7"/>
  <c r="M64" i="7" l="1"/>
  <c r="M60" i="7"/>
  <c r="M61" i="7"/>
  <c r="M62" i="7"/>
  <c r="M63" i="7"/>
  <c r="M65" i="7" l="1"/>
  <c r="M110" i="7"/>
  <c r="I110" i="7" s="1"/>
  <c r="AZ23" i="7"/>
  <c r="P5" i="7"/>
  <c r="G44" i="31" s="1"/>
  <c r="H44" i="31" s="1"/>
  <c r="I44" i="31" s="1"/>
  <c r="J44" i="31" s="1"/>
  <c r="K44" i="31" s="1"/>
  <c r="I45" i="7"/>
  <c r="N45" i="7" s="1"/>
  <c r="I44" i="7"/>
  <c r="N44" i="7" s="1"/>
  <c r="X127" i="7"/>
  <c r="Z127" i="7"/>
  <c r="Z128" i="7"/>
  <c r="Z129" i="7"/>
  <c r="Z130" i="7"/>
  <c r="Y127" i="7"/>
  <c r="Y130" i="7"/>
  <c r="Y129" i="7"/>
  <c r="Y128" i="7"/>
  <c r="I152" i="7"/>
  <c r="D27" i="12"/>
  <c r="B11" i="7"/>
  <c r="T12" i="7"/>
  <c r="I43" i="7"/>
  <c r="N43" i="7" s="1"/>
  <c r="CQ23" i="7"/>
  <c r="M111" i="7"/>
  <c r="I111" i="7" s="1"/>
  <c r="M112" i="7"/>
  <c r="I112" i="7" s="1"/>
  <c r="M113" i="7"/>
  <c r="I113" i="7" s="1"/>
  <c r="M117" i="7"/>
  <c r="J117" i="7" s="1"/>
  <c r="M118" i="7"/>
  <c r="I118" i="7" s="1"/>
  <c r="M119" i="7"/>
  <c r="I119" i="7" s="1"/>
  <c r="M116" i="7"/>
  <c r="I116" i="7" s="1"/>
  <c r="C75" i="7"/>
  <c r="X130" i="7"/>
  <c r="X128" i="7"/>
  <c r="X129" i="7"/>
  <c r="M133" i="7"/>
  <c r="I133" i="7" s="1"/>
  <c r="W28" i="14"/>
  <c r="X28" i="14" s="1"/>
  <c r="W29" i="14"/>
  <c r="X29" i="14" s="1"/>
  <c r="W27" i="14"/>
  <c r="X27" i="14" s="1"/>
  <c r="B104" i="12" s="1"/>
  <c r="N133" i="7"/>
  <c r="J133" i="7" s="1"/>
  <c r="I42" i="7"/>
  <c r="N27" i="12" l="1"/>
  <c r="O27" i="12"/>
  <c r="B106" i="12"/>
  <c r="B105" i="12"/>
  <c r="T27" i="12"/>
  <c r="U27" i="12"/>
  <c r="D28" i="12"/>
  <c r="E27" i="12"/>
  <c r="E28" i="12" s="1"/>
  <c r="F27" i="12"/>
  <c r="Y27" i="12"/>
  <c r="G27" i="12"/>
  <c r="L27" i="12"/>
  <c r="W27" i="12"/>
  <c r="X27" i="12"/>
  <c r="Q27" i="12"/>
  <c r="H27" i="12"/>
  <c r="H28" i="12" s="1"/>
  <c r="R27" i="12"/>
  <c r="I27" i="12"/>
  <c r="S27" i="12"/>
  <c r="J27" i="12"/>
  <c r="K27" i="12"/>
  <c r="V27" i="12"/>
  <c r="M27" i="12"/>
  <c r="P27" i="12"/>
  <c r="D29" i="12"/>
  <c r="J118" i="7"/>
  <c r="N60" i="7"/>
  <c r="N62" i="7"/>
  <c r="N64" i="7"/>
  <c r="N63" i="7"/>
  <c r="N61" i="7"/>
  <c r="M44" i="7"/>
  <c r="J119" i="7"/>
  <c r="Y131" i="7"/>
  <c r="Z131" i="7"/>
  <c r="J116" i="7"/>
  <c r="G15" i="31"/>
  <c r="H15" i="31" s="1"/>
  <c r="I15" i="31" s="1"/>
  <c r="J15" i="31" s="1"/>
  <c r="K15" i="31" s="1"/>
  <c r="G93" i="31"/>
  <c r="H93" i="31" s="1"/>
  <c r="I93" i="31" s="1"/>
  <c r="J93" i="31" s="1"/>
  <c r="K93" i="31" s="1"/>
  <c r="G18" i="31"/>
  <c r="H18" i="31" s="1"/>
  <c r="I18" i="31" s="1"/>
  <c r="J18" i="31" s="1"/>
  <c r="K18" i="31" s="1"/>
  <c r="X131" i="7"/>
  <c r="D125" i="7" s="1"/>
  <c r="G47" i="31"/>
  <c r="H47" i="31" s="1"/>
  <c r="I47" i="31" s="1"/>
  <c r="J47" i="31" s="1"/>
  <c r="K47" i="31" s="1"/>
  <c r="G31" i="31"/>
  <c r="H31" i="31" s="1"/>
  <c r="I31" i="31" s="1"/>
  <c r="J31" i="31" s="1"/>
  <c r="K31" i="31" s="1"/>
  <c r="G48" i="31"/>
  <c r="H48" i="31" s="1"/>
  <c r="I48" i="31" s="1"/>
  <c r="J48" i="31" s="1"/>
  <c r="K48" i="31" s="1"/>
  <c r="I117" i="7"/>
  <c r="M132" i="7" s="1"/>
  <c r="I132" i="7" s="1"/>
  <c r="G79" i="31"/>
  <c r="H79" i="31" s="1"/>
  <c r="I79" i="31" s="1"/>
  <c r="J79" i="31" s="1"/>
  <c r="K79" i="31" s="1"/>
  <c r="G43" i="31"/>
  <c r="H43" i="31" s="1"/>
  <c r="I43" i="31" s="1"/>
  <c r="J43" i="31" s="1"/>
  <c r="K43" i="31" s="1"/>
  <c r="G51" i="31"/>
  <c r="H51" i="31" s="1"/>
  <c r="I51" i="31" s="1"/>
  <c r="J51" i="31" s="1"/>
  <c r="K51" i="31" s="1"/>
  <c r="G3" i="31"/>
  <c r="H3" i="31" s="1"/>
  <c r="I3" i="31" s="1"/>
  <c r="J3" i="31" s="1"/>
  <c r="K3" i="31" s="1"/>
  <c r="G6" i="31"/>
  <c r="H6" i="31" s="1"/>
  <c r="I6" i="31" s="1"/>
  <c r="J6" i="31" s="1"/>
  <c r="K6" i="31" s="1"/>
  <c r="G94" i="31"/>
  <c r="H94" i="31" s="1"/>
  <c r="I94" i="31" s="1"/>
  <c r="J94" i="31" s="1"/>
  <c r="K94" i="31" s="1"/>
  <c r="G76" i="31"/>
  <c r="H76" i="31" s="1"/>
  <c r="I76" i="31" s="1"/>
  <c r="J76" i="31" s="1"/>
  <c r="K76" i="31" s="1"/>
  <c r="G22" i="31"/>
  <c r="H22" i="31" s="1"/>
  <c r="I22" i="31" s="1"/>
  <c r="J22" i="31" s="1"/>
  <c r="K22" i="31" s="1"/>
  <c r="G39" i="31"/>
  <c r="H39" i="31" s="1"/>
  <c r="I39" i="31" s="1"/>
  <c r="J39" i="31" s="1"/>
  <c r="K39" i="31" s="1"/>
  <c r="G12" i="31"/>
  <c r="H12" i="31" s="1"/>
  <c r="I12" i="31" s="1"/>
  <c r="J12" i="31" s="1"/>
  <c r="K12" i="31" s="1"/>
  <c r="G61" i="31"/>
  <c r="H61" i="31" s="1"/>
  <c r="I61" i="31" s="1"/>
  <c r="J61" i="31" s="1"/>
  <c r="K61" i="31" s="1"/>
  <c r="G9" i="31"/>
  <c r="H9" i="31" s="1"/>
  <c r="I9" i="31" s="1"/>
  <c r="J9" i="31" s="1"/>
  <c r="K9" i="31" s="1"/>
  <c r="G19" i="31"/>
  <c r="H19" i="31" s="1"/>
  <c r="I19" i="31" s="1"/>
  <c r="J19" i="31" s="1"/>
  <c r="K19" i="31" s="1"/>
  <c r="G34" i="31"/>
  <c r="H34" i="31" s="1"/>
  <c r="I34" i="31" s="1"/>
  <c r="J34" i="31" s="1"/>
  <c r="K34" i="31" s="1"/>
  <c r="G86" i="31"/>
  <c r="H86" i="31" s="1"/>
  <c r="I86" i="31" s="1"/>
  <c r="J86" i="31" s="1"/>
  <c r="K86" i="31" s="1"/>
  <c r="G16" i="31"/>
  <c r="H16" i="31" s="1"/>
  <c r="I16" i="31" s="1"/>
  <c r="J16" i="31" s="1"/>
  <c r="K16" i="31" s="1"/>
  <c r="G70" i="31"/>
  <c r="H70" i="31" s="1"/>
  <c r="I70" i="31" s="1"/>
  <c r="J70" i="31" s="1"/>
  <c r="K70" i="31" s="1"/>
  <c r="G65" i="31"/>
  <c r="H65" i="31" s="1"/>
  <c r="I65" i="31" s="1"/>
  <c r="J65" i="31" s="1"/>
  <c r="K65" i="31" s="1"/>
  <c r="G14" i="31"/>
  <c r="H14" i="31" s="1"/>
  <c r="I14" i="31" s="1"/>
  <c r="J14" i="31" s="1"/>
  <c r="K14" i="31" s="1"/>
  <c r="G35" i="31"/>
  <c r="H35" i="31" s="1"/>
  <c r="I35" i="31" s="1"/>
  <c r="J35" i="31" s="1"/>
  <c r="K35" i="31" s="1"/>
  <c r="G96" i="31"/>
  <c r="H96" i="31" s="1"/>
  <c r="I96" i="31" s="1"/>
  <c r="J96" i="31" s="1"/>
  <c r="K96" i="31" s="1"/>
  <c r="G40" i="31"/>
  <c r="H40" i="31" s="1"/>
  <c r="I40" i="31" s="1"/>
  <c r="J40" i="31" s="1"/>
  <c r="K40" i="31" s="1"/>
  <c r="G26" i="31"/>
  <c r="H26" i="31" s="1"/>
  <c r="I26" i="31" s="1"/>
  <c r="J26" i="31" s="1"/>
  <c r="K26" i="31" s="1"/>
  <c r="G82" i="31"/>
  <c r="H82" i="31" s="1"/>
  <c r="I82" i="31" s="1"/>
  <c r="J82" i="31" s="1"/>
  <c r="K82" i="31" s="1"/>
  <c r="G62" i="31"/>
  <c r="H62" i="31" s="1"/>
  <c r="I62" i="31" s="1"/>
  <c r="J62" i="31" s="1"/>
  <c r="K62" i="31" s="1"/>
  <c r="G92" i="31"/>
  <c r="H92" i="31" s="1"/>
  <c r="I92" i="31" s="1"/>
  <c r="J92" i="31" s="1"/>
  <c r="K92" i="31" s="1"/>
  <c r="G64" i="31"/>
  <c r="H64" i="31" s="1"/>
  <c r="I64" i="31" s="1"/>
  <c r="J64" i="31" s="1"/>
  <c r="K64" i="31" s="1"/>
  <c r="G72" i="31"/>
  <c r="H72" i="31" s="1"/>
  <c r="I72" i="31" s="1"/>
  <c r="J72" i="31" s="1"/>
  <c r="K72" i="31" s="1"/>
  <c r="G2" i="31"/>
  <c r="H2" i="31" s="1"/>
  <c r="I2" i="31" s="1"/>
  <c r="J2" i="31" s="1"/>
  <c r="K2" i="31" s="1"/>
  <c r="G85" i="31"/>
  <c r="H85" i="31" s="1"/>
  <c r="I85" i="31" s="1"/>
  <c r="J85" i="31" s="1"/>
  <c r="K85" i="31" s="1"/>
  <c r="G83" i="31"/>
  <c r="H83" i="31" s="1"/>
  <c r="I83" i="31" s="1"/>
  <c r="J83" i="31" s="1"/>
  <c r="K83" i="31" s="1"/>
  <c r="G66" i="31"/>
  <c r="H66" i="31" s="1"/>
  <c r="I66" i="31" s="1"/>
  <c r="J66" i="31" s="1"/>
  <c r="K66" i="31" s="1"/>
  <c r="G27" i="31"/>
  <c r="H27" i="31" s="1"/>
  <c r="I27" i="31" s="1"/>
  <c r="J27" i="31" s="1"/>
  <c r="K27" i="31" s="1"/>
  <c r="G46" i="31"/>
  <c r="H46" i="31" s="1"/>
  <c r="I46" i="31" s="1"/>
  <c r="J46" i="31" s="1"/>
  <c r="K46" i="31" s="1"/>
  <c r="G88" i="31"/>
  <c r="H88" i="31" s="1"/>
  <c r="I88" i="31" s="1"/>
  <c r="J88" i="31" s="1"/>
  <c r="K88" i="31" s="1"/>
  <c r="G11" i="31"/>
  <c r="H11" i="31" s="1"/>
  <c r="I11" i="31" s="1"/>
  <c r="J11" i="31" s="1"/>
  <c r="K11" i="31" s="1"/>
  <c r="G37" i="31"/>
  <c r="H37" i="31" s="1"/>
  <c r="I37" i="31" s="1"/>
  <c r="J37" i="31" s="1"/>
  <c r="K37" i="31" s="1"/>
  <c r="G75" i="31"/>
  <c r="H75" i="31" s="1"/>
  <c r="I75" i="31" s="1"/>
  <c r="J75" i="31" s="1"/>
  <c r="K75" i="31" s="1"/>
  <c r="G21" i="31"/>
  <c r="H21" i="31" s="1"/>
  <c r="I21" i="31" s="1"/>
  <c r="J21" i="31" s="1"/>
  <c r="K21" i="31" s="1"/>
  <c r="G80" i="31"/>
  <c r="H80" i="31" s="1"/>
  <c r="I80" i="31" s="1"/>
  <c r="J80" i="31" s="1"/>
  <c r="K80" i="31" s="1"/>
  <c r="G71" i="31"/>
  <c r="H71" i="31" s="1"/>
  <c r="I71" i="31" s="1"/>
  <c r="J71" i="31" s="1"/>
  <c r="K71" i="31" s="1"/>
  <c r="G52" i="31"/>
  <c r="H52" i="31" s="1"/>
  <c r="I52" i="31" s="1"/>
  <c r="J52" i="31" s="1"/>
  <c r="K52" i="31" s="1"/>
  <c r="G54" i="31"/>
  <c r="H54" i="31" s="1"/>
  <c r="I54" i="31" s="1"/>
  <c r="J54" i="31" s="1"/>
  <c r="K54" i="31" s="1"/>
  <c r="G77" i="31"/>
  <c r="H77" i="31" s="1"/>
  <c r="I77" i="31" s="1"/>
  <c r="J77" i="31" s="1"/>
  <c r="K77" i="31" s="1"/>
  <c r="G10" i="31"/>
  <c r="H10" i="31" s="1"/>
  <c r="I10" i="31" s="1"/>
  <c r="J10" i="31" s="1"/>
  <c r="K10" i="31" s="1"/>
  <c r="G29" i="31"/>
  <c r="H29" i="31" s="1"/>
  <c r="I29" i="31" s="1"/>
  <c r="J29" i="31" s="1"/>
  <c r="K29" i="31" s="1"/>
  <c r="G53" i="31"/>
  <c r="H53" i="31" s="1"/>
  <c r="I53" i="31" s="1"/>
  <c r="J53" i="31" s="1"/>
  <c r="K53" i="31" s="1"/>
  <c r="G59" i="31"/>
  <c r="H59" i="31" s="1"/>
  <c r="I59" i="31" s="1"/>
  <c r="J59" i="31" s="1"/>
  <c r="K59" i="31" s="1"/>
  <c r="G32" i="31"/>
  <c r="H32" i="31" s="1"/>
  <c r="I32" i="31" s="1"/>
  <c r="J32" i="31" s="1"/>
  <c r="K32" i="31" s="1"/>
  <c r="G97" i="31"/>
  <c r="H97" i="31" s="1"/>
  <c r="I97" i="31" s="1"/>
  <c r="J97" i="31" s="1"/>
  <c r="K97" i="31" s="1"/>
  <c r="G50" i="31"/>
  <c r="H50" i="31" s="1"/>
  <c r="I50" i="31" s="1"/>
  <c r="J50" i="31" s="1"/>
  <c r="K50" i="31" s="1"/>
  <c r="G58" i="31"/>
  <c r="H58" i="31" s="1"/>
  <c r="I58" i="31" s="1"/>
  <c r="J58" i="31" s="1"/>
  <c r="K58" i="31" s="1"/>
  <c r="G5" i="31"/>
  <c r="H5" i="31" s="1"/>
  <c r="I5" i="31" s="1"/>
  <c r="J5" i="31" s="1"/>
  <c r="K5" i="31" s="1"/>
  <c r="G81" i="31"/>
  <c r="H81" i="31" s="1"/>
  <c r="I81" i="31" s="1"/>
  <c r="J81" i="31" s="1"/>
  <c r="K81" i="31" s="1"/>
  <c r="G7" i="31"/>
  <c r="H7" i="31" s="1"/>
  <c r="I7" i="31" s="1"/>
  <c r="J7" i="31" s="1"/>
  <c r="K7" i="31" s="1"/>
  <c r="G87" i="31"/>
  <c r="H87" i="31" s="1"/>
  <c r="I87" i="31" s="1"/>
  <c r="J87" i="31" s="1"/>
  <c r="K87" i="31" s="1"/>
  <c r="G67" i="31"/>
  <c r="H67" i="31" s="1"/>
  <c r="I67" i="31" s="1"/>
  <c r="J67" i="31" s="1"/>
  <c r="K67" i="31" s="1"/>
  <c r="G36" i="31"/>
  <c r="H36" i="31" s="1"/>
  <c r="I36" i="31" s="1"/>
  <c r="J36" i="31" s="1"/>
  <c r="K36" i="31" s="1"/>
  <c r="G69" i="31"/>
  <c r="H69" i="31" s="1"/>
  <c r="I69" i="31" s="1"/>
  <c r="J69" i="31" s="1"/>
  <c r="K69" i="31" s="1"/>
  <c r="G45" i="31"/>
  <c r="H45" i="31" s="1"/>
  <c r="I45" i="31" s="1"/>
  <c r="J45" i="31" s="1"/>
  <c r="K45" i="31" s="1"/>
  <c r="G55" i="31"/>
  <c r="H55" i="31" s="1"/>
  <c r="I55" i="31" s="1"/>
  <c r="J55" i="31" s="1"/>
  <c r="K55" i="31" s="1"/>
  <c r="G49" i="31"/>
  <c r="H49" i="31" s="1"/>
  <c r="I49" i="31" s="1"/>
  <c r="J49" i="31" s="1"/>
  <c r="K49" i="31" s="1"/>
  <c r="G24" i="31"/>
  <c r="H24" i="31" s="1"/>
  <c r="I24" i="31" s="1"/>
  <c r="J24" i="31" s="1"/>
  <c r="K24" i="31" s="1"/>
  <c r="G13" i="31"/>
  <c r="H13" i="31" s="1"/>
  <c r="I13" i="31" s="1"/>
  <c r="J13" i="31" s="1"/>
  <c r="K13" i="31" s="1"/>
  <c r="G20" i="31"/>
  <c r="H20" i="31" s="1"/>
  <c r="I20" i="31" s="1"/>
  <c r="J20" i="31" s="1"/>
  <c r="K20" i="31" s="1"/>
  <c r="G74" i="31"/>
  <c r="H74" i="31" s="1"/>
  <c r="I74" i="31" s="1"/>
  <c r="J74" i="31" s="1"/>
  <c r="K74" i="31" s="1"/>
  <c r="G78" i="31"/>
  <c r="H78" i="31" s="1"/>
  <c r="I78" i="31" s="1"/>
  <c r="J78" i="31" s="1"/>
  <c r="K78" i="31" s="1"/>
  <c r="G25" i="31"/>
  <c r="H25" i="31" s="1"/>
  <c r="I25" i="31" s="1"/>
  <c r="J25" i="31" s="1"/>
  <c r="K25" i="31" s="1"/>
  <c r="G95" i="31"/>
  <c r="H95" i="31" s="1"/>
  <c r="I95" i="31" s="1"/>
  <c r="J95" i="31" s="1"/>
  <c r="K95" i="31" s="1"/>
  <c r="G84" i="31"/>
  <c r="H84" i="31" s="1"/>
  <c r="I84" i="31" s="1"/>
  <c r="J84" i="31" s="1"/>
  <c r="K84" i="31" s="1"/>
  <c r="G89" i="31"/>
  <c r="H89" i="31" s="1"/>
  <c r="I89" i="31" s="1"/>
  <c r="J89" i="31" s="1"/>
  <c r="K89" i="31" s="1"/>
  <c r="G23" i="31"/>
  <c r="H23" i="31" s="1"/>
  <c r="I23" i="31" s="1"/>
  <c r="J23" i="31" s="1"/>
  <c r="K23" i="31" s="1"/>
  <c r="G56" i="31"/>
  <c r="H56" i="31" s="1"/>
  <c r="I56" i="31" s="1"/>
  <c r="J56" i="31" s="1"/>
  <c r="K56" i="31" s="1"/>
  <c r="Q5" i="7"/>
  <c r="R5" i="7" s="1"/>
  <c r="G91" i="31"/>
  <c r="H91" i="31" s="1"/>
  <c r="I91" i="31" s="1"/>
  <c r="J91" i="31" s="1"/>
  <c r="K91" i="31" s="1"/>
  <c r="G41" i="31"/>
  <c r="H41" i="31" s="1"/>
  <c r="I41" i="31" s="1"/>
  <c r="J41" i="31" s="1"/>
  <c r="K41" i="31" s="1"/>
  <c r="G42" i="31"/>
  <c r="H42" i="31" s="1"/>
  <c r="I42" i="31" s="1"/>
  <c r="J42" i="31" s="1"/>
  <c r="K42" i="31" s="1"/>
  <c r="G33" i="31"/>
  <c r="H33" i="31" s="1"/>
  <c r="I33" i="31" s="1"/>
  <c r="J33" i="31" s="1"/>
  <c r="K33" i="31" s="1"/>
  <c r="G68" i="31"/>
  <c r="H68" i="31" s="1"/>
  <c r="I68" i="31" s="1"/>
  <c r="J68" i="31" s="1"/>
  <c r="K68" i="31" s="1"/>
  <c r="G4" i="31"/>
  <c r="H4" i="31" s="1"/>
  <c r="I4" i="31" s="1"/>
  <c r="J4" i="31" s="1"/>
  <c r="K4" i="31" s="1"/>
  <c r="G63" i="31"/>
  <c r="H63" i="31" s="1"/>
  <c r="I63" i="31" s="1"/>
  <c r="J63" i="31" s="1"/>
  <c r="K63" i="31" s="1"/>
  <c r="G30" i="31"/>
  <c r="H30" i="31" s="1"/>
  <c r="I30" i="31" s="1"/>
  <c r="J30" i="31" s="1"/>
  <c r="K30" i="31" s="1"/>
  <c r="G73" i="31"/>
  <c r="H73" i="31" s="1"/>
  <c r="I73" i="31" s="1"/>
  <c r="J73" i="31" s="1"/>
  <c r="K73" i="31" s="1"/>
  <c r="G8" i="31"/>
  <c r="H8" i="31" s="1"/>
  <c r="I8" i="31" s="1"/>
  <c r="J8" i="31" s="1"/>
  <c r="K8" i="31" s="1"/>
  <c r="G28" i="31"/>
  <c r="H28" i="31" s="1"/>
  <c r="I28" i="31" s="1"/>
  <c r="J28" i="31" s="1"/>
  <c r="K28" i="31" s="1"/>
  <c r="G38" i="31"/>
  <c r="H38" i="31" s="1"/>
  <c r="I38" i="31" s="1"/>
  <c r="J38" i="31" s="1"/>
  <c r="K38" i="31" s="1"/>
  <c r="G60" i="31"/>
  <c r="H60" i="31" s="1"/>
  <c r="I60" i="31" s="1"/>
  <c r="J60" i="31" s="1"/>
  <c r="K60" i="31" s="1"/>
  <c r="G57" i="31"/>
  <c r="H57" i="31" s="1"/>
  <c r="I57" i="31" s="1"/>
  <c r="J57" i="31" s="1"/>
  <c r="K57" i="31" s="1"/>
  <c r="G90" i="31"/>
  <c r="H90" i="31" s="1"/>
  <c r="I90" i="31" s="1"/>
  <c r="J90" i="31" s="1"/>
  <c r="K90" i="31" s="1"/>
  <c r="G17" i="31"/>
  <c r="H17" i="31" s="1"/>
  <c r="I17" i="31" s="1"/>
  <c r="J17" i="31" s="1"/>
  <c r="K17" i="31" s="1"/>
  <c r="D26" i="12"/>
  <c r="N26" i="12" l="1"/>
  <c r="O26" i="12"/>
  <c r="O28" i="12"/>
  <c r="O29" i="12"/>
  <c r="N28" i="12"/>
  <c r="N29" i="12"/>
  <c r="T26" i="12"/>
  <c r="U26" i="12"/>
  <c r="T28" i="12"/>
  <c r="T29" i="12"/>
  <c r="U29" i="12"/>
  <c r="U28" i="12"/>
  <c r="I32" i="7"/>
  <c r="Q26" i="12"/>
  <c r="S26" i="12"/>
  <c r="H26" i="12"/>
  <c r="R26" i="12"/>
  <c r="J26" i="12"/>
  <c r="F26" i="12"/>
  <c r="K26" i="12"/>
  <c r="V26" i="12"/>
  <c r="G26" i="12"/>
  <c r="L26" i="12"/>
  <c r="W26" i="12"/>
  <c r="M26" i="12"/>
  <c r="X26" i="12"/>
  <c r="P26" i="12"/>
  <c r="Y26" i="12"/>
  <c r="E26" i="12"/>
  <c r="E31" i="12" s="1"/>
  <c r="I26" i="12"/>
  <c r="I31" i="7"/>
  <c r="N34" i="7"/>
  <c r="AA131" i="7"/>
  <c r="J33" i="7"/>
  <c r="G28" i="12"/>
  <c r="E29" i="12"/>
  <c r="I33" i="7"/>
  <c r="N132" i="7"/>
  <c r="N131" i="7" s="1"/>
  <c r="J131" i="7" s="1"/>
  <c r="N139" i="7" s="1"/>
  <c r="M131" i="7"/>
  <c r="I131" i="7" s="1"/>
  <c r="M139" i="7" s="1"/>
  <c r="I139" i="7" s="1"/>
  <c r="I145" i="7" s="1"/>
  <c r="J32" i="7"/>
  <c r="L32" i="7" s="1"/>
  <c r="K98" i="31"/>
  <c r="L98" i="31" s="1"/>
  <c r="C13" i="7" s="1"/>
  <c r="A15" i="7" s="1"/>
  <c r="BK23" i="7"/>
  <c r="L33" i="7" l="1"/>
  <c r="N32" i="7"/>
  <c r="CL32" i="7" s="1"/>
  <c r="N33" i="7"/>
  <c r="CL33" i="7" s="1"/>
  <c r="N31" i="12"/>
  <c r="O31" i="12"/>
  <c r="CM34" i="7"/>
  <c r="CL34" i="7"/>
  <c r="T31" i="12"/>
  <c r="U31" i="12"/>
  <c r="U35" i="12"/>
  <c r="U33" i="12"/>
  <c r="U34" i="12"/>
  <c r="T35" i="12"/>
  <c r="T33" i="12"/>
  <c r="T34" i="12"/>
  <c r="M145" i="7"/>
  <c r="J132" i="7"/>
  <c r="F29" i="12"/>
  <c r="G29" i="12"/>
  <c r="F28" i="12"/>
  <c r="I30" i="7"/>
  <c r="I28" i="7"/>
  <c r="I29" i="7"/>
  <c r="I27" i="7"/>
  <c r="I25" i="7"/>
  <c r="L42" i="7"/>
  <c r="N42" i="7" s="1"/>
  <c r="L41" i="7"/>
  <c r="I41" i="7" s="1"/>
  <c r="N145" i="7"/>
  <c r="J139" i="7"/>
  <c r="J145" i="7" s="1"/>
  <c r="L40" i="7"/>
  <c r="N40" i="7" s="1"/>
  <c r="N38" i="7"/>
  <c r="E35" i="12"/>
  <c r="E34" i="12"/>
  <c r="E33" i="12"/>
  <c r="CM32" i="7" l="1"/>
  <c r="CM33" i="7"/>
  <c r="BM24" i="7"/>
  <c r="BM26" i="7"/>
  <c r="CM38" i="7"/>
  <c r="CL38" i="7"/>
  <c r="N41" i="7"/>
  <c r="M42" i="7"/>
  <c r="I40" i="7"/>
  <c r="M41" i="7"/>
  <c r="F35" i="12"/>
  <c r="F33" i="12"/>
  <c r="F31" i="12"/>
  <c r="F34" i="12"/>
  <c r="CZ23" i="7" l="1"/>
  <c r="BN24" i="7"/>
  <c r="CZ24" i="7" s="1"/>
  <c r="BN26" i="7"/>
  <c r="M40" i="7"/>
  <c r="G31" i="12"/>
  <c r="G34" i="12"/>
  <c r="G33" i="12"/>
  <c r="G35" i="12"/>
  <c r="CZ26" i="7" l="1"/>
  <c r="CZ39" i="7" s="1"/>
  <c r="D56" i="7" s="1"/>
  <c r="Q64" i="7" s="1"/>
  <c r="I64" i="7" s="1"/>
  <c r="DA23" i="7"/>
  <c r="BO24" i="7"/>
  <c r="DA24" i="7" s="1"/>
  <c r="BO26" i="7"/>
  <c r="M28" i="12"/>
  <c r="DA26" i="7" l="1"/>
  <c r="DA39" i="7" s="1"/>
  <c r="D57" i="7" s="1"/>
  <c r="R61" i="7" s="1"/>
  <c r="J61" i="7" s="1"/>
  <c r="Q63" i="7"/>
  <c r="I63" i="7" s="1"/>
  <c r="Q61" i="7"/>
  <c r="I61" i="7" s="1"/>
  <c r="Q60" i="7"/>
  <c r="I60" i="7" s="1"/>
  <c r="Q62" i="7"/>
  <c r="I62" i="7" s="1"/>
  <c r="M29" i="12"/>
  <c r="H29" i="12"/>
  <c r="I29" i="12"/>
  <c r="P28" i="12"/>
  <c r="P29" i="12"/>
  <c r="R62" i="7" l="1"/>
  <c r="J62" i="7" s="1"/>
  <c r="R60" i="7"/>
  <c r="J60" i="7" s="1"/>
  <c r="R63" i="7"/>
  <c r="J63" i="7" s="1"/>
  <c r="R64" i="7"/>
  <c r="J64" i="7" s="1"/>
  <c r="I28" i="12"/>
  <c r="Q28" i="12"/>
  <c r="Q29" i="12"/>
  <c r="P31" i="12" l="1"/>
  <c r="H31" i="12"/>
  <c r="R28" i="12"/>
  <c r="R29" i="12"/>
  <c r="BR24" i="7" l="1"/>
  <c r="BR26" i="7"/>
  <c r="BB26" i="7" s="1"/>
  <c r="V23" i="7"/>
  <c r="BP24" i="7"/>
  <c r="BP26" i="7"/>
  <c r="U23" i="7"/>
  <c r="M31" i="12"/>
  <c r="S29" i="12"/>
  <c r="S28" i="12"/>
  <c r="I34" i="12"/>
  <c r="I35" i="12"/>
  <c r="I33" i="12"/>
  <c r="I31" i="12"/>
  <c r="DG23" i="7" l="1"/>
  <c r="DF23" i="7"/>
  <c r="DD23" i="7"/>
  <c r="AE24" i="7"/>
  <c r="AE26" i="7"/>
  <c r="U24" i="7"/>
  <c r="V24" i="7"/>
  <c r="U26" i="7"/>
  <c r="V26" i="7"/>
  <c r="AU23" i="7"/>
  <c r="AX23" i="7"/>
  <c r="BL23" i="7"/>
  <c r="AV23" i="7"/>
  <c r="AY23" i="7"/>
  <c r="V28" i="12"/>
  <c r="V29" i="12"/>
  <c r="DF26" i="7" l="1"/>
  <c r="DG26" i="7"/>
  <c r="DG24" i="7"/>
  <c r="DF24" i="7"/>
  <c r="AY26" i="7"/>
  <c r="AV26" i="7"/>
  <c r="BL24" i="7"/>
  <c r="AV24" i="7"/>
  <c r="AY24" i="7"/>
  <c r="AX26" i="7"/>
  <c r="AU26" i="7"/>
  <c r="BL26" i="7"/>
  <c r="DD26" i="7"/>
  <c r="AU24" i="7"/>
  <c r="AX24" i="7"/>
  <c r="DD24" i="7"/>
  <c r="CN23" i="7"/>
  <c r="W29" i="12"/>
  <c r="W28" i="12"/>
  <c r="X29" i="12"/>
  <c r="X28" i="12"/>
  <c r="X31" i="12" s="1"/>
  <c r="Q31" i="12"/>
  <c r="DP24" i="7" l="1"/>
  <c r="DG39" i="7"/>
  <c r="DQ26" i="7"/>
  <c r="DQ24" i="7"/>
  <c r="DP26" i="7"/>
  <c r="DF39" i="7"/>
  <c r="DD39" i="7"/>
  <c r="I169" i="7" s="1"/>
  <c r="BL46" i="7"/>
  <c r="S144" i="7" s="1"/>
  <c r="AH144" i="7" s="1"/>
  <c r="CN26" i="7"/>
  <c r="CN24" i="7"/>
  <c r="BS24" i="7"/>
  <c r="BB24" i="7" s="1"/>
  <c r="BS26" i="7"/>
  <c r="J29" i="12"/>
  <c r="J28" i="12"/>
  <c r="R31" i="12"/>
  <c r="K28" i="12"/>
  <c r="K29" i="12"/>
  <c r="Y28" i="12"/>
  <c r="Y29" i="12"/>
  <c r="F147" i="7" l="1"/>
  <c r="CN40" i="7"/>
  <c r="CN41" i="7" s="1"/>
  <c r="AE52" i="7" s="1"/>
  <c r="BB23" i="7"/>
  <c r="DQ23" i="7" s="1"/>
  <c r="BT26" i="7"/>
  <c r="BT24" i="7"/>
  <c r="S35" i="12"/>
  <c r="S33" i="12"/>
  <c r="S31" i="12"/>
  <c r="S34" i="12"/>
  <c r="L29" i="12"/>
  <c r="L28" i="12"/>
  <c r="DP23" i="7" l="1"/>
  <c r="DP42" i="7" s="1"/>
  <c r="AA54" i="7"/>
  <c r="AM24" i="7" a="1"/>
  <c r="AM24" i="7" s="1"/>
  <c r="AM26" i="7" a="1"/>
  <c r="AM26" i="7" s="1"/>
  <c r="V31" i="12"/>
  <c r="BA23" i="7" l="1"/>
  <c r="P23" i="7" s="1"/>
  <c r="BQ24" i="7"/>
  <c r="BA24" i="7" s="1"/>
  <c r="BQ26" i="7"/>
  <c r="BA26" i="7" s="1"/>
  <c r="X33" i="12"/>
  <c r="X35" i="12"/>
  <c r="X34" i="12"/>
  <c r="R23" i="7" l="1"/>
  <c r="I23" i="7" s="1"/>
  <c r="AC23" i="7"/>
  <c r="AI23" i="7"/>
  <c r="AK23" i="7"/>
  <c r="Z23" i="7"/>
  <c r="P26" i="7"/>
  <c r="R26" i="7"/>
  <c r="AH23" i="7"/>
  <c r="AL23" i="7"/>
  <c r="AD23" i="7"/>
  <c r="Y23" i="7"/>
  <c r="CO23" i="7"/>
  <c r="P24" i="7"/>
  <c r="R24" i="7"/>
  <c r="BU24" i="7"/>
  <c r="BU26" i="7"/>
  <c r="X104" i="12"/>
  <c r="BU31" i="7" s="1"/>
  <c r="AK26" i="7"/>
  <c r="Y26" i="7"/>
  <c r="AI26" i="7"/>
  <c r="CO26" i="7"/>
  <c r="AC26" i="7"/>
  <c r="Z26" i="7"/>
  <c r="AD26" i="7"/>
  <c r="AL26" i="7"/>
  <c r="AH26" i="7"/>
  <c r="Z24" i="7"/>
  <c r="AD24" i="7"/>
  <c r="AI24" i="7"/>
  <c r="AK24" i="7"/>
  <c r="CO24" i="7"/>
  <c r="AH24" i="7"/>
  <c r="AL24" i="7"/>
  <c r="AC24" i="7"/>
  <c r="Y24" i="7"/>
  <c r="W23" i="7"/>
  <c r="CV23" i="7"/>
  <c r="AA23" i="7"/>
  <c r="K31" i="12"/>
  <c r="J31" i="12"/>
  <c r="Y35" i="12"/>
  <c r="Y34" i="12"/>
  <c r="Y33" i="12"/>
  <c r="Y31" i="12"/>
  <c r="Y46" i="7" l="1"/>
  <c r="CV31" i="7"/>
  <c r="AA31" i="7"/>
  <c r="W31" i="7"/>
  <c r="I26" i="7"/>
  <c r="R47" i="7"/>
  <c r="AL46" i="7"/>
  <c r="Z46" i="7"/>
  <c r="AD46" i="7"/>
  <c r="I24" i="7"/>
  <c r="P47" i="7"/>
  <c r="AI46" i="7"/>
  <c r="AH46" i="7"/>
  <c r="AC46" i="7"/>
  <c r="CO40" i="7"/>
  <c r="CO41" i="7" s="1"/>
  <c r="AF52" i="7" s="1"/>
  <c r="AK46" i="7"/>
  <c r="BV24" i="7"/>
  <c r="BV26" i="7"/>
  <c r="Y104" i="12"/>
  <c r="BV31" i="7" s="1"/>
  <c r="BX24" i="7"/>
  <c r="BX26" i="7"/>
  <c r="DL26" i="7" s="1"/>
  <c r="BY24" i="7"/>
  <c r="BY26" i="7"/>
  <c r="W26" i="7"/>
  <c r="X26" i="7" s="1"/>
  <c r="AA26" i="7"/>
  <c r="AB26" i="7" s="1"/>
  <c r="CV26" i="7"/>
  <c r="CV24" i="7"/>
  <c r="W24" i="7"/>
  <c r="X24" i="7" s="1"/>
  <c r="AA24" i="7"/>
  <c r="AB24" i="7" s="1"/>
  <c r="AG23" i="7"/>
  <c r="CY23" i="7"/>
  <c r="AB23" i="7"/>
  <c r="X23" i="7"/>
  <c r="AJ23" i="7"/>
  <c r="L31" i="12"/>
  <c r="CY31" i="7" l="1"/>
  <c r="AG31" i="7"/>
  <c r="AJ31" i="7"/>
  <c r="M46" i="7"/>
  <c r="Y52" i="7" s="1"/>
  <c r="X57" i="7"/>
  <c r="W57" i="7"/>
  <c r="W58" i="7"/>
  <c r="X59" i="7"/>
  <c r="X58" i="7"/>
  <c r="W59" i="7"/>
  <c r="W56" i="7"/>
  <c r="CV40" i="7"/>
  <c r="DE23" i="7"/>
  <c r="W46" i="7"/>
  <c r="X46" i="7"/>
  <c r="DM23" i="7"/>
  <c r="BZ24" i="7"/>
  <c r="BZ26" i="7"/>
  <c r="DM26" i="7"/>
  <c r="DM24" i="7"/>
  <c r="DL24" i="7"/>
  <c r="X56" i="7"/>
  <c r="AA46" i="7"/>
  <c r="CY26" i="7"/>
  <c r="AJ26" i="7"/>
  <c r="AG26" i="7"/>
  <c r="AB46" i="7"/>
  <c r="CY24" i="7"/>
  <c r="AG24" i="7"/>
  <c r="AJ24" i="7"/>
  <c r="DL23" i="7"/>
  <c r="B71" i="7" l="1"/>
  <c r="M88" i="7" s="1"/>
  <c r="B89" i="7" s="1"/>
  <c r="E50" i="7"/>
  <c r="R48" i="7"/>
  <c r="AA52" i="7"/>
  <c r="I47" i="7"/>
  <c r="AD52" i="7"/>
  <c r="Z52" i="7"/>
  <c r="C50" i="7"/>
  <c r="P48" i="7"/>
  <c r="W52" i="7"/>
  <c r="AC52" i="7"/>
  <c r="F50" i="7" s="1"/>
  <c r="DE31" i="7"/>
  <c r="Z57" i="7"/>
  <c r="Z58" i="7"/>
  <c r="Z59" i="7"/>
  <c r="Z56" i="7"/>
  <c r="DE24" i="7"/>
  <c r="AJ144" i="7"/>
  <c r="AK144" i="7" s="1"/>
  <c r="AL144" i="7" s="1"/>
  <c r="AM144" i="7" s="1"/>
  <c r="AJ46" i="7"/>
  <c r="T144" i="7"/>
  <c r="U144" i="7" s="1"/>
  <c r="X144" i="7" s="1"/>
  <c r="DE26" i="7"/>
  <c r="AG46" i="7"/>
  <c r="DL42" i="7"/>
  <c r="CY39" i="7"/>
  <c r="G57" i="7" s="1"/>
  <c r="DM42" i="7"/>
  <c r="B27" i="39" l="1"/>
  <c r="E27" i="39" s="1"/>
  <c r="M148" i="7"/>
  <c r="A148" i="7" s="1"/>
  <c r="C71" i="7"/>
  <c r="B90" i="7" s="1"/>
  <c r="F71" i="7"/>
  <c r="B93" i="7" s="1"/>
  <c r="G179" i="7" s="1"/>
  <c r="R179" i="7" s="1"/>
  <c r="E71" i="7"/>
  <c r="B92" i="7" s="1"/>
  <c r="N49" i="7"/>
  <c r="G50" i="7"/>
  <c r="D50" i="7"/>
  <c r="AA59" i="7"/>
  <c r="DE39" i="7"/>
  <c r="I170" i="7" s="1"/>
  <c r="AA58" i="7"/>
  <c r="AA56" i="7"/>
  <c r="AA57" i="7"/>
  <c r="D55" i="7"/>
  <c r="P60" i="7" s="1"/>
  <c r="G60" i="7" s="1"/>
  <c r="B52" i="14"/>
  <c r="AN144" i="7"/>
  <c r="AP144" i="7"/>
  <c r="P88" i="7"/>
  <c r="Y64" i="14" l="1"/>
  <c r="V64" i="14"/>
  <c r="W64" i="14"/>
  <c r="U64" i="14"/>
  <c r="CG29" i="7" s="1"/>
  <c r="D27" i="39"/>
  <c r="H27" i="39"/>
  <c r="G27" i="39"/>
  <c r="I27" i="39"/>
  <c r="J27" i="39"/>
  <c r="F27" i="39"/>
  <c r="G71" i="7"/>
  <c r="B94" i="7" s="1"/>
  <c r="H179" i="7" s="1"/>
  <c r="S179" i="7" s="1"/>
  <c r="D71" i="7"/>
  <c r="B91" i="7" s="1"/>
  <c r="F179" i="7" s="1"/>
  <c r="I179" i="7" s="1"/>
  <c r="Y54" i="7" a="1"/>
  <c r="Y54" i="7" s="1"/>
  <c r="C27" i="39" s="1"/>
  <c r="P63" i="7"/>
  <c r="G63" i="7" s="1"/>
  <c r="P61" i="7"/>
  <c r="G61" i="7" s="1"/>
  <c r="V52" i="14"/>
  <c r="P62" i="7"/>
  <c r="G62" i="7" s="1"/>
  <c r="P64" i="7"/>
  <c r="G64" i="7" s="1"/>
  <c r="CB28" i="7"/>
  <c r="CA36" i="7"/>
  <c r="DN36" i="7" s="1"/>
  <c r="CC26" i="7"/>
  <c r="CB23" i="7"/>
  <c r="CA38" i="7"/>
  <c r="DO38" i="7" s="1"/>
  <c r="W52" i="14"/>
  <c r="U52" i="14"/>
  <c r="X61" i="14"/>
  <c r="CI32" i="7"/>
  <c r="CC38" i="7"/>
  <c r="CB37" i="7"/>
  <c r="CA32" i="7"/>
  <c r="DO32" i="7" s="1"/>
  <c r="CA23" i="7"/>
  <c r="CC37" i="7"/>
  <c r="CB25" i="7"/>
  <c r="CC36" i="7"/>
  <c r="CB24" i="7"/>
  <c r="CA31" i="7"/>
  <c r="CB31" i="7"/>
  <c r="CC31" i="7"/>
  <c r="CA33" i="7"/>
  <c r="DO33" i="7" s="1"/>
  <c r="CA28" i="7"/>
  <c r="CB35" i="7"/>
  <c r="CC33" i="7"/>
  <c r="CA27" i="7"/>
  <c r="CC27" i="7"/>
  <c r="CB33" i="7"/>
  <c r="CC25" i="7"/>
  <c r="CA37" i="7"/>
  <c r="DO37" i="7" s="1"/>
  <c r="CB27" i="7"/>
  <c r="CC32" i="7"/>
  <c r="CA34" i="7"/>
  <c r="DN34" i="7" s="1"/>
  <c r="CB38" i="7"/>
  <c r="CC28" i="7"/>
  <c r="CC34" i="7"/>
  <c r="CC30" i="7"/>
  <c r="CA24" i="7"/>
  <c r="CB29" i="7"/>
  <c r="CA29" i="7"/>
  <c r="DO29" i="7" s="1"/>
  <c r="S29" i="7" s="1"/>
  <c r="T29" i="7" s="1"/>
  <c r="CC23" i="7"/>
  <c r="CA26" i="7"/>
  <c r="CA30" i="7"/>
  <c r="CA25" i="7"/>
  <c r="DN25" i="7" s="1"/>
  <c r="Q25" i="7" s="1"/>
  <c r="CB34" i="7"/>
  <c r="CB30" i="7"/>
  <c r="CC35" i="7"/>
  <c r="CA35" i="7"/>
  <c r="DN35" i="7" s="1"/>
  <c r="CB26" i="7"/>
  <c r="CC29" i="7"/>
  <c r="CC24" i="7"/>
  <c r="CB32" i="7"/>
  <c r="CB36" i="7"/>
  <c r="J89" i="7"/>
  <c r="I101" i="7" s="1"/>
  <c r="Q88" i="7"/>
  <c r="J101" i="7" s="1"/>
  <c r="AQ144" i="7"/>
  <c r="M143" i="7" s="1"/>
  <c r="DN26" i="7" l="1"/>
  <c r="Q26" i="7" s="1"/>
  <c r="DN30" i="7"/>
  <c r="Q30" i="7" s="1"/>
  <c r="DO28" i="7"/>
  <c r="S28" i="7" s="1"/>
  <c r="T28" i="7" s="1"/>
  <c r="W54" i="7"/>
  <c r="H50" i="7" s="1"/>
  <c r="H71" i="7" s="1"/>
  <c r="T75" i="7"/>
  <c r="U75" i="7"/>
  <c r="U76" i="7"/>
  <c r="T76" i="7"/>
  <c r="T77" i="7"/>
  <c r="U77" i="7"/>
  <c r="T74" i="7"/>
  <c r="U74" i="7"/>
  <c r="DO31" i="7"/>
  <c r="S31" i="7" s="1"/>
  <c r="T31" i="7" s="1"/>
  <c r="DO30" i="7"/>
  <c r="S30" i="7" s="1"/>
  <c r="T30" i="7" s="1"/>
  <c r="CG28" i="7"/>
  <c r="AQ28" i="7" s="1"/>
  <c r="DN24" i="7"/>
  <c r="Q24" i="7" s="1"/>
  <c r="DO23" i="7"/>
  <c r="S23" i="7" s="1"/>
  <c r="T23" i="7" s="1"/>
  <c r="DO35" i="7"/>
  <c r="DN33" i="7"/>
  <c r="CG25" i="7"/>
  <c r="AQ25" i="7" s="1"/>
  <c r="CG24" i="7"/>
  <c r="AQ24" i="7" s="1"/>
  <c r="CG30" i="7"/>
  <c r="AQ30" i="7" s="1"/>
  <c r="DN29" i="7"/>
  <c r="Q29" i="7" s="1"/>
  <c r="J29" i="7" s="1"/>
  <c r="L29" i="7" s="1"/>
  <c r="CG32" i="7"/>
  <c r="AN32" i="7" s="1"/>
  <c r="CG34" i="7"/>
  <c r="AQ34" i="7" s="1"/>
  <c r="DO34" i="7"/>
  <c r="DN38" i="7"/>
  <c r="DO26" i="7"/>
  <c r="DO25" i="7"/>
  <c r="DN32" i="7"/>
  <c r="AS32" i="7"/>
  <c r="DN37" i="7"/>
  <c r="AN29" i="7"/>
  <c r="AQ29" i="7"/>
  <c r="DO24" i="7"/>
  <c r="CG38" i="7"/>
  <c r="AN38" i="7" s="1"/>
  <c r="CG31" i="7"/>
  <c r="AN31" i="7" s="1"/>
  <c r="CG36" i="7"/>
  <c r="AN36" i="7" s="1"/>
  <c r="DN28" i="7"/>
  <c r="Q28" i="7" s="1"/>
  <c r="J28" i="7" s="1"/>
  <c r="L28" i="7" s="1"/>
  <c r="CG26" i="7"/>
  <c r="CG33" i="7"/>
  <c r="CG35" i="7"/>
  <c r="CG37" i="7"/>
  <c r="CG23" i="7"/>
  <c r="AN23" i="7" s="1"/>
  <c r="DN31" i="7"/>
  <c r="Q31" i="7" s="1"/>
  <c r="DN27" i="7"/>
  <c r="Q27" i="7" s="1"/>
  <c r="DO27" i="7"/>
  <c r="S27" i="7" s="1"/>
  <c r="T27" i="7" s="1"/>
  <c r="AP32" i="7"/>
  <c r="DO36" i="7"/>
  <c r="CH28" i="7"/>
  <c r="AR28" i="7" s="1"/>
  <c r="CH37" i="7"/>
  <c r="CH27" i="7"/>
  <c r="AO27" i="7" s="1"/>
  <c r="CH36" i="7"/>
  <c r="AR36" i="7" s="1"/>
  <c r="CH25" i="7"/>
  <c r="CH30" i="7"/>
  <c r="CH23" i="7"/>
  <c r="CH32" i="7"/>
  <c r="CH29" i="7"/>
  <c r="CH35" i="7"/>
  <c r="CH24" i="7"/>
  <c r="AR24" i="7" s="1"/>
  <c r="CH33" i="7"/>
  <c r="CH34" i="7"/>
  <c r="AO34" i="7" s="1"/>
  <c r="CH38" i="7"/>
  <c r="CH26" i="7"/>
  <c r="CH31" i="7"/>
  <c r="AR31" i="7" s="1"/>
  <c r="CI26" i="7"/>
  <c r="CI25" i="7"/>
  <c r="CI33" i="7"/>
  <c r="CI24" i="7"/>
  <c r="AS24" i="7" s="1"/>
  <c r="CI36" i="7"/>
  <c r="AS36" i="7" s="1"/>
  <c r="CI23" i="7"/>
  <c r="CI27" i="7"/>
  <c r="CI31" i="7"/>
  <c r="AS31" i="7" s="1"/>
  <c r="CI37" i="7"/>
  <c r="CI38" i="7"/>
  <c r="CI30" i="7"/>
  <c r="CI35" i="7"/>
  <c r="CI29" i="7"/>
  <c r="CI34" i="7"/>
  <c r="AP34" i="7" s="1"/>
  <c r="CI28" i="7"/>
  <c r="CG27" i="7"/>
  <c r="AN27" i="7" s="1"/>
  <c r="DN23" i="7"/>
  <c r="Q23" i="7" s="1"/>
  <c r="F89" i="7"/>
  <c r="G96" i="7" s="1"/>
  <c r="N88" i="7"/>
  <c r="S88" i="7"/>
  <c r="CM88" i="7"/>
  <c r="CL88" i="7"/>
  <c r="T88" i="7"/>
  <c r="N29" i="7" l="1"/>
  <c r="CL29" i="7" s="1"/>
  <c r="N28" i="7"/>
  <c r="J30" i="7"/>
  <c r="L30" i="7" s="1"/>
  <c r="X75" i="7"/>
  <c r="J92" i="7" s="1"/>
  <c r="X77" i="7"/>
  <c r="J94" i="7" s="1"/>
  <c r="X76" i="7"/>
  <c r="J93" i="7" s="1"/>
  <c r="S75" i="7"/>
  <c r="R77" i="7"/>
  <c r="R75" i="7"/>
  <c r="X74" i="7"/>
  <c r="J91" i="7" s="1"/>
  <c r="B30" i="39" s="1"/>
  <c r="S76" i="7"/>
  <c r="S77" i="7"/>
  <c r="R74" i="7"/>
  <c r="R76" i="7"/>
  <c r="S74" i="7"/>
  <c r="J31" i="7"/>
  <c r="L31" i="7" s="1"/>
  <c r="AN28" i="7"/>
  <c r="CW28" i="7" s="1"/>
  <c r="J27" i="7"/>
  <c r="L27" i="7" s="1"/>
  <c r="S25" i="7"/>
  <c r="T25" i="7" s="1"/>
  <c r="AN24" i="7"/>
  <c r="CW24" i="7" s="1"/>
  <c r="S24" i="7"/>
  <c r="T24" i="7" s="1"/>
  <c r="AN30" i="7"/>
  <c r="CW30" i="7" s="1"/>
  <c r="AQ36" i="7"/>
  <c r="CW36" i="7" s="1"/>
  <c r="S26" i="7"/>
  <c r="AQ32" i="7"/>
  <c r="CW32" i="7" s="1"/>
  <c r="AN25" i="7"/>
  <c r="AN34" i="7"/>
  <c r="CW34" i="7" s="1"/>
  <c r="CW29" i="7"/>
  <c r="AR34" i="7"/>
  <c r="AO36" i="7"/>
  <c r="AO24" i="7"/>
  <c r="AQ31" i="7"/>
  <c r="CW31" i="7" s="1"/>
  <c r="AR27" i="7"/>
  <c r="AQ38" i="7"/>
  <c r="CW38" i="7" s="1"/>
  <c r="AS37" i="7"/>
  <c r="AP37" i="7"/>
  <c r="AP26" i="7"/>
  <c r="AS26" i="7"/>
  <c r="AO29" i="7"/>
  <c r="AR29" i="7"/>
  <c r="AP38" i="7"/>
  <c r="AS38" i="7"/>
  <c r="AO35" i="7"/>
  <c r="AR35" i="7"/>
  <c r="AO37" i="7"/>
  <c r="AR37" i="7"/>
  <c r="AR32" i="7"/>
  <c r="AO32" i="7"/>
  <c r="AQ23" i="7"/>
  <c r="AP31" i="7"/>
  <c r="AS25" i="7"/>
  <c r="AP25" i="7"/>
  <c r="AS28" i="7"/>
  <c r="AP28" i="7"/>
  <c r="AP27" i="7"/>
  <c r="AS27" i="7"/>
  <c r="AO26" i="7"/>
  <c r="AR26" i="7"/>
  <c r="AO23" i="7"/>
  <c r="AR23" i="7"/>
  <c r="AQ27" i="7"/>
  <c r="CW27" i="7" s="1"/>
  <c r="AO31" i="7"/>
  <c r="AN37" i="7"/>
  <c r="AQ37" i="7"/>
  <c r="AP23" i="7"/>
  <c r="AS23" i="7"/>
  <c r="AR38" i="7"/>
  <c r="AO38" i="7"/>
  <c r="AR30" i="7"/>
  <c r="AO30" i="7"/>
  <c r="AN35" i="7"/>
  <c r="AQ35" i="7"/>
  <c r="AP29" i="7"/>
  <c r="AS29" i="7"/>
  <c r="AR25" i="7"/>
  <c r="AO25" i="7"/>
  <c r="AS34" i="7"/>
  <c r="AN33" i="7"/>
  <c r="AQ33" i="7"/>
  <c r="AP36" i="7"/>
  <c r="AP35" i="7"/>
  <c r="AS35" i="7"/>
  <c r="AO33" i="7"/>
  <c r="AR33" i="7"/>
  <c r="AO28" i="7"/>
  <c r="AN26" i="7"/>
  <c r="AQ26" i="7"/>
  <c r="AP24" i="7"/>
  <c r="AP30" i="7"/>
  <c r="AS30" i="7"/>
  <c r="AS33" i="7"/>
  <c r="AP33" i="7"/>
  <c r="CM28" i="7"/>
  <c r="CL28" i="7"/>
  <c r="N36" i="7"/>
  <c r="N37" i="7"/>
  <c r="J23" i="7"/>
  <c r="L23" i="7" s="1"/>
  <c r="M95" i="7"/>
  <c r="M97" i="7" s="1"/>
  <c r="B33" i="39" l="1"/>
  <c r="H30" i="39"/>
  <c r="G30" i="39"/>
  <c r="F30" i="39"/>
  <c r="E30" i="39"/>
  <c r="C30" i="39"/>
  <c r="J30" i="39"/>
  <c r="D30" i="39"/>
  <c r="I30" i="39"/>
  <c r="CM29" i="7"/>
  <c r="N30" i="7"/>
  <c r="N27" i="7"/>
  <c r="CM27" i="7" s="1"/>
  <c r="N31" i="7"/>
  <c r="CM31" i="7" s="1"/>
  <c r="W77" i="7"/>
  <c r="F94" i="7" s="1"/>
  <c r="W75" i="7"/>
  <c r="F92" i="7" s="1"/>
  <c r="W76" i="7"/>
  <c r="F93" i="7" s="1"/>
  <c r="W74" i="7"/>
  <c r="F91" i="7" s="1"/>
  <c r="J25" i="7"/>
  <c r="L25" i="7" s="1"/>
  <c r="T26" i="7"/>
  <c r="T47" i="7" s="1"/>
  <c r="J26" i="7"/>
  <c r="L26" i="7" s="1"/>
  <c r="J24" i="7"/>
  <c r="L24" i="7" s="1"/>
  <c r="AN46" i="7"/>
  <c r="CW25" i="7"/>
  <c r="AQ46" i="7"/>
  <c r="CW23" i="7"/>
  <c r="AP46" i="7"/>
  <c r="CW35" i="7"/>
  <c r="CW37" i="7"/>
  <c r="CW26" i="7"/>
  <c r="CW33" i="7"/>
  <c r="AR46" i="7"/>
  <c r="AO46" i="7"/>
  <c r="AS46" i="7"/>
  <c r="N23" i="7"/>
  <c r="CM23" i="7" s="1"/>
  <c r="CL36" i="7"/>
  <c r="CM36" i="7"/>
  <c r="CL37" i="7"/>
  <c r="CM37" i="7"/>
  <c r="S95" i="7"/>
  <c r="T95" i="7"/>
  <c r="M138" i="7" s="1"/>
  <c r="I138" i="7" s="1"/>
  <c r="C97" i="7"/>
  <c r="M136" i="7" s="1"/>
  <c r="I137" i="7" s="1"/>
  <c r="C98" i="7"/>
  <c r="B29" i="39" l="1"/>
  <c r="B32" i="39" s="1"/>
  <c r="B31" i="39"/>
  <c r="M101" i="7"/>
  <c r="C102" i="7" s="1"/>
  <c r="CL27" i="7"/>
  <c r="CL31" i="7"/>
  <c r="N26" i="7"/>
  <c r="CL26" i="7" s="1"/>
  <c r="N25" i="7"/>
  <c r="CM25" i="7" s="1"/>
  <c r="N24" i="7"/>
  <c r="E48" i="7"/>
  <c r="CL30" i="7"/>
  <c r="CM30" i="7"/>
  <c r="M100" i="7"/>
  <c r="C101" i="7" s="1"/>
  <c r="M99" i="7"/>
  <c r="C100" i="7" s="1"/>
  <c r="M98" i="7"/>
  <c r="C99" i="7" s="1"/>
  <c r="N46" i="7"/>
  <c r="CW40" i="7"/>
  <c r="CL23" i="7"/>
  <c r="M144" i="7"/>
  <c r="I144" i="7" s="1"/>
  <c r="M142" i="7"/>
  <c r="I143" i="7" s="1"/>
  <c r="I140" i="7"/>
  <c r="CM26" i="7" l="1"/>
  <c r="H29" i="39"/>
  <c r="I29" i="39"/>
  <c r="C29" i="39"/>
  <c r="J29" i="39"/>
  <c r="D29" i="39"/>
  <c r="E29" i="39"/>
  <c r="F29" i="39"/>
  <c r="G29" i="39"/>
  <c r="B34" i="39"/>
  <c r="D31" i="39"/>
  <c r="C31" i="39"/>
  <c r="J31" i="39"/>
  <c r="I31" i="39"/>
  <c r="H31" i="39"/>
  <c r="G31" i="39"/>
  <c r="F31" i="39"/>
  <c r="E31" i="39"/>
  <c r="N47" i="7"/>
  <c r="N96" i="7" s="1"/>
  <c r="J102" i="7" s="1"/>
  <c r="CL24" i="7"/>
  <c r="CM24" i="7"/>
  <c r="CL25" i="7"/>
  <c r="CL97" i="7" s="1"/>
  <c r="CL98" i="7" s="1"/>
  <c r="N137" i="7" s="1"/>
  <c r="N136" i="7" s="1"/>
  <c r="J137" i="7" s="1"/>
  <c r="AG52" i="7"/>
  <c r="CM97" i="7"/>
  <c r="CM98" i="7" s="1"/>
  <c r="N143" i="7" s="1"/>
  <c r="N142" i="7" s="1"/>
  <c r="J143" i="7" s="1"/>
  <c r="AL52" i="7"/>
  <c r="AJ54" i="7"/>
  <c r="AG54" i="7"/>
  <c r="AL54" i="7"/>
  <c r="E51" i="7"/>
  <c r="F28" i="39" s="1"/>
  <c r="N95" i="7"/>
  <c r="I102" i="7" s="1"/>
  <c r="AJ52" i="7"/>
  <c r="J46" i="7"/>
  <c r="AK54" i="7"/>
  <c r="AK52" i="7"/>
  <c r="AH54" i="7"/>
  <c r="AI52" i="7"/>
  <c r="AI54" i="7"/>
  <c r="AH52" i="7"/>
  <c r="I146" i="7"/>
  <c r="J47" i="7"/>
  <c r="J100" i="7" s="1"/>
  <c r="B28" i="39" l="1"/>
  <c r="C25" i="39" s="1"/>
  <c r="D51" i="7"/>
  <c r="E28" i="39" s="1"/>
  <c r="M178" i="7"/>
  <c r="I178" i="7" s="1"/>
  <c r="I199" i="7" s="1"/>
  <c r="F199" i="7" s="1"/>
  <c r="G51" i="7"/>
  <c r="H28" i="39" s="1"/>
  <c r="F51" i="7"/>
  <c r="G28" i="39" s="1"/>
  <c r="I100" i="7"/>
  <c r="AM52" i="7"/>
  <c r="AM54" i="7" s="1"/>
  <c r="C51" i="7" s="1"/>
  <c r="D28" i="39" s="1"/>
  <c r="N144" i="7"/>
  <c r="J144" i="7" s="1"/>
  <c r="N138" i="7"/>
  <c r="J138" i="7" s="1"/>
  <c r="I28" i="39" l="1"/>
  <c r="J28" i="39"/>
  <c r="G177" i="7"/>
  <c r="R178" i="7" s="1"/>
  <c r="R199" i="7" s="1"/>
  <c r="H177" i="7"/>
  <c r="S178" i="7" s="1"/>
  <c r="S199" i="7" s="1"/>
  <c r="F177" i="7"/>
  <c r="Q178" i="7" s="1"/>
  <c r="Q199" i="7" s="1"/>
  <c r="Q205" i="7"/>
  <c r="A212" i="7"/>
  <c r="Q206" i="7"/>
  <c r="J146" i="7"/>
  <c r="J140" i="7"/>
  <c r="Q207" i="7" l="1"/>
  <c r="Q208" i="7" l="1"/>
  <c r="I205" i="7" s="1"/>
  <c r="G215" i="7" l="1"/>
  <c r="J215" i="7"/>
  <c r="I215" i="7"/>
  <c r="G208" i="7"/>
  <c r="G205" i="7"/>
  <c r="I207" i="7"/>
  <c r="G20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Sperger, Christian (LfL)</author>
    <author>msbo</author>
    <author>Offenberger, Konrad (LfL)</author>
    <author>Schmücker, Rebekka (LfL)</author>
    <author>Brandl, Maria (LfL)</author>
    <author>Hierlmeier, Michael (LfL)</author>
  </authors>
  <commentList>
    <comment ref="A5" authorId="0" shapeId="0" xr:uid="{00000000-0006-0000-0000-000001000000}">
      <text>
        <r>
          <rPr>
            <sz val="9"/>
            <color indexed="81"/>
            <rFont val="Tahoma"/>
            <family val="2"/>
          </rPr>
          <t>Pflichtfeld:
Betriebsnummer ist</t>
        </r>
        <r>
          <rPr>
            <b/>
            <sz val="9"/>
            <color indexed="81"/>
            <rFont val="Tahoma"/>
            <family val="2"/>
          </rPr>
          <t xml:space="preserve"> immer</t>
        </r>
        <r>
          <rPr>
            <sz val="9"/>
            <color indexed="81"/>
            <rFont val="Tahoma"/>
            <family val="2"/>
          </rPr>
          <t xml:space="preserve"> 10stellig anzugeben
Bsp.: 1781001010</t>
        </r>
      </text>
    </comment>
    <comment ref="F5" authorId="1" shapeId="0" xr:uid="{BB9774FF-EB3D-4923-BD17-881471CF34E3}">
      <text>
        <r>
          <rPr>
            <sz val="10"/>
            <color indexed="81"/>
            <rFont val="Tahoma"/>
            <family val="2"/>
          </rPr>
          <t xml:space="preserve">Landwirtschaftlich genutzte Fläche.
</t>
        </r>
      </text>
    </comment>
    <comment ref="G7" authorId="2" shapeId="0" xr:uid="{73E3DDF9-BD44-4D68-BEC0-FBB854C969EC}">
      <text>
        <r>
          <rPr>
            <sz val="9"/>
            <color indexed="81"/>
            <rFont val="Tahoma"/>
            <family val="2"/>
          </rPr>
          <t>z.B. Wasserschutzgebiet Zone II, Kulap,Vertragsnaturschutzprogramm.
Stilllegungsflächen sind nicht hier, sondern in G8 anzugeben.</t>
        </r>
      </text>
    </comment>
    <comment ref="G8" authorId="1" shapeId="0" xr:uid="{00000000-0006-0000-0000-000003000000}">
      <text>
        <r>
          <rPr>
            <sz val="10"/>
            <color indexed="81"/>
            <rFont val="Tahoma"/>
            <family val="2"/>
          </rPr>
          <t>Hier sind nur Flächen anzugeben, die nicht gedüngt und auch nicht genutzt werden.</t>
        </r>
      </text>
    </comment>
    <comment ref="G10" authorId="2" shapeId="0" xr:uid="{A903D82E-20E1-4486-AB5C-6B94E6CCD920}">
      <text>
        <r>
          <rPr>
            <sz val="9"/>
            <color indexed="81"/>
            <rFont val="Tahoma"/>
            <family val="2"/>
          </rPr>
          <t>z.B. Wasserschutzgebiet Zone II, Kulap,Vertragsnaturschutzprogramm.
Stilllegungsflächen sind nicht hier, sondern in G11 anzugeben.</t>
        </r>
      </text>
    </comment>
    <comment ref="G11" authorId="1" shapeId="0" xr:uid="{00000000-0006-0000-0000-000005000000}">
      <text>
        <r>
          <rPr>
            <sz val="10"/>
            <color indexed="81"/>
            <rFont val="Tahoma"/>
            <family val="2"/>
          </rPr>
          <t>Hier sind nur Flächen anzugeben, die nicht gedüngt und auch nicht genutzt werden.</t>
        </r>
      </text>
    </comment>
    <comment ref="B12" authorId="1" shapeId="0" xr:uid="{00000000-0006-0000-0000-000007000000}">
      <text>
        <r>
          <rPr>
            <sz val="10"/>
            <color indexed="81"/>
            <rFont val="Tahoma"/>
            <family val="2"/>
          </rPr>
          <t>Milchleistung = Abgelieferte Milchmenge / Anzahl Kühe</t>
        </r>
      </text>
    </comment>
    <comment ref="F12" authorId="2" shapeId="0" xr:uid="{1A6648DB-4BA3-4506-800A-0A80B60764A7}">
      <text>
        <r>
          <rPr>
            <sz val="10"/>
            <color indexed="81"/>
            <rFont val="Tahoma"/>
            <family val="2"/>
          </rPr>
          <t>Nur</t>
        </r>
        <r>
          <rPr>
            <b/>
            <sz val="10"/>
            <color indexed="81"/>
            <rFont val="Tahoma"/>
            <family val="2"/>
          </rPr>
          <t xml:space="preserve"> relevant für</t>
        </r>
        <r>
          <rPr>
            <sz val="10"/>
            <color indexed="81"/>
            <rFont val="Tahoma"/>
            <family val="2"/>
          </rPr>
          <t xml:space="preserve"> Betriebe, die mehr als 6 Monate Lagerraum für flüssige Wirtschaftsdünger belegen müssen (Betriebe über 3 GV/ha).
Sie können durch "zusätzliche Ausbringfläche" den notwendigen Lagerraum verringern. 
Als </t>
        </r>
        <r>
          <rPr>
            <b/>
            <sz val="10"/>
            <color indexed="81"/>
            <rFont val="Tahoma"/>
            <family val="2"/>
          </rPr>
          <t>zusätzliche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
</t>
        </r>
      </text>
    </comment>
    <comment ref="B13" authorId="2" shapeId="0" xr:uid="{00000000-0006-0000-0000-000009000000}">
      <text>
        <r>
          <rPr>
            <sz val="9"/>
            <color indexed="81"/>
            <rFont val="Tahoma"/>
            <family val="2"/>
          </rPr>
          <t>Angaben nur notwendig wenn die tatsächlichen langjährigen (10 Jahre) Niederschläge im Betrieb vom vorgeschlagenen langjährigen Mittel des Landkreises (C13) abweicht.
Eine Liste der Gemarkungsniederschläge finden Sie im entsprechenden Tabellenblatt.</t>
        </r>
      </text>
    </comment>
    <comment ref="H13" authorId="2" shapeId="0" xr:uid="{A9F07B30-6491-4EAD-AE66-019C2FB7A497}">
      <text>
        <r>
          <rPr>
            <sz val="9"/>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A19" authorId="2" shapeId="0" xr:uid="{00000000-0006-0000-0000-00000A000000}">
      <text>
        <r>
          <rPr>
            <sz val="9"/>
            <color indexed="81"/>
            <rFont val="Tahoma"/>
            <family val="2"/>
          </rPr>
          <t xml:space="preserve">Bei Damwild und Rotwild muss bei Weide 100 % angegeben werden. </t>
        </r>
      </text>
    </comment>
    <comment ref="D19" authorId="2" shapeId="0" xr:uid="{00000000-0006-0000-0000-00000B000000}">
      <text>
        <r>
          <rPr>
            <sz val="9"/>
            <color indexed="81"/>
            <rFont val="Tahoma"/>
            <family val="2"/>
          </rPr>
          <t>Ø Jahresbestand = Anzahl Tiere * Haltungsdauer in Tagen / 365 Tage</t>
        </r>
      </text>
    </comment>
    <comment ref="D20" authorId="2" shapeId="0" xr:uid="{00000000-0006-0000-0000-00000C000000}">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BF20" authorId="3" shapeId="0" xr:uid="{BA2BFA8E-16D6-42E2-95FD-DE9AE72C96B3}">
      <text>
        <r>
          <rPr>
            <b/>
            <sz val="9"/>
            <color indexed="81"/>
            <rFont val="Segoe UI"/>
            <family val="2"/>
          </rPr>
          <t>1=keine Auswahl
2=Rind
3=Schwein
4= Geflügel
5=</t>
        </r>
      </text>
    </comment>
    <comment ref="BG20" authorId="4" shapeId="0" xr:uid="{4A914417-F43B-4960-8D91-01FDBBE2DC86}">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text>
    </comment>
    <comment ref="F21" authorId="2" shapeId="0" xr:uid="{00000000-0006-0000-0000-00000D000000}">
      <text>
        <r>
          <rPr>
            <sz val="9"/>
            <color indexed="81"/>
            <rFont val="Tahoma"/>
            <family val="2"/>
          </rPr>
          <t>Bei Anbindehaltung kann mit einer geringen und bei Tiefstall mit einer hohen Einstreumenge gerechnet werden. Die Einstreumenge muss bei einer Kontrolle nicht belegt werden.
Einstreumenge gering = 3-4 kg Stroh, mittel = 6-8 kg Stroh, 
hoch &gt;11 kg Stroh/GV und Tag
Werden andere Einstreumaterialien oder Gemenge eingesetzt, so können diese im Tabellenblatt "Abweichende Werte"gesamtbetrieblich pro Jahr erfasst werden.</t>
        </r>
      </text>
    </comment>
    <comment ref="G21" authorId="2" shapeId="0" xr:uid="{00000000-0006-0000-0000-00000E000000}">
      <text>
        <r>
          <rPr>
            <sz val="9"/>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H21" authorId="2" shapeId="0" xr:uid="{00000000-0006-0000-0000-00000F000000}">
      <text>
        <r>
          <rPr>
            <sz val="9"/>
            <color indexed="81"/>
            <rFont val="Tahoma"/>
            <family val="2"/>
          </rPr>
          <t>Weide zwischen 01.10. und 31.03. in %.
Beipiel: 30 % bedeutet, dass in 30 % der Stunden die Tiere auf der Weide stehen und 70 % im Stall.
(Es ist das Kalenderjahr zu berücksichtigen 01.01.22 - 31.03.22 und 01.10.22 - 31.12.22)</t>
        </r>
      </text>
    </comment>
    <comment ref="A40" authorId="2" shapeId="0" xr:uid="{00000000-0006-0000-0000-000011000000}">
      <text>
        <r>
          <rPr>
            <sz val="9"/>
            <color indexed="81"/>
            <rFont val="Tahoma"/>
            <family val="2"/>
          </rPr>
          <t>Bei offenen Gülle- und Jauchebehältern (nicht abgedeckte Lager) werden höhere Verdunstungsraten (30 %) angesetzt als bei abgedeckten Behältern. Deshalb müssen diese Flächen separat erfasst werden.</t>
        </r>
      </text>
    </comment>
    <comment ref="A41" authorId="2" shapeId="0" xr:uid="{00000000-0006-0000-0000-000012000000}">
      <text>
        <r>
          <rPr>
            <sz val="9"/>
            <color indexed="81"/>
            <rFont val="Tahoma"/>
            <family val="2"/>
          </rPr>
          <t xml:space="preserve">Verunreinigtes Niederschlagswasser von nicht nass gereingten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2" authorId="2" shapeId="0" xr:uid="{00000000-0006-0000-0000-000013000000}">
      <text>
        <r>
          <rPr>
            <sz val="9"/>
            <color indexed="81"/>
            <rFont val="Tahoma"/>
            <family val="2"/>
          </rPr>
          <t xml:space="preserve">Als sauberes Wasser sind folgende Einleitungen zu berücksichtigen:
- nass gereinigte Siloflächen
- mit Plane abgedeckte Siloflächen
- abgedeckte Gülle- und Jauchelager
- alle Stallmistlager 
Bei der Mengenberechnung wird eine  Verdunstungsrate von 15 % berücksichtigt. </t>
        </r>
      </text>
    </comment>
    <comment ref="A49" authorId="2" shapeId="0" xr:uid="{00000000-0006-0000-0000-000014000000}">
      <text>
        <r>
          <rPr>
            <sz val="9"/>
            <color indexed="81"/>
            <rFont val="Tahoma"/>
            <family val="2"/>
          </rPr>
          <t>Ändert sich der Tierbestand um weniger als 15 %, dürfen 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Bei Verwendung der berechneten Nährstoffgehalte zu den oben genannten Zwecken ist die Berechnung aufzubewahren und ggf. bei einer Kontrolle vorzulegen.</t>
        </r>
      </text>
    </comment>
    <comment ref="H49" authorId="3" shapeId="0" xr:uid="{0D94BA2B-3945-4E42-81C4-37FCF8619A99}">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t>
        </r>
      </text>
    </comment>
    <comment ref="AM54" authorId="3" shapeId="0" xr:uid="{E5144F37-F4E1-4B04-88B8-4267C955354A}">
      <text>
        <r>
          <rPr>
            <sz val="9"/>
            <color indexed="81"/>
            <rFont val="Segoe UI"/>
            <family val="2"/>
          </rPr>
          <t>TS Mist korrigiert mit abweichenden Werten</t>
        </r>
        <r>
          <rPr>
            <b/>
            <sz val="9"/>
            <color indexed="81"/>
            <rFont val="Segoe UI"/>
            <family val="2"/>
          </rPr>
          <t xml:space="preserve">
</t>
        </r>
      </text>
    </comment>
    <comment ref="A55" authorId="2" shapeId="0" xr:uid="{7CB64C8D-AB9A-45BA-90E2-7F9CFA0324D3}">
      <text>
        <r>
          <rPr>
            <sz val="9"/>
            <color indexed="81"/>
            <rFont val="Segoe UI"/>
            <family val="2"/>
          </rPr>
          <t xml:space="preserve">Es sind die nach DüV zulässigen gasförmigen Verluste berücksichtigt. </t>
        </r>
      </text>
    </comment>
    <comment ref="A58" authorId="3" shapeId="0" xr:uid="{1A88C994-BCCF-4211-A537-14B6F8B5800F}">
      <text>
        <r>
          <rPr>
            <sz val="9"/>
            <color indexed="81"/>
            <rFont val="Segoe UI"/>
            <family val="2"/>
          </rPr>
          <t>Einzelne Weideflächen können zu Weidesystemen zusammengefasst werden, die sich in der Intensität der Beweidung und dem Anteil der Beweidung an der Gesamtnutzung nahekommen (ähnlich Bewirtschaftungseinheiten).
z.B. Weidesystem A: Feldstücke 1 bis 4 mit Kurzrasenweide bewirtschaftet.
Weidesystem B: alle Jungviehweiden
Weidesystem C: Mähweiden mit 20 % Weideanteil</t>
        </r>
      </text>
    </comment>
    <comment ref="E58" authorId="3" shapeId="0" xr:uid="{C4A9D22F-E9A9-497D-ABA3-660B40CB916B}">
      <text>
        <r>
          <rPr>
            <sz val="9"/>
            <color indexed="81"/>
            <rFont val="Segoe UI"/>
            <family val="2"/>
          </rPr>
          <t xml:space="preserve">Prozentualer Anteil der Nutzung des Aufwuchses durch Weide vom Gesamtaufwuchs der Fläche.
Bei unterschiedlichen Erträgen der Weide </t>
        </r>
        <r>
          <rPr>
            <b/>
            <sz val="9"/>
            <color indexed="81"/>
            <rFont val="Segoe UI"/>
            <family val="2"/>
          </rPr>
          <t xml:space="preserve">kann </t>
        </r>
        <r>
          <rPr>
            <sz val="9"/>
            <color indexed="81"/>
            <rFont val="Segoe UI"/>
            <family val="2"/>
          </rPr>
          <t>dies hier entsprechend berücksichtigt werden. 
Beispiel: Kurzrasenweide mit 100 % Weide und einem TM-Ertrag von 100 dt TM/ha und einer Jungviehweide mit 100 % Weide mit einem Ertrag von 50 dt TM/ha. Im Fall der Jungviehweide kann in der Spalte "GL-Nutzung durch Weide in % des Aufwuchses" 50 % angegeben (50 dt TM/ha ist 50 % von 100 dt TM/ha), während für die Flächen mit Kurzrasenweide 100 % angegeben wird.</t>
        </r>
      </text>
    </comment>
    <comment ref="G59" authorId="3" shapeId="0" xr:uid="{B0259473-86F0-4D9D-86BB-537BB2B6C951}">
      <text>
        <r>
          <rPr>
            <sz val="9"/>
            <color indexed="81"/>
            <rFont val="Segoe UI"/>
            <family val="2"/>
          </rPr>
          <t>Diese Werte können in der Düngebedarfsermittlung als Nährstoffanfall Weide für die entsprechenden Flächen übernommen werden.</t>
        </r>
      </text>
    </comment>
    <comment ref="A87" authorId="2" shapeId="0" xr:uid="{13B98EED-F3FC-4FF6-91A0-762118BE6451}">
      <text>
        <r>
          <rPr>
            <sz val="9"/>
            <color indexed="81"/>
            <rFont val="Tahoma"/>
            <family val="2"/>
          </rPr>
          <t>Ändert sich der Tierbestand um weniger als 15 %, dürfen diese Werte düfen verwendet werden:
- für die Düngebedarfsermittlung (auch für rote Flächen). Dieses berechnete Ergebnis ist gleich mit einer Untersuchung im Labor zu sehen.
- für die Deklaration bei Zu- und Abgängen von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D90" authorId="2" shapeId="0" xr:uid="{00000000-0006-0000-0000-000015000000}">
      <text>
        <r>
          <rPr>
            <sz val="9"/>
            <color indexed="81"/>
            <rFont val="Tahoma"/>
            <family val="2"/>
          </rPr>
          <t xml:space="preserve">TS in % aus der Untersuchung eintragen.
</t>
        </r>
      </text>
    </comment>
    <comment ref="H90" authorId="2" shapeId="0" xr:uid="{00000000-0006-0000-0000-000016000000}">
      <text>
        <r>
          <rPr>
            <sz val="9"/>
            <color indexed="81"/>
            <rFont val="Tahoma"/>
            <family val="2"/>
          </rPr>
          <t>TS in % aus der Untersuchung eintragen.
In der Regel zwischen 20 und 30 %.</t>
        </r>
      </text>
    </comment>
    <comment ref="G101" authorId="2" shapeId="0" xr:uid="{B0F88D0E-7495-4009-8924-73A5082DD552}">
      <text>
        <r>
          <rPr>
            <sz val="9"/>
            <color indexed="81"/>
            <rFont val="Segoe UI"/>
            <family val="2"/>
          </rPr>
          <t>Zur Vermeidung von Ammoniakverlusten während der Lagerung von separiert festem Wirtschaftsdünger wird empfohlen, diesen zu verdichten und ggf. abzudecken. Auf Nacherwärmung achten!</t>
        </r>
      </text>
    </comment>
    <comment ref="A120" authorId="2" shapeId="0" xr:uid="{00000000-0006-0000-0000-000017000000}">
      <text>
        <r>
          <rPr>
            <sz val="9"/>
            <color indexed="81"/>
            <rFont val="Tahoma"/>
            <family val="2"/>
          </rPr>
          <t>Güllekeller und Güllekanäle können auf das Fassungsvermögen angerechnet werden, wenn die Anforderungen nach Anlagenverordnung erfüllt  sind.</t>
        </r>
      </text>
    </comment>
    <comment ref="A126" authorId="5" shapeId="0" xr:uid="{00000000-0006-0000-0000-000018000000}">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C136" authorId="2" shapeId="0" xr:uid="{00000000-0006-0000-0000-00001900000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48" authorId="5" shapeId="0" xr:uid="{00000000-0006-0000-0000-00001A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E175" authorId="3" shapeId="0" xr:uid="{BFA5469C-630E-495F-921E-0388F9A70D5A}">
      <text>
        <r>
          <rPr>
            <sz val="9"/>
            <color indexed="81"/>
            <rFont val="Segoe UI"/>
            <family val="2"/>
          </rPr>
          <t>Als Abgang dürfen nur tierische Ausscheidungen berücksichtigt werden.</t>
        </r>
      </text>
    </comment>
    <comment ref="F175" authorId="3" shapeId="0" xr:uid="{372A759D-BACC-4648-9546-6893802004BC}">
      <text>
        <r>
          <rPr>
            <sz val="9"/>
            <color indexed="81"/>
            <rFont val="Segoe UI"/>
            <family val="2"/>
          </rPr>
          <t>Bei flüssigen Wirtschaftsdüngern entspricht eine Tonne einem Kubikmeter.</t>
        </r>
      </text>
    </comment>
    <comment ref="Q175" authorId="3" shapeId="0" xr:uid="{450471C3-64F4-4168-992B-0BE02C98998E}">
      <text>
        <r>
          <rPr>
            <b/>
            <sz val="9"/>
            <color indexed="81"/>
            <rFont val="Segoe UI"/>
            <family val="2"/>
          </rPr>
          <t>Unterschied zu spalte I: hier mit N im Stroh</t>
        </r>
      </text>
    </comment>
    <comment ref="D176" authorId="3" shapeId="0" xr:uid="{0FF08024-A29C-4576-9A9C-43412DA2CAD4}">
      <text>
        <r>
          <rPr>
            <sz val="9"/>
            <color indexed="81"/>
            <rFont val="Segoe UI"/>
            <family val="2"/>
          </rPr>
          <t>Feste Wirtschaftsdünger (Stallmist oder separiertes festes Material) werden in Tonnen, flüssige Wirtschaftsdünger in m³ angegeben.</t>
        </r>
      </text>
    </comment>
    <comment ref="F178" authorId="0" shapeId="0" xr:uid="{6D8BA8D0-FF6A-4458-BAB3-8E9788B1679C}">
      <text>
        <r>
          <rPr>
            <sz val="9"/>
            <color indexed="81"/>
            <rFont val="Tahoma"/>
            <family val="2"/>
          </rPr>
          <t>Als Abgang darf für die Berechnung der 170 kg N Grenze nur der tierische Nährstoffanfall (Ausscheidungen abzügl. Stall-/Lagerverluste) berücksichtigt werden.</t>
        </r>
      </text>
    </comment>
    <comment ref="P203" authorId="3" shapeId="0" xr:uid="{F6558C7E-3B41-4860-8D03-B83A68051435}">
      <text>
        <r>
          <rPr>
            <b/>
            <sz val="9"/>
            <color indexed="81"/>
            <rFont val="Segoe UI"/>
            <family val="2"/>
          </rPr>
          <t>Toleranz nach WdüngV wird von kg N/Betrieb abgezogen, wenn &gt; 170, bis 170 erreicht wird. Abgezogene Menge = Verbleibende Menge im Betrieb</t>
        </r>
      </text>
    </comment>
    <comment ref="A205" authorId="3" shapeId="0" xr:uid="{81961ACA-E687-4CA5-847B-59CE2624A123}">
      <text>
        <r>
          <rPr>
            <sz val="9"/>
            <color indexed="81"/>
            <rFont val="Tahoma"/>
            <family val="2"/>
          </rPr>
          <t>Von der abgegebenen Menge werden 20 % Toleranz berücksichtigt, wenn die 170er Grenze überschritten wurde.</t>
        </r>
      </text>
    </comment>
    <comment ref="A215" authorId="3" shapeId="0" xr:uid="{3F1E2FF5-967C-417C-B413-7B2DF6F15AC8}">
      <text>
        <r>
          <rPr>
            <sz val="9"/>
            <color indexed="81"/>
            <rFont val="Segoe UI"/>
            <family val="2"/>
          </rPr>
          <t>Bei der durchschnittlichen organischen Düngung pro Jahr werden alle organischen Dünger abzüglich Stall-/ Lagerverluste (einschließlich Weide), die im Betrieb verbleiben, auf die LF abzüglich der Flächen ohne Nutzung und ohne Düngung sowie abzüglich der Flächen mit Verbot der org. Düngung, verteilt. Im Unterschied zum Berechnungsergebnis der 170 kg N/ha Grenze sind bei eigen erzeugtem Mist auch die Nährstoffe aus dem Einstreumaterial enthalten.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Schmücker, Rebekka (LfL)</author>
    <author>Offenberger, Konrad (LfL)</author>
  </authors>
  <commentList>
    <comment ref="A1" authorId="0" shapeId="0" xr:uid="{00000000-0006-0000-0200-000001000000}">
      <text>
        <r>
          <rPr>
            <sz val="9"/>
            <color indexed="81"/>
            <rFont val="Tahoma"/>
            <family val="2"/>
          </rPr>
          <t>Abweichende Werte müssen bei einer Kontrolle belegt werden.
Es dürfen nur Zahlen verwendet werden, die die landeszuständige Stelle genehmigt hat.</t>
        </r>
      </text>
    </comment>
    <comment ref="J4" authorId="1" shapeId="0" xr:uid="{FF377580-B23F-4A35-A441-B57687685C00}">
      <text>
        <r>
          <rPr>
            <sz val="9"/>
            <color indexed="81"/>
            <rFont val="Segoe UI"/>
            <family val="2"/>
          </rPr>
          <t xml:space="preserve">Eingabemöglichkeit  </t>
        </r>
        <r>
          <rPr>
            <b/>
            <sz val="9"/>
            <color indexed="81"/>
            <rFont val="Segoe UI"/>
            <family val="2"/>
          </rPr>
          <t>Mastschwein: 20 - 150 kg LM
Ferkel: 8 - 35 kg LM</t>
        </r>
      </text>
    </comment>
    <comment ref="M4" authorId="1" shapeId="0" xr:uid="{E309797F-FD11-4AEF-AF7A-22B1633E2B46}">
      <text>
        <r>
          <rPr>
            <sz val="9"/>
            <color indexed="81"/>
            <rFont val="Segoe UI"/>
            <family val="2"/>
          </rPr>
          <t xml:space="preserve">Eingabemöglichkeit  </t>
        </r>
        <r>
          <rPr>
            <b/>
            <sz val="9"/>
            <color indexed="81"/>
            <rFont val="Segoe UI"/>
            <family val="2"/>
          </rPr>
          <t>Mastschwein: 20 - 150 kg LM
Ferkel: 8 - 35 kg LM</t>
        </r>
      </text>
    </comment>
    <comment ref="P4" authorId="1" shapeId="0" xr:uid="{C2A771F8-50ED-4EA8-B884-99F0B2E49EE1}">
      <text>
        <r>
          <rPr>
            <sz val="9"/>
            <color indexed="81"/>
            <rFont val="Segoe UI"/>
            <family val="2"/>
          </rPr>
          <t>Die stufenlose Berechnung erfolgt für Mastschweine zwischen 700 und 950 g täglicher Zunahme. Für Ferkel erfolgt die Berechnung zwischen 450 und 500 g täglicher Zunahme (im Mittel von 8 - 28 kg).</t>
        </r>
      </text>
    </comment>
    <comment ref="W5" authorId="1" shapeId="0" xr:uid="{C93D65BD-F7E9-4449-A4FE-BF552F53F7B3}">
      <text>
        <r>
          <rPr>
            <b/>
            <sz val="9"/>
            <color indexed="81"/>
            <rFont val="Segoe UI"/>
            <family val="2"/>
          </rPr>
          <t>Prüfung, ob Daten verarbeitet werden können</t>
        </r>
      </text>
    </comment>
    <comment ref="J10" authorId="1" shapeId="0" xr:uid="{A81B9B38-5CF8-4CA0-BFC1-6660231B5C1D}">
      <text>
        <r>
          <rPr>
            <sz val="9"/>
            <color indexed="81"/>
            <rFont val="Segoe UI"/>
            <family val="2"/>
          </rPr>
          <t>Ferkelverluste bis 8 kg LM bleiben ohne Berücksichtigung. Verluste ab 8 kg LM können berücksichtigt werden.</t>
        </r>
      </text>
    </comment>
    <comment ref="M10" authorId="1" shapeId="0" xr:uid="{116B9BA7-1827-4681-8347-22915B7DB5E0}">
      <text>
        <r>
          <rPr>
            <sz val="9"/>
            <color indexed="81"/>
            <rFont val="Segoe UI"/>
            <family val="2"/>
          </rPr>
          <t xml:space="preserve">Eingabemöglichkeit  </t>
        </r>
        <r>
          <rPr>
            <b/>
            <sz val="9"/>
            <color indexed="81"/>
            <rFont val="Segoe UI"/>
            <family val="2"/>
          </rPr>
          <t>8 - 35 kg LM</t>
        </r>
      </text>
    </comment>
    <comment ref="W11" authorId="1" shapeId="0" xr:uid="{5BF1296B-893B-4AE6-8D36-F59555954C47}">
      <text>
        <r>
          <rPr>
            <b/>
            <sz val="9"/>
            <color indexed="81"/>
            <rFont val="Segoe UI"/>
            <family val="2"/>
          </rPr>
          <t>Prüfung, ob Daten verarbeitet werden können</t>
        </r>
      </text>
    </comment>
    <comment ref="C15" authorId="2" shapeId="0" xr:uid="{4EDEE08F-7B56-44D3-81E6-26A4B7F9048C}">
      <text>
        <r>
          <rPr>
            <sz val="9"/>
            <color indexed="81"/>
            <rFont val="Segoe UI"/>
            <family val="2"/>
          </rPr>
          <t>Ist gleich je Tier und Jahr (365 Tage)</t>
        </r>
      </text>
    </comment>
    <comment ref="D16" authorId="2" shapeId="0" xr:uid="{5CCD5880-5BF6-418F-B933-FBA763509077}">
      <text>
        <r>
          <rPr>
            <sz val="9"/>
            <color indexed="81"/>
            <rFont val="Segoe UI"/>
            <family val="2"/>
          </rPr>
          <t>Nährstoffausscheidung</t>
        </r>
      </text>
    </comment>
    <comment ref="B17" authorId="1" shapeId="0" xr:uid="{69B54520-90A1-40AE-8884-92F9696B6732}">
      <text>
        <r>
          <rPr>
            <sz val="9"/>
            <color indexed="81"/>
            <rFont val="Segoe UI"/>
            <family val="2"/>
          </rPr>
          <t xml:space="preserve">Eigene Werte finden Sie im Tabellenblatt "Nährstoffe und Lagerraum" bei der Auswahl Tierhaltung am </t>
        </r>
        <r>
          <rPr>
            <b/>
            <sz val="9"/>
            <color indexed="81"/>
            <rFont val="Segoe UI"/>
            <family val="2"/>
          </rPr>
          <t>Ende des Dropdown-</t>
        </r>
        <r>
          <rPr>
            <sz val="9"/>
            <color indexed="81"/>
            <rFont val="Segoe UI"/>
            <family val="2"/>
          </rPr>
          <t>Bereiches.</t>
        </r>
      </text>
    </comment>
    <comment ref="G17" authorId="2" shapeId="0" xr:uid="{00000000-0006-0000-0200-000002000000}">
      <text>
        <r>
          <rPr>
            <sz val="9"/>
            <color indexed="81"/>
            <rFont val="Tahoma"/>
            <family val="2"/>
          </rPr>
          <t>Bei Geflügel ist der Anfall bei Mist anzugeben.</t>
        </r>
      </text>
    </comment>
    <comment ref="H17" authorId="2" shapeId="0" xr:uid="{00000000-0006-0000-0200-000003000000}">
      <text>
        <r>
          <rPr>
            <sz val="9"/>
            <color indexed="81"/>
            <rFont val="Tahoma"/>
            <family val="2"/>
          </rPr>
          <t xml:space="preserve">Jaucheanfall bei geringer Einstreumenge. Angaben zum Jaucheanfall dürfen nur bei Rindern und Schweinen erfolgen. </t>
        </r>
      </text>
    </comment>
    <comment ref="I17" authorId="1" shapeId="0" xr:uid="{B1D91282-9784-4C65-A58D-77BAA835D958}">
      <text>
        <r>
          <rPr>
            <sz val="10"/>
            <color indexed="81"/>
            <rFont val="Arial"/>
            <family val="2"/>
          </rPr>
          <t>Die Unterscheidung in gering, mittel und hoch bezieht sich auf die eingesetzte Einstreumenge.</t>
        </r>
      </text>
    </comment>
    <comment ref="N17" authorId="1" shapeId="0" xr:uid="{A3AEB13E-5328-4E50-B0E2-09C2BF38FDAB}">
      <text>
        <r>
          <rPr>
            <sz val="10"/>
            <color indexed="81"/>
            <rFont val="Arial"/>
            <family val="2"/>
          </rPr>
          <t>Die Unterscheidung in gering, mittel und hoch bezieht sich auf die eingesetzte Einstreumenge.</t>
        </r>
      </text>
    </comment>
    <comment ref="Q19" authorId="1" shapeId="0" xr:uid="{713E06F7-29A5-4581-AFB2-076DD552C42F}">
      <text>
        <r>
          <rPr>
            <sz val="9"/>
            <color indexed="81"/>
            <rFont val="Segoe UI"/>
            <family val="2"/>
          </rPr>
          <t>in kg und Tag je mittleren Jahresbestand</t>
        </r>
      </text>
    </comment>
    <comment ref="G36" authorId="1" shapeId="0" xr:uid="{2383C257-3B1E-4519-9657-7AA9AB3F87A0}">
      <text>
        <r>
          <rPr>
            <sz val="9"/>
            <color indexed="81"/>
            <rFont val="Segoe UI"/>
            <family val="2"/>
          </rPr>
          <t>Verhältnis kg Futter (FM, 88 % TS) zu kg Lebendmasse</t>
        </r>
      </text>
    </comment>
    <comment ref="H37" authorId="1" shapeId="0" xr:uid="{C6C4B350-9B41-4A19-9026-1BD1C01F43ED}">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N37" authorId="1" shapeId="0" xr:uid="{5C2F0318-77DC-460D-ABA2-B1924DE58BAF}">
      <text>
        <r>
          <rPr>
            <sz val="9"/>
            <color indexed="81"/>
            <rFont val="Segoe UI"/>
            <family val="2"/>
          </rPr>
          <t>Hierbei handelt es sich um die durchschnittlichen Nährstoffgehalte, die im Mittel der gesamten Mastphase benötigt werden. Diese bewegen sich im Rahmen der nachfolgend angegebenden Nährstoffgehalte.</t>
        </r>
      </text>
    </comment>
    <comment ref="C38" authorId="1" shapeId="0" xr:uid="{02A2C4B0-9A75-43B4-B91D-371E9CDB1088}">
      <text>
        <r>
          <rPr>
            <sz val="9"/>
            <color indexed="81"/>
            <rFont val="Segoe UI"/>
            <family val="2"/>
          </rPr>
          <t>je mittleren Jahresbestand</t>
        </r>
      </text>
    </comment>
    <comment ref="A58" authorId="1" shapeId="0" xr:uid="{E36D76CE-F2F7-47C7-8B92-0CAF3D61F1E8}">
      <text>
        <r>
          <rPr>
            <sz val="9"/>
            <color indexed="81"/>
            <rFont val="Segoe UI"/>
            <family val="2"/>
          </rPr>
          <t xml:space="preserve">Eigene Zahlen </t>
        </r>
        <r>
          <rPr>
            <b/>
            <sz val="9"/>
            <color indexed="81"/>
            <rFont val="Segoe UI"/>
            <family val="2"/>
          </rPr>
          <t>müssen</t>
        </r>
        <r>
          <rPr>
            <sz val="9"/>
            <color indexed="81"/>
            <rFont val="Segoe UI"/>
            <family val="2"/>
          </rPr>
          <t xml:space="preserve"> bei einer Kontrolle belegt werden.
Bei einer Veränderung des TS-Gehaltes ohne weiterführende Untersuchungen müssen die Nährstoffgehalte auf den neuen TS-Gehalt umgerechnet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W3" authorId="0" shapeId="0" xr:uid="{ECD8CFB2-9BDA-4781-860F-646DFF12C3ED}">
      <text>
        <r>
          <rPr>
            <b/>
            <sz val="9"/>
            <color indexed="81"/>
            <rFont val="Segoe UI"/>
            <family val="2"/>
          </rPr>
          <t>Ferkel der Zuchtsauen</t>
        </r>
      </text>
    </comment>
    <comment ref="Z10" authorId="0" shapeId="0" xr:uid="{D9D1480C-BF77-4751-8938-D80DB015C90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 authorId="0" shapeId="0" xr:uid="{453E8D90-9215-472A-846D-82D99CA048B7}">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22" authorId="0" shapeId="0" xr:uid="{51C82C93-D46A-43AF-ADCB-9D2BEA1D002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22" authorId="0" shapeId="0" xr:uid="{5F18679A-2BAE-457D-98B7-C2790520A33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34" authorId="0" shapeId="0" xr:uid="{79C61A8B-47D6-4B21-A177-561417DBB251}">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34" authorId="0" shapeId="0" xr:uid="{D248DBFF-9BF1-4066-B33A-5ECB575AAB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46" authorId="0" shapeId="0" xr:uid="{6FB5FED0-BF4D-4C10-99EE-6F70F4E65F2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46" authorId="0" shapeId="0" xr:uid="{93A594E7-4EC0-46C0-99C4-63762891D2F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58" authorId="0" shapeId="0" xr:uid="{AA262F8D-D925-4121-AB25-447F52BF31F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58" authorId="0" shapeId="0" xr:uid="{7284AF41-A2C0-4DF3-9662-108ED80B9BCC}">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72" authorId="0" shapeId="0" xr:uid="{1444D010-195C-4DC4-89A3-65F72D647E74}">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72" authorId="0" shapeId="0" xr:uid="{23619EEE-7773-4939-8A4A-CC50ACA5DA30}">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81" authorId="0" shapeId="0" xr:uid="{9CE9EF0A-8233-4C69-B76E-E0B9DFE1218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81" authorId="0" shapeId="0" xr:uid="{7A973946-DEBF-4C62-80C3-094891F60542}">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0" authorId="0" shapeId="0" xr:uid="{28557718-9954-40FD-95AD-E16330C6CB8A}">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0" authorId="0" shapeId="0" xr:uid="{9A629E5C-0ABB-47AA-BA2A-B93618B02DA9}">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99" authorId="0" shapeId="0" xr:uid="{BA809CEA-7A26-483C-943F-38E2A89CFE43}">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99" authorId="0" shapeId="0" xr:uid="{3481C0C0-A226-497D-955F-B884ECEC1C8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Z108" authorId="0" shapeId="0" xr:uid="{E8B734D9-91E3-4422-9D50-70E68B640F6E}">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AJ108" authorId="0" shapeId="0" xr:uid="{DA3DCC50-9B45-4498-98B3-4BBE253397F5}">
      <text>
        <r>
          <rPr>
            <sz val="9"/>
            <color indexed="81"/>
            <rFont val="Segoe UI"/>
            <family val="2"/>
          </rPr>
          <t xml:space="preserve">Infotext:
hierbei handelt es sich um den durchschnittlichen Stickstoff/Rohproteingehalt, der im mittel der gesamten Mastphase benötigt wird. Zu Beginn der Mast sind höhere Nährstoffgehalte erforderlich als zum Ende der Mast. Diese Bewegen sich im Rahmen der nachfolgend angegebenen Gehalte.
</t>
        </r>
      </text>
    </comment>
    <comment ref="B118" authorId="0" shapeId="0" xr:uid="{DDD57CA6-38CE-4D9A-9680-E2E41F3EB655}">
      <text>
        <r>
          <rPr>
            <b/>
            <sz val="9"/>
            <color indexed="81"/>
            <rFont val="Segoe UI"/>
            <family val="2"/>
          </rPr>
          <t>Ferkel mit 450 g TZ</t>
        </r>
      </text>
    </comment>
    <comment ref="B136" authorId="0" shapeId="0" xr:uid="{AE4458DA-600D-453D-9447-328F1DEE9A60}">
      <text>
        <r>
          <rPr>
            <b/>
            <sz val="9"/>
            <color indexed="81"/>
            <rFont val="Segoe UI"/>
            <family val="2"/>
          </rPr>
          <t>Ferkel mit 450 g TZ</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AI5" authorId="0" shapeId="0" xr:uid="{163E7CBA-E397-48AE-B034-E4295DB7F237}">
      <text>
        <r>
          <rPr>
            <sz val="9"/>
            <color indexed="81"/>
            <rFont val="Segoe UI"/>
            <family val="2"/>
          </rPr>
          <t>Alle Rinder: Nährstoffgehalte von Rinderjauche etc.</t>
        </r>
      </text>
    </comment>
    <comment ref="AN5" authorId="0" shapeId="0" xr:uid="{FDC2E535-120D-4BAF-AADE-4041370D8268}">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B1071B5D-17C5-457B-AFA5-EADE0E4F2F1B}">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AB7" authorId="0" shapeId="0" xr:uid="{9F952D03-5DEA-4B38-9813-76CA58E21D2D}">
      <text>
        <r>
          <rPr>
            <sz val="9"/>
            <color indexed="81"/>
            <rFont val="Segoe UI"/>
            <family val="2"/>
          </rPr>
          <t xml:space="preserve">Bei stark N-/P- reduzierter Fütterung
</t>
        </r>
      </text>
    </comment>
    <comment ref="D8" authorId="1" shapeId="0" xr:uid="{F397B01C-5248-4090-BB89-AF784C908786}">
      <text>
        <r>
          <rPr>
            <b/>
            <sz val="9"/>
            <color indexed="81"/>
            <rFont val="Tahoma"/>
            <family val="2"/>
          </rPr>
          <t>Brandl, Maria (LfL):</t>
        </r>
        <r>
          <rPr>
            <sz val="9"/>
            <color indexed="81"/>
            <rFont val="Tahoma"/>
            <family val="2"/>
          </rPr>
          <t xml:space="preserve">
26.10.2020 Bezogen auf 365 Tag (Br, Of, Schu, Schn, We)</t>
        </r>
      </text>
    </comment>
    <comment ref="AM8" authorId="0" shapeId="0" xr:uid="{9EFD19A6-2267-47FF-BA0A-8319F98007D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C6" authorId="0" shapeId="0" xr:uid="{6BB1D051-5177-4E93-9914-F89BF65E60A4}">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D6" authorId="0" shapeId="0" xr:uid="{EFA71570-6A9C-4620-A372-F6D1811674E9}">
      <text>
        <r>
          <rPr>
            <b/>
            <sz val="9"/>
            <color indexed="81"/>
            <rFont val="Tahoma"/>
            <family val="2"/>
          </rPr>
          <t>Für Einheit im Programm
1= flüssig
2= fest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C24" authorId="0" shapeId="0" xr:uid="{4D5665CC-4D43-4C71-BCD4-6529E4B81470}">
      <text>
        <r>
          <rPr>
            <sz val="9"/>
            <color indexed="81"/>
            <rFont val="Segoe UI"/>
            <family val="2"/>
          </rPr>
          <t xml:space="preserve">Hier wird die </t>
        </r>
        <r>
          <rPr>
            <b/>
            <sz val="9"/>
            <color indexed="81"/>
            <rFont val="Segoe UI"/>
            <family val="2"/>
          </rPr>
          <t>Tierart mit dem höchsten Stickstoffanteil</t>
        </r>
        <r>
          <rPr>
            <sz val="9"/>
            <color indexed="81"/>
            <rFont val="Segoe UI"/>
            <family val="2"/>
          </rPr>
          <t xml:space="preserve"> in der Gülle/Jauche ausgegeben bzw. ist für Stallmist einzugeben. 
Wird die Gülle von unterschiedlichen Tiergruppen (z. B. Rinder und Schweine) separat gelagert und abgegeben, ist eine getrennte Berechnung notwendig.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02F39DCC-52E6-4BDC-BF8C-55395CE38EBC}">
      <text>
        <r>
          <rPr>
            <sz val="9"/>
            <color indexed="81"/>
            <rFont val="Segoe UI"/>
            <family val="2"/>
          </rPr>
          <t>Die abgegebenen Mengen an Stallmist und sonstigen Wirtschaftsdüngern müssen separat erfasst werden. Als Abgabe dürfen nur tierische Ausscheidungen berücksichtigt werden.</t>
        </r>
      </text>
    </comment>
    <comment ref="E4" authorId="0" shapeId="0" xr:uid="{5071909E-CE58-4A59-9D47-AF130FFAD920}">
      <text>
        <r>
          <rPr>
            <sz val="9"/>
            <color indexed="81"/>
            <rFont val="Segoe UI"/>
            <family val="2"/>
          </rPr>
          <t>Feste Wirtschaftsdünger (Stallmist oder separiertes festes Material) werden in Tonnen, flüssige Wirtschaftsdünger in m³ angegeben.</t>
        </r>
      </text>
    </comment>
    <comment ref="H5" authorId="0" shapeId="0" xr:uid="{BEE8EDB1-4938-4464-95CA-5D7F2C3A90A0}">
      <text>
        <r>
          <rPr>
            <sz val="9"/>
            <color indexed="81"/>
            <rFont val="Segoe UI"/>
            <family val="2"/>
          </rPr>
          <t>Feste Wirtschaftsdünger (Stallmist oder separiertes festes Material) werden je Tonne, flüssige Wirtschaftsdünger je m³ angegeben.</t>
        </r>
      </text>
    </comment>
    <comment ref="E63" authorId="0" shapeId="0" xr:uid="{298A16E2-1AF9-49DB-8C4E-FF832502A1E5}">
      <text>
        <r>
          <rPr>
            <sz val="9"/>
            <color indexed="81"/>
            <rFont val="Segoe UI"/>
            <family val="2"/>
          </rPr>
          <t>Feste Wirtschaftsdünger (Stallmist oder separiertes festes Material) werden in Tonnen, flüssige Wirtschaftsdünger in m³ angegeben.</t>
        </r>
      </text>
    </comment>
    <comment ref="H64" authorId="0" shapeId="0" xr:uid="{F33B2CCE-54B9-472D-9F28-88741756F3D3}">
      <text>
        <r>
          <rPr>
            <sz val="9"/>
            <color indexed="81"/>
            <rFont val="Segoe UI"/>
            <family val="2"/>
          </rPr>
          <t>Feste Wirtschaftsdünger (Stallmist oder separiertes festes Material) werden je Tonne, flüssige Wirtschaftsdünger je m³ angegeben.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<sst xmlns="http://schemas.openxmlformats.org/spreadsheetml/2006/main" count="18447" uniqueCount="7954">
  <si>
    <t>Gülle</t>
  </si>
  <si>
    <t>m³</t>
  </si>
  <si>
    <t>%</t>
  </si>
  <si>
    <t>Nährstoffausscheidung</t>
  </si>
  <si>
    <t>N</t>
  </si>
  <si>
    <t>K2O</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</si>
  <si>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</si>
  <si>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</si>
  <si>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</si>
  <si>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</si>
  <si>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</si>
  <si>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</si>
  <si>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</si>
  <si>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</si>
  <si>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</si>
  <si>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</si>
  <si>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</si>
  <si>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</si>
  <si>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</si>
  <si>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</si>
  <si>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</si>
  <si>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</si>
  <si>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</si>
  <si>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</si>
  <si>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</si>
  <si>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</si>
  <si>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</si>
  <si>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</si>
  <si>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</si>
  <si>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</si>
  <si>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</si>
  <si>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</si>
  <si>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</si>
  <si>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</si>
  <si>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</si>
  <si>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</si>
  <si>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</si>
  <si>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</si>
  <si>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</si>
  <si>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</si>
  <si>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</si>
  <si>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</si>
  <si>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</si>
  <si>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</si>
  <si>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</si>
  <si>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</si>
  <si>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</si>
  <si>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</si>
  <si>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</si>
  <si>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</si>
  <si>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</si>
  <si>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</si>
  <si>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</si>
  <si>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</si>
  <si>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</si>
  <si>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</si>
  <si>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</si>
  <si>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</si>
  <si>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</si>
  <si>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</si>
  <si>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</si>
  <si>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</si>
  <si>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</si>
  <si>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</si>
  <si>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</si>
  <si>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</si>
  <si>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</si>
  <si>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</si>
  <si>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</si>
  <si>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</si>
  <si>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</si>
  <si>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</si>
  <si>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</si>
  <si>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</si>
  <si>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</si>
  <si>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</si>
  <si>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</si>
  <si>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</si>
  <si>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Mutterschafe (ohne Lamm), andere Schafe, konventionell</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</si>
  <si>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</si>
  <si>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</si>
  <si>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</si>
  <si>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</si>
  <si>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</si>
  <si>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</si>
  <si>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</si>
  <si>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</si>
  <si>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</si>
  <si>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Mehrfachantrag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</si>
  <si>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</si>
  <si>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</si>
  <si>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</si>
  <si>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</si>
  <si>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</si>
  <si>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</si>
  <si>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</si>
  <si>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</si>
  <si>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</si>
  <si>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</si>
  <si>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</si>
  <si>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</si>
  <si>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</si>
  <si>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</si>
  <si>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</si>
  <si>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</si>
  <si>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</si>
  <si>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</si>
  <si>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</si>
  <si>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</si>
  <si>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</si>
  <si>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</si>
  <si>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</si>
  <si>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</si>
  <si>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</si>
  <si>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</si>
  <si>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</si>
  <si>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</si>
  <si>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</si>
  <si>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</si>
  <si>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</si>
  <si>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</si>
  <si>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</si>
  <si>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</si>
  <si>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</si>
  <si>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</si>
  <si>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</si>
  <si>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</si>
  <si>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</si>
  <si>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</si>
  <si>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</si>
  <si>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</si>
  <si>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</si>
  <si>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</si>
  <si>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</si>
  <si>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</si>
  <si>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</si>
  <si>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</si>
  <si>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</si>
  <si>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</si>
  <si>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</si>
  <si>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</si>
  <si>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</si>
  <si>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</si>
  <si>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</si>
  <si>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</si>
  <si>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</si>
  <si>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</si>
  <si>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53</t>
  </si>
  <si>
    <t xml:space="preserve">  Andere Zuchtschweine (ohne Eber) ab 50 kg</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</si>
  <si>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</si>
  <si>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</si>
  <si>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</si>
  <si>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</si>
  <si>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</si>
  <si>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</si>
  <si>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</si>
  <si>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</si>
  <si>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</si>
  <si>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</si>
  <si>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</si>
  <si>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</si>
  <si>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</si>
  <si>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</si>
  <si>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</si>
  <si>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</si>
  <si>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</si>
  <si>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</si>
  <si>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</si>
  <si>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</si>
  <si>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</si>
  <si>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</si>
  <si>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</si>
  <si>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</si>
  <si>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</si>
  <si>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</si>
  <si>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</si>
  <si>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</si>
  <si>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</si>
  <si>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</si>
  <si>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</si>
  <si>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</si>
  <si>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</si>
  <si>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</si>
  <si>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</si>
  <si>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</si>
  <si>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</si>
  <si>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</si>
  <si>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74</t>
  </si>
  <si>
    <t xml:space="preserve">  Rotwild</t>
  </si>
  <si>
    <t xml:space="preserve">  Rotwild Alttier</t>
  </si>
  <si>
    <t>82</t>
  </si>
  <si>
    <t xml:space="preserve">  Neuweltkameliden (Lama/Alpaka)</t>
  </si>
  <si>
    <t>85</t>
  </si>
  <si>
    <t xml:space="preserve">  Perlhühner</t>
  </si>
  <si>
    <t xml:space="preserve">  Perlhuhn</t>
  </si>
  <si>
    <t>Stallmist</t>
  </si>
  <si>
    <t>GV</t>
  </si>
  <si>
    <t>Milchleistung</t>
  </si>
  <si>
    <t>Tabelle 5:  Nährstoffgehalte organischer Dünger zum Zeitpunkt der Ausbringung,</t>
  </si>
  <si>
    <t>Im Programm hinterlegte Daten</t>
  </si>
  <si>
    <t xml:space="preserve">                  die anrechenbaren Stall- und Lagerungsverluste sind berücksichtigt</t>
  </si>
  <si>
    <t xml:space="preserve"> </t>
  </si>
  <si>
    <t>Einheit</t>
  </si>
  <si>
    <t>TM</t>
  </si>
  <si>
    <t>Organischer Dünger mit Code-Nr.</t>
  </si>
  <si>
    <t>Art 2</t>
  </si>
  <si>
    <t>Art 3</t>
  </si>
  <si>
    <t>in</t>
  </si>
  <si>
    <t>Rind</t>
  </si>
  <si>
    <t>Milchviehgülle (Grünland, 6 % TM)</t>
  </si>
  <si>
    <t>Milchviehgülle (Grünland, 7,5 % TM)</t>
  </si>
  <si>
    <t>Milchviehgülle (Acker, 6 % TM)</t>
  </si>
  <si>
    <t>Milchviehgülle (Acker, 7,5 % TM)</t>
  </si>
  <si>
    <t>Mastbullengülle (7,5 % TM)</t>
  </si>
  <si>
    <t>Schwein</t>
  </si>
  <si>
    <t>Mastschweinegülle (5 % TM), N-/P-red. Fütterung</t>
  </si>
  <si>
    <t>Hühnermist (50 % TM)</t>
  </si>
  <si>
    <t xml:space="preserve">Hühnerkot (50 % TM) </t>
  </si>
  <si>
    <t>Putenmist (50 % TM)</t>
  </si>
  <si>
    <t>Masthähnchenmist (60 % TM)</t>
  </si>
  <si>
    <t>Flugentenmist (30 % TM)</t>
  </si>
  <si>
    <t>sonstige tierische Herkunft</t>
  </si>
  <si>
    <t>Pferdemist (30 % TM)</t>
  </si>
  <si>
    <t>Kaninchenmist (30 % TM)</t>
  </si>
  <si>
    <t>Im Programm hinterlegte Daten aus Tabelle 4a+b+c</t>
  </si>
  <si>
    <t xml:space="preserve">Einstreu </t>
  </si>
  <si>
    <t>Jaucheanfall</t>
  </si>
  <si>
    <t>Verluste in %</t>
  </si>
  <si>
    <t>einheit</t>
  </si>
  <si>
    <t>Stall- und Lager</t>
  </si>
  <si>
    <t>nach DüV</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</si>
  <si>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</si>
  <si>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</si>
  <si>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t>Milchkuh (6000 kg Milch)</t>
  </si>
  <si>
    <t>Milchkuh (8000 kg Milch)</t>
  </si>
  <si>
    <t>Milchkuh (10000 kg Milch)</t>
  </si>
  <si>
    <t>Milchkuh (12000 kg Milch)</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</si>
  <si>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</si>
  <si>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</si>
  <si>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</si>
  <si>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</si>
  <si>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</si>
  <si>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</si>
  <si>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</si>
  <si>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</si>
  <si>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</si>
  <si>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</si>
  <si>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</si>
  <si>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</si>
  <si>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</si>
  <si>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</si>
  <si>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</si>
  <si>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</si>
  <si>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</si>
  <si>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Tierbezeichnung</t>
  </si>
  <si>
    <t>Anfall Mist</t>
  </si>
  <si>
    <t>Nährstoffauss. Anfall</t>
  </si>
  <si>
    <t>Tierart wählen</t>
  </si>
  <si>
    <t>Gesamt</t>
  </si>
  <si>
    <t>Zugang</t>
  </si>
  <si>
    <t>Abgang</t>
  </si>
  <si>
    <t>t bzw. m³</t>
  </si>
  <si>
    <t>flüssig</t>
  </si>
  <si>
    <t>fest</t>
  </si>
  <si>
    <t>fest in t</t>
  </si>
  <si>
    <t>Summe</t>
  </si>
  <si>
    <t>kg</t>
  </si>
  <si>
    <t>Nährstoffgehalt/t</t>
  </si>
  <si>
    <t xml:space="preserve"> Bei Fragen wenden Sie sich an Ihr zuständiges Amt für Ernährung, Landwirtschaft und Forsten.</t>
  </si>
  <si>
    <t>spez. Gewicht</t>
  </si>
  <si>
    <t>Ø Jahresbestand</t>
  </si>
  <si>
    <t>spez.Gew.</t>
  </si>
  <si>
    <t>SM</t>
  </si>
  <si>
    <t>Lager</t>
  </si>
  <si>
    <t xml:space="preserve">Runde Behälter (flüssig) </t>
  </si>
  <si>
    <t>Rechteckige Behälter (flüssig)</t>
  </si>
  <si>
    <t>bzw. Lagerflächen (fest)</t>
  </si>
  <si>
    <t>Behälter/Lagerfläche 1</t>
  </si>
  <si>
    <t>Lager 1</t>
  </si>
  <si>
    <t>Lagerraum m³</t>
  </si>
  <si>
    <t xml:space="preserve">Adresse des Betriebes </t>
  </si>
  <si>
    <t>Zu-/Verpacht</t>
  </si>
  <si>
    <t>Lager 2</t>
  </si>
  <si>
    <t>Lager 3</t>
  </si>
  <si>
    <t>Lager 4</t>
  </si>
  <si>
    <t xml:space="preserve">Zu- und Verpacht von Lagerkapazität </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</si>
  <si>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</si>
  <si>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</si>
  <si>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</si>
  <si>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</si>
  <si>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</si>
  <si>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</si>
  <si>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</si>
  <si>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</si>
  <si>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</si>
  <si>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</si>
  <si>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</si>
  <si>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</si>
  <si>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</si>
  <si>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</si>
  <si>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</si>
  <si>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</si>
  <si>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</si>
  <si>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</si>
  <si>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</si>
  <si>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</si>
  <si>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</si>
  <si>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</si>
  <si>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</si>
  <si>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</si>
  <si>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</si>
  <si>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</si>
  <si>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</si>
  <si>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GV/ha im Betrieb:</t>
  </si>
  <si>
    <t>Lager in Monate Stallmist</t>
  </si>
  <si>
    <t>bis 2020</t>
  </si>
  <si>
    <t>ab 2020</t>
  </si>
  <si>
    <t>Lager in Monaten Stallmist</t>
  </si>
  <si>
    <t>Mistanfall im m³</t>
  </si>
  <si>
    <t>Silosaft</t>
  </si>
  <si>
    <t>% TS</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</si>
  <si>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</si>
  <si>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</si>
  <si>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</si>
  <si>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</si>
  <si>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</si>
  <si>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</si>
  <si>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</si>
  <si>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</si>
  <si>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</si>
  <si>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</si>
  <si>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</si>
  <si>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</si>
  <si>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t/m³</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</si>
  <si>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</si>
  <si>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</si>
  <si>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</si>
  <si>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</si>
  <si>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</si>
  <si>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</si>
  <si>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</si>
  <si>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</si>
  <si>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</si>
  <si>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</si>
  <si>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</si>
  <si>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</si>
  <si>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Lagerbehälter im Betrieb für flüssige (Gülle, Jauche) und feste (Mist) Wirtschaftsdünger</t>
  </si>
  <si>
    <t>Eingabemöglichkeit für abweichende Werte</t>
  </si>
  <si>
    <t>TS-Gehalt</t>
  </si>
  <si>
    <t>Hausabwässer Anzahl Personen</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</si>
  <si>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</si>
  <si>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</si>
  <si>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</si>
  <si>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</si>
  <si>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</si>
  <si>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Mindestanforderungen nach Düngeverordnung</t>
  </si>
  <si>
    <r>
      <t>Sonstige Wasserzugabe im Jahr</t>
    </r>
    <r>
      <rPr>
        <sz val="9"/>
        <rFont val="Arial"/>
        <family val="2"/>
      </rPr>
      <t xml:space="preserve"> </t>
    </r>
    <r>
      <rPr>
        <sz val="8"/>
        <rFont val="Arial"/>
        <family val="2"/>
      </rPr>
      <t>(z.B. Dachrinnenwasser, Reinigungswasser)</t>
    </r>
  </si>
  <si>
    <t>Fläche verunreinigtes Wasser z.B. ungereinigte Silofläche oder Ladefläche</t>
  </si>
  <si>
    <t>Ergebnis 2019</t>
  </si>
  <si>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</si>
  <si>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</si>
  <si>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</si>
  <si>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</si>
  <si>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</si>
  <si>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</si>
  <si>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</si>
  <si>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</si>
  <si>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</si>
  <si>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</si>
  <si>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</si>
  <si>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</si>
  <si>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</si>
  <si>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</si>
  <si>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</si>
  <si>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</si>
  <si>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</si>
  <si>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</si>
  <si>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</si>
  <si>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</si>
  <si>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</si>
  <si>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</si>
  <si>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</si>
  <si>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</si>
  <si>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</si>
  <si>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</si>
  <si>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</si>
  <si>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</si>
  <si>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</si>
  <si>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</si>
  <si>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</si>
  <si>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</si>
  <si>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</si>
  <si>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</si>
  <si>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</si>
  <si>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</si>
  <si>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</si>
  <si>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</si>
  <si>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</si>
  <si>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</si>
  <si>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</si>
  <si>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</si>
  <si>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</si>
  <si>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</si>
  <si>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</si>
  <si>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</si>
  <si>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</si>
  <si>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</si>
  <si>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</si>
  <si>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</si>
  <si>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</si>
  <si>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</si>
  <si>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</si>
  <si>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</si>
  <si>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</si>
  <si>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</si>
  <si>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</si>
  <si>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</si>
  <si>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</si>
  <si>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</si>
  <si>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</si>
  <si>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</si>
  <si>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</si>
  <si>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</si>
  <si>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</si>
  <si>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</si>
  <si>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</si>
  <si>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</si>
  <si>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</si>
  <si>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</si>
  <si>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</si>
  <si>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</si>
  <si>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</si>
  <si>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</si>
  <si>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</si>
  <si>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</si>
  <si>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</si>
  <si>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</si>
  <si>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</si>
  <si>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</si>
  <si>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</si>
  <si>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</si>
  <si>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</si>
  <si>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</si>
  <si>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</si>
  <si>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</si>
  <si>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</si>
  <si>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</si>
  <si>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</si>
  <si>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</si>
  <si>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</si>
  <si>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</si>
  <si>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</si>
  <si>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</si>
  <si>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</si>
  <si>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</si>
  <si>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</si>
  <si>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</si>
  <si>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</si>
  <si>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</si>
  <si>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</si>
  <si>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</si>
  <si>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</si>
  <si>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</si>
  <si>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</si>
  <si>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r>
      <t>NH</t>
    </r>
    <r>
      <rPr>
        <vertAlign val="subscript"/>
        <sz val="8"/>
        <rFont val="Arial"/>
        <family val="2"/>
      </rPr>
      <t>4</t>
    </r>
    <r>
      <rPr>
        <sz val="8"/>
        <rFont val="Arial"/>
        <family val="2"/>
      </rPr>
      <t>-N</t>
    </r>
  </si>
  <si>
    <t>NH4-N Anteil</t>
  </si>
  <si>
    <t xml:space="preserve">Jauche </t>
  </si>
  <si>
    <t>NH4 in kg N</t>
  </si>
  <si>
    <t>Gülle/Jauche</t>
  </si>
  <si>
    <t>Sommer</t>
  </si>
  <si>
    <t>Winter</t>
  </si>
  <si>
    <t xml:space="preserve">Gülle </t>
  </si>
  <si>
    <t>Anfall Betrieb t/Jahr</t>
  </si>
  <si>
    <t>Mist für Stroh Geflügel</t>
  </si>
  <si>
    <t>Mist m³</t>
  </si>
  <si>
    <t>Gülle m³</t>
  </si>
  <si>
    <t>Notwendiger Lagerraum nach DüV in Monate</t>
  </si>
  <si>
    <t>% der Gülle reichen 6 Mo Lagerraum</t>
  </si>
  <si>
    <t>% der Gülle benötigen wir 9 Mo Lagerraum</t>
  </si>
  <si>
    <t>ha notwendig bei Rind und Grünlad (255)</t>
  </si>
  <si>
    <t>Fläche eigen Grünland max. ha 255</t>
  </si>
  <si>
    <t>% der Gülle für 6 Mo Lagerraum</t>
  </si>
  <si>
    <t>% der Gülle die 9 Mo gelagert werden muss</t>
  </si>
  <si>
    <t xml:space="preserve">    Zusätzlich sind für nicht abpumpfähige Mengen 10 cm zu berücksichtigen und von der Höhe abzuziehen. </t>
  </si>
  <si>
    <t>Berechnete Werte Betrieb</t>
  </si>
  <si>
    <t>Berechnung Weide</t>
  </si>
  <si>
    <t xml:space="preserve">P </t>
  </si>
  <si>
    <t>K</t>
  </si>
  <si>
    <t>Anteil</t>
  </si>
  <si>
    <t>Gewichtete Weidefläche</t>
  </si>
  <si>
    <t>Betrieb mit Erleichterungen</t>
  </si>
  <si>
    <t>Düngerart</t>
  </si>
  <si>
    <t>Flüssig</t>
  </si>
  <si>
    <t>kg N</t>
  </si>
  <si>
    <t>Nährstoffausscheidungen</t>
  </si>
  <si>
    <t>nach Verluste</t>
  </si>
  <si>
    <t xml:space="preserve">Organische (und organisch-mineralische) Düngemittel </t>
  </si>
  <si>
    <t>Stickstoffmenge</t>
  </si>
  <si>
    <t>Summe Betrieb</t>
  </si>
  <si>
    <t>3. Ergebnis</t>
  </si>
  <si>
    <t>je ha **</t>
  </si>
  <si>
    <t>Betrieb</t>
  </si>
  <si>
    <t>Mögliche Nährstoffausbringung nach DüV § 6 (170 kg N/ha)</t>
  </si>
  <si>
    <t xml:space="preserve">ha </t>
  </si>
  <si>
    <t>Basisd.</t>
  </si>
  <si>
    <t>N Sommer</t>
  </si>
  <si>
    <t>N Winter</t>
  </si>
  <si>
    <t>N Gesamt</t>
  </si>
  <si>
    <t>sonstige</t>
  </si>
  <si>
    <t>2. Zu- und Abgang organischer (und organisch-mineralischer) Düngemittel</t>
  </si>
  <si>
    <t>Beim Zugang müssen alle organischen und organisch-mineralischen Dünger (z.B. Klärschlamm, Biogasgärrest, Kompost) erfasst werden</t>
  </si>
  <si>
    <t>Nährstoffe nach Separation</t>
  </si>
  <si>
    <t>Weide-fläche (ha)</t>
  </si>
  <si>
    <t>in TS</t>
  </si>
  <si>
    <t>gelöst</t>
  </si>
  <si>
    <t>Stickstoffmenge nach Abzug Stall-, Lagerverluste in kg im Betrieb</t>
  </si>
  <si>
    <t>Eigener Stallmist</t>
  </si>
  <si>
    <t xml:space="preserve">Hackschnitzel </t>
  </si>
  <si>
    <t>Sägemehl</t>
  </si>
  <si>
    <t>Miscanthus</t>
  </si>
  <si>
    <t>Nährstoffe durch</t>
  </si>
  <si>
    <r>
      <t>NH</t>
    </r>
    <r>
      <rPr>
        <vertAlign val="subscript"/>
        <sz val="10"/>
        <rFont val="Arial"/>
        <family val="2"/>
      </rPr>
      <t>4</t>
    </r>
    <r>
      <rPr>
        <sz val="10"/>
        <rFont val="Arial"/>
        <family val="2"/>
      </rPr>
      <t>-N</t>
    </r>
  </si>
  <si>
    <t>N Geh. Ohne Stroh</t>
  </si>
  <si>
    <t>Anfall Stroh (t /Jahr)</t>
  </si>
  <si>
    <t>Einstreumaterial</t>
  </si>
  <si>
    <t>Summe N</t>
  </si>
  <si>
    <t>P</t>
  </si>
  <si>
    <t>Berechnung Lagerraum und Nährstoffanfall</t>
  </si>
  <si>
    <t>Einstreu kg je GV und Tag abweichend</t>
  </si>
  <si>
    <t>Nähstoffgehalt Stroh kg/t abweichend</t>
  </si>
  <si>
    <t>Faktor Menge</t>
  </si>
  <si>
    <t>Nährstoffgehalt Stroh neu</t>
  </si>
  <si>
    <t>Anfall Stroh abweichend</t>
  </si>
  <si>
    <t>Stilllegung Acker</t>
  </si>
  <si>
    <t>Stilllegung GL</t>
  </si>
  <si>
    <t>mm/Jahr</t>
  </si>
  <si>
    <t>ha "nur" Verbot der org. Düng.</t>
  </si>
  <si>
    <t>Erläuterung zur Zuordnung der Tiergruppen vom Mehrfachantrag</t>
  </si>
  <si>
    <t>LfL-Programm</t>
  </si>
  <si>
    <r>
      <t xml:space="preserve">Nährstoffanfall Weide in kg </t>
    </r>
    <r>
      <rPr>
        <b/>
        <sz val="10"/>
        <rFont val="Arial"/>
        <family val="2"/>
      </rPr>
      <t>im Betrieb</t>
    </r>
  </si>
  <si>
    <t>Bezeichnung Weidefläche</t>
  </si>
  <si>
    <t>kg/ha</t>
  </si>
  <si>
    <t>Anfall feste Wirtschaftsdünger</t>
  </si>
  <si>
    <t>Fläche nach DüV (ha):</t>
  </si>
  <si>
    <t xml:space="preserve">    zusätzliche Ausbringflächen:</t>
  </si>
  <si>
    <t>2) LF abzüglich Flächen ohne Nutzung und ohne Düngung, abzüglich Flächen mit Verbot der org. Düngung:</t>
  </si>
  <si>
    <t>Eigene Gülle (ohne Separation)</t>
  </si>
  <si>
    <t>kg im Betrieb</t>
  </si>
  <si>
    <t xml:space="preserve">kg N/t </t>
  </si>
  <si>
    <r>
      <t>kg P</t>
    </r>
    <r>
      <rPr>
        <vertAlign val="subscript"/>
        <sz val="10"/>
        <rFont val="Arial"/>
        <family val="2"/>
      </rPr>
      <t>2</t>
    </r>
    <r>
      <rPr>
        <sz val="10"/>
        <rFont val="Arial"/>
        <family val="2"/>
      </rPr>
      <t>O</t>
    </r>
    <r>
      <rPr>
        <vertAlign val="subscript"/>
        <sz val="10"/>
        <rFont val="Arial"/>
        <family val="2"/>
      </rPr>
      <t>5</t>
    </r>
    <r>
      <rPr>
        <sz val="10"/>
        <rFont val="Arial"/>
        <family val="2"/>
      </rPr>
      <t>/t</t>
    </r>
  </si>
  <si>
    <r>
      <t>kg K</t>
    </r>
    <r>
      <rPr>
        <vertAlign val="subscript"/>
        <sz val="10"/>
        <rFont val="Arial"/>
        <family val="2"/>
      </rPr>
      <t>2</t>
    </r>
    <r>
      <rPr>
        <sz val="10"/>
        <rFont val="Arial"/>
        <family val="2"/>
      </rPr>
      <t>O</t>
    </r>
    <r>
      <rPr>
        <sz val="10"/>
        <rFont val="Arial"/>
        <family val="2"/>
      </rPr>
      <t>/t</t>
    </r>
  </si>
  <si>
    <t>Streuwiese</t>
  </si>
  <si>
    <t>Toleranz WDüngV</t>
  </si>
  <si>
    <t>Toleranz gesamt</t>
  </si>
  <si>
    <t>Auszubringende Menge im Betrieb</t>
  </si>
  <si>
    <t>nach Toleranz</t>
  </si>
  <si>
    <t>LF nach MFA</t>
  </si>
  <si>
    <t>davon GL</t>
  </si>
  <si>
    <t>Fläche Rechengang</t>
  </si>
  <si>
    <t>Fläche DüV</t>
  </si>
  <si>
    <t>** LF abzüglich Flächen ohne Nutzung und ohne Düngung, abzüglich Flächen mit Verbot der org. Düngung:</t>
  </si>
  <si>
    <t xml:space="preserve">Hinweis: Es müssen alle Werte vollständig eingetragen werden. </t>
  </si>
  <si>
    <t>ha zusätzliche Ausbringfläche</t>
  </si>
  <si>
    <t>Berechnung 170 kg N/ha Grenze</t>
  </si>
  <si>
    <t>Überschreitung nach DüV § 6 (170 kg N/ha)</t>
  </si>
  <si>
    <t>nach § 6</t>
  </si>
  <si>
    <t>N-Gehalt ohne Stroh</t>
  </si>
  <si>
    <t>inkl. Verluste</t>
  </si>
  <si>
    <t>inkl. Toleranz</t>
  </si>
  <si>
    <r>
      <t xml:space="preserve">für tierhaltende Betriebe mit Fläche  </t>
    </r>
    <r>
      <rPr>
        <sz val="12"/>
        <rFont val="Arial"/>
        <family val="2"/>
      </rPr>
      <t>(</t>
    </r>
    <r>
      <rPr>
        <b/>
        <sz val="12"/>
        <rFont val="Arial"/>
        <family val="2"/>
      </rPr>
      <t>ohne</t>
    </r>
    <r>
      <rPr>
        <sz val="12"/>
        <rFont val="Arial"/>
        <family val="2"/>
      </rPr>
      <t xml:space="preserve"> Biogas)</t>
    </r>
  </si>
  <si>
    <t>Niederschlagswasser und sonstige Abwässer mit Einleitung zum Wirtschaftsdünger</t>
  </si>
  <si>
    <t>Summe Lagerbehälter im Betrieb für flüssige und feste Wirtschaftsdünger in m³</t>
  </si>
  <si>
    <t>Menge Zu- und Verpacht von Lagerkapazität in m³</t>
  </si>
  <si>
    <t>Menge Betrieb in t/Jahr*</t>
  </si>
  <si>
    <t>Menge Betrieb in t/Jahr</t>
  </si>
  <si>
    <t>Ackerbetrieb 1), Stallhaltung</t>
  </si>
  <si>
    <t>Grünlandbetrieb 1), konventionell</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</si>
  <si>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</si>
  <si>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</si>
  <si>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</si>
  <si>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</si>
  <si>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</si>
  <si>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</si>
  <si>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</si>
  <si>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Alpaka</t>
  </si>
  <si>
    <t>51 Tierartengruppen</t>
  </si>
  <si>
    <t>tierart_1</t>
  </si>
  <si>
    <t>gv_duev</t>
  </si>
  <si>
    <t>ausscheidung_mittl_jahresbestand_n</t>
  </si>
  <si>
    <t>ausscheidung_mittl_jahresbestand_p2o5</t>
  </si>
  <si>
    <t>ausscheidung_mittl_jahresbestand_k2o</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</si>
  <si>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</si>
  <si>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</si>
  <si>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</si>
  <si>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(DüV)</t>
  </si>
  <si>
    <t>anfall_guelle_mittl_jahresbestand_duev</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</si>
  <si>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</si>
  <si>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</si>
  <si>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</si>
  <si>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</si>
  <si>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tm_guelle_duev</t>
  </si>
  <si>
    <t>einstreu_je_gv_mittl_jahresbestand_gering</t>
  </si>
  <si>
    <t>einstreu_je_gv_mittl_jahresbestand_mittel</t>
  </si>
  <si>
    <t>einstreu_je_gv_mittl_jahresbestand_hoch</t>
  </si>
  <si>
    <t>einstreu_gering_duev</t>
  </si>
  <si>
    <t>anfall_festmist_mittl_jahresbestand_gering_duev</t>
  </si>
  <si>
    <t>anfall_festmist_mittl_jahresbestand_mittel_duev</t>
  </si>
  <si>
    <t>anfall_festmist_mittl_jahresbestand_hoch_duev</t>
  </si>
  <si>
    <t>#tm_festmistanfall_gering_duev</t>
  </si>
  <si>
    <t>% TM</t>
  </si>
  <si>
    <t>Einstreumenge</t>
  </si>
  <si>
    <t>Festmistanfall</t>
  </si>
  <si>
    <t>in kg und Tag  (DüV)</t>
  </si>
  <si>
    <r>
      <t xml:space="preserve">in t und Jahr (DüV) </t>
    </r>
    <r>
      <rPr>
        <b/>
        <vertAlign val="superscript"/>
        <sz val="10"/>
        <color indexed="8"/>
        <rFont val="Arial"/>
        <family val="2"/>
      </rPr>
      <t>5)</t>
    </r>
  </si>
  <si>
    <r>
      <t xml:space="preserve">je mittl. Jahresbestand </t>
    </r>
    <r>
      <rPr>
        <vertAlign val="superscript"/>
        <sz val="10"/>
        <color indexed="8"/>
        <rFont val="Arial"/>
        <family val="2"/>
      </rPr>
      <t>2)</t>
    </r>
  </si>
  <si>
    <r>
      <t xml:space="preserve">je mittl. Jahresbestand </t>
    </r>
    <r>
      <rPr>
        <b/>
        <vertAlign val="superscript"/>
        <sz val="10"/>
        <color indexed="8"/>
        <rFont val="Arial"/>
        <family val="2"/>
      </rPr>
      <t>2)</t>
    </r>
  </si>
  <si>
    <t>DüV</t>
  </si>
  <si>
    <t>Anfall gering</t>
  </si>
  <si>
    <t>anfall_jauche_mittl_jahresbestand_duev</t>
  </si>
  <si>
    <t>tm_jauche_duev</t>
  </si>
  <si>
    <t>verluste_stalllager_guelle</t>
  </si>
  <si>
    <t>verluste_stalllager_festmist_jauche</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</si>
  <si>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</si>
  <si>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</si>
  <si>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Mist, Jauche</t>
  </si>
  <si>
    <t xml:space="preserve">hoch (DüV) </t>
  </si>
  <si>
    <t xml:space="preserve"> DüV</t>
  </si>
  <si>
    <t>Rinderjauche (1,8 % TM)</t>
  </si>
  <si>
    <t xml:space="preserve">Mastschweinegülle (5 % TM), Standardfutter </t>
  </si>
  <si>
    <t>Mastschweinegülle (5 % TM), stark N-/P-red. Fütterung</t>
  </si>
  <si>
    <t>Zuchtsauengülle (5 % TM), Standardfutter</t>
  </si>
  <si>
    <t>Zuchtsauengülle (5 % TM), stark N-/P-red. Fütterung</t>
  </si>
  <si>
    <t>Schweinemist, geringe Einstreu (21 % TM)</t>
  </si>
  <si>
    <t>Schweinemist, hohe Einstreu (25 % TM)</t>
  </si>
  <si>
    <t>Schweinejauche (1,8 % TM)</t>
  </si>
  <si>
    <t>Pekingenten- und Gänsemist (30 % TM)</t>
  </si>
  <si>
    <t>Schaf-, Lama-, Alpaka- und Ziegenmist (30 % TM)</t>
  </si>
  <si>
    <t>Rindermist, geringe Einstreu (18,5 % TM)</t>
  </si>
  <si>
    <t>Rindermist, hohe Einstreu (23 % TM)</t>
  </si>
  <si>
    <t>gehalt_fm_nges</t>
  </si>
  <si>
    <t>gehalt_fm_p2o5</t>
  </si>
  <si>
    <t>gehalt_fm_k2o</t>
  </si>
  <si>
    <r>
      <t>N</t>
    </r>
    <r>
      <rPr>
        <b/>
        <vertAlign val="subscript"/>
        <sz val="10"/>
        <color theme="1"/>
        <rFont val="Arial"/>
        <family val="2"/>
      </rPr>
      <t>gesamt</t>
    </r>
  </si>
  <si>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</si>
  <si>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</si>
  <si>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orgduenger_art2</t>
  </si>
  <si>
    <t>orgduenger_art3</t>
  </si>
  <si>
    <t>Rebenhäcksel (Hopfen) (27 % TM)</t>
  </si>
  <si>
    <t>pflanzliche Herkunft</t>
  </si>
  <si>
    <t>Nährstoffgehalt Jauche</t>
  </si>
  <si>
    <t>kg/m³</t>
  </si>
  <si>
    <t>Separiert fest</t>
  </si>
  <si>
    <t xml:space="preserve">Berechnete Werte </t>
  </si>
  <si>
    <t xml:space="preserve">Anfall Mist </t>
  </si>
  <si>
    <t>ohne Abweichung</t>
  </si>
  <si>
    <t>Anfall hoch</t>
  </si>
  <si>
    <t>Anfall Mittel</t>
  </si>
  <si>
    <t xml:space="preserve">  Milchkuh ohne Kalb</t>
  </si>
  <si>
    <t xml:space="preserve">  Jungsaueneingliederung, N-/P- reduziert</t>
  </si>
  <si>
    <t xml:space="preserve">  Jungsaueneingliederung, Standard</t>
  </si>
  <si>
    <t xml:space="preserve">  Mastschweine (750 g TZ), Standard</t>
  </si>
  <si>
    <t xml:space="preserve">  Mastschweine (750 g TZ), N-/P-reduziert</t>
  </si>
  <si>
    <t xml:space="preserve">  Damwild mit Nachzucht</t>
  </si>
  <si>
    <t xml:space="preserve">  Rotwild mit Nachzucht</t>
  </si>
  <si>
    <t xml:space="preserve">  Lama</t>
  </si>
  <si>
    <t xml:space="preserve">  Alpaka</t>
  </si>
  <si>
    <t>Gemarkungs- nummer</t>
  </si>
  <si>
    <t>Gemarkungsname</t>
  </si>
  <si>
    <t>Mittlerer Jahresniederschlag 2011-2020 (mm)</t>
  </si>
  <si>
    <t>Stadtschwarzach</t>
  </si>
  <si>
    <t>Kolitzheim</t>
  </si>
  <si>
    <t>Mainsondheim</t>
  </si>
  <si>
    <t>Gerlachshausen</t>
  </si>
  <si>
    <t>Schwarzenau</t>
  </si>
  <si>
    <t>Zeilitzheim</t>
  </si>
  <si>
    <t>Astheim</t>
  </si>
  <si>
    <t>Albertshofen</t>
  </si>
  <si>
    <t>Sommerach</t>
  </si>
  <si>
    <t>Oberspiesheim</t>
  </si>
  <si>
    <t>Unterspiesheim</t>
  </si>
  <si>
    <t>Segnitz</t>
  </si>
  <si>
    <t>Gaibach</t>
  </si>
  <si>
    <t>Marktsteft</t>
  </si>
  <si>
    <t>Heidenfeld</t>
  </si>
  <si>
    <t>Volkach</t>
  </si>
  <si>
    <t>Klosterforst</t>
  </si>
  <si>
    <t>Grafenrheinfeld</t>
  </si>
  <si>
    <t>Schwebheim</t>
  </si>
  <si>
    <t>Escherndorf</t>
  </si>
  <si>
    <t>Herlheim</t>
  </si>
  <si>
    <t>Fahr</t>
  </si>
  <si>
    <t>Haidt</t>
  </si>
  <si>
    <t>Hirschfeld</t>
  </si>
  <si>
    <t>Mainstockheim</t>
  </si>
  <si>
    <t>Gernach</t>
  </si>
  <si>
    <t>Marktbreit</t>
  </si>
  <si>
    <t>Ochsenfurt</t>
  </si>
  <si>
    <t>Dettelbach</t>
  </si>
  <si>
    <t>Lindach</t>
  </si>
  <si>
    <t>Iffigheim</t>
  </si>
  <si>
    <t>Oberndorf</t>
  </si>
  <si>
    <t>Hoheim</t>
  </si>
  <si>
    <t>Stammheim</t>
  </si>
  <si>
    <t>Michelfeld</t>
  </si>
  <si>
    <t>Nordheim a.Main</t>
  </si>
  <si>
    <t>Bergrheinfeld</t>
  </si>
  <si>
    <t>Schnepfenbach</t>
  </si>
  <si>
    <t>Obervolkach</t>
  </si>
  <si>
    <t>Obernbreit</t>
  </si>
  <si>
    <t>Schernau</t>
  </si>
  <si>
    <t>Eichelsee</t>
  </si>
  <si>
    <t>Wipfeld</t>
  </si>
  <si>
    <t>Dimbach</t>
  </si>
  <si>
    <t>Obereisenheim</t>
  </si>
  <si>
    <t>Ammerndorf</t>
  </si>
  <si>
    <t>Hohenfeld</t>
  </si>
  <si>
    <t>Garstadt</t>
  </si>
  <si>
    <t>Winterhausen</t>
  </si>
  <si>
    <t>Hallburg</t>
  </si>
  <si>
    <t>Herreth</t>
  </si>
  <si>
    <t>Sommerhausen</t>
  </si>
  <si>
    <t>Sennfeld</t>
  </si>
  <si>
    <t>Kaltenbrunn</t>
  </si>
  <si>
    <t>Sickershausen</t>
  </si>
  <si>
    <t>Ipthausen</t>
  </si>
  <si>
    <t>Atzhausen</t>
  </si>
  <si>
    <t>Eibelstadt</t>
  </si>
  <si>
    <t>Alitzheim</t>
  </si>
  <si>
    <t>Irmelshausen</t>
  </si>
  <si>
    <t>Rittershausen</t>
  </si>
  <si>
    <t>Sulzfeld a.Main</t>
  </si>
  <si>
    <t>Grettstadt</t>
  </si>
  <si>
    <t>Ettleben</t>
  </si>
  <si>
    <t>Gochsheim</t>
  </si>
  <si>
    <t>Osthausen</t>
  </si>
  <si>
    <t>Untereuerheim</t>
  </si>
  <si>
    <t>Reupelsdorf</t>
  </si>
  <si>
    <t>Weinzierlein</t>
  </si>
  <si>
    <t>Hopferstadt</t>
  </si>
  <si>
    <t>Mainbernheim</t>
  </si>
  <si>
    <t>Bolzhausen</t>
  </si>
  <si>
    <t>Bibergau</t>
  </si>
  <si>
    <t>Sulzheim</t>
  </si>
  <si>
    <t>Kleinlangheim</t>
  </si>
  <si>
    <t>Euerfeld</t>
  </si>
  <si>
    <t>Hergolshausen</t>
  </si>
  <si>
    <t>Untereisenheim</t>
  </si>
  <si>
    <t>Neusetz</t>
  </si>
  <si>
    <t>Illesheim</t>
  </si>
  <si>
    <t>Hohestadt</t>
  </si>
  <si>
    <t>Merkershausen</t>
  </si>
  <si>
    <t>Schnackenwerth</t>
  </si>
  <si>
    <t>Frickenhausen a.Main</t>
  </si>
  <si>
    <t>Tiefenstockheim</t>
  </si>
  <si>
    <t>Neuses a.Berg</t>
  </si>
  <si>
    <t>Prosselsheim</t>
  </si>
  <si>
    <t>Oberpleichfeld</t>
  </si>
  <si>
    <t>Lahm</t>
  </si>
  <si>
    <t>Geldersheim</t>
  </si>
  <si>
    <t>Urfersheim</t>
  </si>
  <si>
    <t>Rossach</t>
  </si>
  <si>
    <t>Werneck</t>
  </si>
  <si>
    <t>Weyer</t>
  </si>
  <si>
    <t>Leonrod</t>
  </si>
  <si>
    <t>Lipprichhausen</t>
  </si>
  <si>
    <t>Langenzenn</t>
  </si>
  <si>
    <t>Gnodstadt</t>
  </si>
  <si>
    <t>Heidingsfeld</t>
  </si>
  <si>
    <t>Kleineibstadt</t>
  </si>
  <si>
    <t>Stadel</t>
  </si>
  <si>
    <t>Schottenstein</t>
  </si>
  <si>
    <t>Martinsheim</t>
  </si>
  <si>
    <t>Gelchsheim</t>
  </si>
  <si>
    <t>Ottelmannshausen</t>
  </si>
  <si>
    <t>Kleinbardorf</t>
  </si>
  <si>
    <t>Buchbrunn</t>
  </si>
  <si>
    <t>Kleinochsenfurt</t>
  </si>
  <si>
    <t>Randersacker</t>
  </si>
  <si>
    <t>Schirnding</t>
  </si>
  <si>
    <t>Seinsheim</t>
  </si>
  <si>
    <t>Fischern</t>
  </si>
  <si>
    <t>Kleinbrach</t>
  </si>
  <si>
    <t>Ippesheim</t>
  </si>
  <si>
    <t>Krautheim</t>
  </si>
  <si>
    <t>Rimbach</t>
  </si>
  <si>
    <t>Unterpleichfeld</t>
  </si>
  <si>
    <t>Draisdorf</t>
  </si>
  <si>
    <t>Eisingen</t>
  </si>
  <si>
    <t>Waigolshausen</t>
  </si>
  <si>
    <t>Bad Windsheim</t>
  </si>
  <si>
    <t>Laubendorf</t>
  </si>
  <si>
    <t>Neuhof a.d.Zenn</t>
  </si>
  <si>
    <t>Estenfeld</t>
  </si>
  <si>
    <t>Willanzheim</t>
  </si>
  <si>
    <t>Gerbrunn</t>
  </si>
  <si>
    <t>Lengfeld</t>
  </si>
  <si>
    <t>Feuerbach</t>
  </si>
  <si>
    <t>Niederwerrn</t>
  </si>
  <si>
    <t>Dietenhofen</t>
  </si>
  <si>
    <t>Rottendorf</t>
  </si>
  <si>
    <t>Gabolshausen</t>
  </si>
  <si>
    <t>Markt Herrnsheim</t>
  </si>
  <si>
    <t>Obereuerheim</t>
  </si>
  <si>
    <t>Herrnberchtheim</t>
  </si>
  <si>
    <t>Berolzheim</t>
  </si>
  <si>
    <t>Acholshausen</t>
  </si>
  <si>
    <t>Bergtheim</t>
  </si>
  <si>
    <t>Buch</t>
  </si>
  <si>
    <t>Herpersdorf b.Dietenhofen</t>
  </si>
  <si>
    <t>Bad Staffelstein</t>
  </si>
  <si>
    <t>Hirschneuses</t>
  </si>
  <si>
    <t>Oellingen</t>
  </si>
  <si>
    <t>Zeuzleben</t>
  </si>
  <si>
    <t>Opferbaum</t>
  </si>
  <si>
    <t>Wilhermsdorf</t>
  </si>
  <si>
    <t>Rothausen</t>
  </si>
  <si>
    <t>Rundelshausen</t>
  </si>
  <si>
    <t>Gollachostheim</t>
  </si>
  <si>
    <t>Lenkersheim</t>
  </si>
  <si>
    <t>Sonderhofen</t>
  </si>
  <si>
    <t>Wolkshausen</t>
  </si>
  <si>
    <t>Mellrichstadt</t>
  </si>
  <si>
    <t>Unterzettlitz</t>
  </si>
  <si>
    <t>Dambach</t>
  </si>
  <si>
    <t>Ebersdorf</t>
  </si>
  <si>
    <t>Poppenreuth</t>
  </si>
  <si>
    <t>Reundorf</t>
  </si>
  <si>
    <t>Zeubelried</t>
  </si>
  <si>
    <t>Oberwerrn</t>
  </si>
  <si>
    <t>Rottenbauer</t>
  </si>
  <si>
    <t>Breitensee</t>
  </si>
  <si>
    <t>Dachsbach</t>
  </si>
  <si>
    <t>Waldbrunn</t>
  </si>
  <si>
    <t>Oberasbach</t>
  </si>
  <si>
    <t>Kairlindach</t>
  </si>
  <si>
    <t>Ottenhofen</t>
  </si>
  <si>
    <t>Gollmuthhausen</t>
  </si>
  <si>
    <t>Gollhofen</t>
  </si>
  <si>
    <t>Enheim</t>
  </si>
  <si>
    <t>Pfahlenheim</t>
  </si>
  <si>
    <t>Frankenwinheim</t>
  </si>
  <si>
    <t>Ickelheim</t>
  </si>
  <si>
    <t>Horhausen</t>
  </si>
  <si>
    <t>Leichendorf</t>
  </si>
  <si>
    <t>Horbach</t>
  </si>
  <si>
    <t>Dittelbrunn</t>
  </si>
  <si>
    <t>Effeldorf</t>
  </si>
  <si>
    <t>Lohr</t>
  </si>
  <si>
    <t>Neudorf</t>
  </si>
  <si>
    <t>Schmachtenberg</t>
  </si>
  <si>
    <t>Unternzenn</t>
  </si>
  <si>
    <t>Pusselsheim</t>
  </si>
  <si>
    <t>Brackenlohr</t>
  </si>
  <si>
    <t>Kaltensondheim</t>
  </si>
  <si>
    <t>Inching</t>
  </si>
  <si>
    <t>Stadeln</t>
  </si>
  <si>
    <t>Darstadt</t>
  </si>
  <si>
    <t>Euerbach</t>
  </si>
  <si>
    <t>Ronhof</t>
  </si>
  <si>
    <t>Eichfeld</t>
  </si>
  <si>
    <t>Sterpersdorf</t>
  </si>
  <si>
    <t>Seubersdorf</t>
  </si>
  <si>
    <t>Bullenheim</t>
  </si>
  <si>
    <t>Theilheim</t>
  </si>
  <si>
    <t>Unterickelsheim</t>
  </si>
  <si>
    <t>Rodheim</t>
  </si>
  <si>
    <t>Herbstadt</t>
  </si>
  <si>
    <t>Aubstadt</t>
  </si>
  <si>
    <t>Wiebelsheim</t>
  </si>
  <si>
    <t>Ipsheim</t>
  </si>
  <si>
    <t>Unterschlauersbach</t>
  </si>
  <si>
    <t>Repperndorf</t>
  </si>
  <si>
    <t>Unterfarrnbach</t>
  </si>
  <si>
    <t>Kirchfarrnbach</t>
  </si>
  <si>
    <t>Kirchfembach</t>
  </si>
  <si>
    <t>Schwanfeld</t>
  </si>
  <si>
    <t>Hemmersheim</t>
  </si>
  <si>
    <t>Dottenheim</t>
  </si>
  <si>
    <t>Limbach</t>
  </si>
  <si>
    <t>Sack</t>
  </si>
  <si>
    <t>Oberstreu</t>
  </si>
  <si>
    <t>Dippoldsberg</t>
  </si>
  <si>
    <t>Unteraltenbernheim</t>
  </si>
  <si>
    <t>Erlach</t>
  </si>
  <si>
    <t>Oberickelsheim</t>
  </si>
  <si>
    <t>Eckartshausen</t>
  </si>
  <si>
    <t>Ottendorf</t>
  </si>
  <si>
    <t>Weitersdorf</t>
  </si>
  <si>
    <t>Simmershofen</t>
  </si>
  <si>
    <t>Reinersdorf</t>
  </si>
  <si>
    <t>Pahres</t>
  </si>
  <si>
    <t>Oberfeldbrecht</t>
  </si>
  <si>
    <t>Adelhofen</t>
  </si>
  <si>
    <t>Gostenhof</t>
  </si>
  <si>
    <t>Schweinsdorf</t>
  </si>
  <si>
    <t>Diespeck</t>
  </si>
  <si>
    <t>Biengarten</t>
  </si>
  <si>
    <t>Schleerieth</t>
  </si>
  <si>
    <t>Boxdorf</t>
  </si>
  <si>
    <t>Krautostheim</t>
  </si>
  <si>
    <t>Gremsdorf</t>
  </si>
  <si>
    <t>Katterbach</t>
  </si>
  <si>
    <t>Buchschwabach</t>
  </si>
  <si>
    <t>Kraftshof</t>
  </si>
  <si>
    <t>Giebelstadt</t>
  </si>
  <si>
    <t>Schweinau</t>
  </si>
  <si>
    <t>Junkershausen</t>
  </si>
  <si>
    <t>Maidbronn</t>
  </si>
  <si>
    <t>Weidenbach</t>
  </si>
  <si>
    <t>Westheim</t>
  </si>
  <si>
    <t>Ornbau</t>
  </si>
  <si>
    <t>Wasserlosen</t>
  </si>
  <si>
    <t>Memmelsdorf i.UFr.</t>
  </si>
  <si>
    <t>Eibach</t>
  </si>
  <si>
    <t>Buchheim</t>
  </si>
  <si>
    <t>Geckenheim</t>
  </si>
  <si>
    <t>Deberndorf</t>
  </si>
  <si>
    <t>Kaubenheim</t>
  </si>
  <si>
    <t>Biebelried</t>
  </si>
  <si>
    <t>Oberlindach</t>
  </si>
  <si>
    <t>Reichelsdorf</t>
  </si>
  <si>
    <t>Schwarzenbach</t>
  </si>
  <si>
    <t>St.Johannis</t>
  </si>
  <si>
    <t>Saltendorf a.d.Naab</t>
  </si>
  <si>
    <t>Reusch</t>
  </si>
  <si>
    <t>Burgfarrnbach</t>
  </si>
  <si>
    <t>Nedensdorf</t>
  </si>
  <si>
    <t>Lindelbach</t>
  </si>
  <si>
    <t>Hesselberg</t>
  </si>
  <si>
    <t>Aub</t>
  </si>
  <si>
    <t>Kronungen</t>
  </si>
  <si>
    <t>Schnepfenreuth</t>
  </si>
  <si>
    <t>Bahra</t>
  </si>
  <si>
    <t>Birkenfeld</t>
  </si>
  <si>
    <t>Hohenburg</t>
  </si>
  <si>
    <t>Gerhardshofen</t>
  </si>
  <si>
    <t>Dachelhofen</t>
  </si>
  <si>
    <t>Mailach</t>
  </si>
  <si>
    <t>Busendorf</t>
  </si>
  <si>
    <t>Schniegling</t>
  </si>
  <si>
    <t>Reichenberg</t>
  </si>
  <si>
    <t>Kraisdorf</t>
  </si>
  <si>
    <t>Dietersheim</t>
  </si>
  <si>
    <t>Sondernohe</t>
  </si>
  <si>
    <t>Hollstadt</t>
  </si>
  <si>
    <t>Kleinhaslach</t>
  </si>
  <si>
    <t>Seukendorf</t>
  </si>
  <si>
    <t>Obernzenn</t>
  </si>
  <si>
    <t>Falkendorf</t>
  </si>
  <si>
    <t>Sternberg i.Grabfeld</t>
  </si>
  <si>
    <t>Gallmersgarten</t>
  </si>
  <si>
    <t>Unterneuses</t>
  </si>
  <si>
    <t>Augsfeld</t>
  </si>
  <si>
    <t>Unsleben</t>
  </si>
  <si>
    <t>Saal a.d.Saale</t>
  </si>
  <si>
    <t>Lindflur</t>
  </si>
  <si>
    <t>Keidenzell</t>
  </si>
  <si>
    <t>Gemeinfeld</t>
  </si>
  <si>
    <t>Trimberg</t>
  </si>
  <si>
    <t>Sondheim</t>
  </si>
  <si>
    <t>Oberntief</t>
  </si>
  <si>
    <t>Wetzendorf</t>
  </si>
  <si>
    <t>Greuth</t>
  </si>
  <si>
    <t>Hausen</t>
  </si>
  <si>
    <t>Untertheres</t>
  </si>
  <si>
    <t>Baldersheim</t>
  </si>
  <si>
    <t>Heustreu</t>
  </si>
  <si>
    <t>Weppersdorf</t>
  </si>
  <si>
    <t>Ettmannsdorf</t>
  </si>
  <si>
    <t>Versbach</t>
  </si>
  <si>
    <t>Hannberg</t>
  </si>
  <si>
    <t>Eschenbach</t>
  </si>
  <si>
    <t>Herchsheim</t>
  </si>
  <si>
    <t>Zirndorf</t>
  </si>
  <si>
    <t>Mittelstreu</t>
  </si>
  <si>
    <t>Rohr</t>
  </si>
  <si>
    <t>Dipbach</t>
  </si>
  <si>
    <t>Fuchsstadt</t>
  </si>
  <si>
    <t>Klardorf</t>
  </si>
  <si>
    <t>Hagenau</t>
  </si>
  <si>
    <t>Junkersdorf a.d.Weisach</t>
  </si>
  <si>
    <t>Freiberg</t>
  </si>
  <si>
    <t>Gern</t>
  </si>
  <si>
    <t>Walddachsbach</t>
  </si>
  <si>
    <t>Mailheim</t>
  </si>
  <si>
    <t>Aisch</t>
  </si>
  <si>
    <t>Laub</t>
  </si>
  <si>
    <t>Weisendorf</t>
  </si>
  <si>
    <t>Katzwang</t>
  </si>
  <si>
    <t>Lonnerstadt</t>
  </si>
  <si>
    <t>Boxbrunn</t>
  </si>
  <si>
    <t>Veitsbronn</t>
  </si>
  <si>
    <t>Bad Neustadt a.d.Saale</t>
  </si>
  <si>
    <t>Sauerheim</t>
  </si>
  <si>
    <t>Tafelhof</t>
  </si>
  <si>
    <t>Betzendorf</t>
  </si>
  <si>
    <t>Reinhardshofen</t>
  </si>
  <si>
    <t>Oberlauringen</t>
  </si>
  <si>
    <t>Teublitz</t>
  </si>
  <si>
    <t>Waltershausen</t>
  </si>
  <si>
    <t>Bieberehren</t>
  </si>
  <si>
    <t>Hohn</t>
  </si>
  <si>
    <t>Weingarten</t>
  </si>
  <si>
    <t>Erlabrunn</t>
  </si>
  <si>
    <t>Wetzhausen</t>
  </si>
  <si>
    <t>Hammerbach</t>
  </si>
  <si>
    <t>Schonungen</t>
  </si>
  <si>
    <t>Kleinrheinfeld</t>
  </si>
  <si>
    <t>Waldsassen</t>
  </si>
  <si>
    <t>Hohlach</t>
  </si>
  <si>
    <t>Tugendorf</t>
  </si>
  <si>
    <t>Tauberscheckenbach</t>
  </si>
  <si>
    <t>Wettringen</t>
  </si>
  <si>
    <t>Sulzfeld</t>
  </si>
  <si>
    <t>Neuhaus</t>
  </si>
  <si>
    <t>Alsleben</t>
  </si>
  <si>
    <t>Sulzdorf</t>
  </si>
  <si>
    <t>Equarhofen</t>
  </si>
  <si>
    <t>Buchklingen</t>
  </si>
  <si>
    <t>Ingolstadt i.UFr.</t>
  </si>
  <si>
    <t>Allersheim</t>
  </si>
  <si>
    <t>Humprechtsau</t>
  </si>
  <si>
    <t>Birnbaum</t>
  </si>
  <si>
    <t>Emskirchen</t>
  </si>
  <si>
    <t>Burgberg</t>
  </si>
  <si>
    <t>Neuenreuth a.Main</t>
  </si>
  <si>
    <t>Hendungen</t>
  </si>
  <si>
    <t>Stein</t>
  </si>
  <si>
    <t>Hirschlach</t>
  </si>
  <si>
    <t>Poppenhausen</t>
  </si>
  <si>
    <t>Euerhausen</t>
  </si>
  <si>
    <t>Bronnamberg</t>
  </si>
  <si>
    <t>Burgerroth</t>
  </si>
  <si>
    <t>Uffenheim</t>
  </si>
  <si>
    <t>Wonfurt</t>
  </si>
  <si>
    <t>Almoshof</t>
  </si>
  <si>
    <t>Untereschenbach</t>
  </si>
  <si>
    <t>Galgenhof</t>
  </si>
  <si>
    <t>Sachsenheim</t>
  </si>
  <si>
    <t>Welsberg</t>
  </si>
  <si>
    <t>Dettendorf</t>
  </si>
  <si>
    <t>Cadolzburg</t>
  </si>
  <si>
    <t>Steinbach</t>
  </si>
  <si>
    <t>Eyershausen</t>
  </si>
  <si>
    <t>Altheim</t>
  </si>
  <si>
    <t>Schmellnricht</t>
  </si>
  <si>
    <t>Marbach</t>
  </si>
  <si>
    <t>Rieden</t>
  </si>
  <si>
    <t>Maibach</t>
  </si>
  <si>
    <t>Ebensfeld</t>
  </si>
  <si>
    <t>Schambach</t>
  </si>
  <si>
    <t>Roth a.d.Saale</t>
  </si>
  <si>
    <t>Burgpreppach</t>
  </si>
  <si>
    <t>Adelsdorf</t>
  </si>
  <si>
    <t>Albertshausen</t>
  </si>
  <si>
    <t>Hain</t>
  </si>
  <si>
    <t>Deuerling</t>
  </si>
  <si>
    <t>Trautskirchen</t>
  </si>
  <si>
    <t>Happertshausen</t>
  </si>
  <si>
    <t>Oberhohenried</t>
  </si>
  <si>
    <t>Zentbechhofen</t>
  </si>
  <si>
    <t>Langensteinach</t>
  </si>
  <si>
    <t>Steinach a.d.Ens</t>
  </si>
  <si>
    <t>Egenhausen</t>
  </si>
  <si>
    <t>Stadtlauringen</t>
  </si>
  <si>
    <t>Seubrigshausen</t>
  </si>
  <si>
    <t>Pommersfelden</t>
  </si>
  <si>
    <t>Wiesenbronn</t>
  </si>
  <si>
    <t>Siedelbach</t>
  </si>
  <si>
    <t>Vach</t>
  </si>
  <si>
    <t>Uttstadt</t>
  </si>
  <si>
    <t>Brendlorenzen</t>
  </si>
  <si>
    <t>Pfaffendorf</t>
  </si>
  <si>
    <t>Schauerberg</t>
  </si>
  <si>
    <t>Schallfeld</t>
  </si>
  <si>
    <t>Diebach</t>
  </si>
  <si>
    <t>Brunn</t>
  </si>
  <si>
    <t>Uehlfeld</t>
  </si>
  <si>
    <t>Ebern</t>
  </si>
  <si>
    <t>Etzelskirchen</t>
  </si>
  <si>
    <t>Neundorf</t>
  </si>
  <si>
    <t>Wechingen</t>
  </si>
  <si>
    <t>Weichtungen</t>
  </si>
  <si>
    <t>Gibitzenhof</t>
  </si>
  <si>
    <t>Burggrumbach</t>
  </si>
  <si>
    <t>Obermerzbach</t>
  </si>
  <si>
    <t>Wallmersbach</t>
  </si>
  <si>
    <t>Friesenhausen</t>
  </si>
  <si>
    <t>Worzeldorf</t>
  </si>
  <si>
    <t>Hartershofen</t>
  </si>
  <si>
    <t>Hammelburg</t>
  </si>
  <si>
    <t>St.Peter</t>
  </si>
  <si>
    <t>Wilhelmsdorf</t>
  </si>
  <si>
    <t>Eggenbach</t>
  </si>
  <si>
    <t>Wiesentheid</t>
  </si>
  <si>
    <t>Merlach</t>
  </si>
  <si>
    <t>Wermerichshausen</t>
  </si>
  <si>
    <t>Landershofen</t>
  </si>
  <si>
    <t>Fetzelhofen</t>
  </si>
  <si>
    <t>Pirkensee</t>
  </si>
  <si>
    <t>Herbolzheim</t>
  </si>
  <si>
    <t>Uttenhofen</t>
  </si>
  <si>
    <t>Dampfach</t>
  </si>
  <si>
    <t>Sand a.Main</t>
  </si>
  <si>
    <t>Frimmersdorf</t>
  </si>
  <si>
    <t>Trappstadt</t>
  </si>
  <si>
    <t>Maidbronner Wald</t>
  </si>
  <si>
    <t>Kleinwenkheim</t>
  </si>
  <si>
    <t>Altbessingen</t>
  </si>
  <si>
    <t>Katzdorf</t>
  </si>
  <si>
    <t>Auernhofen</t>
  </si>
  <si>
    <t>Wiesen</t>
  </si>
  <si>
    <t>Walchenfeld</t>
  </si>
  <si>
    <t>Kirchheim</t>
  </si>
  <si>
    <t>Knetzgau</t>
  </si>
  <si>
    <t>Walkershofen</t>
  </si>
  <si>
    <t>Habelsee</t>
  </si>
  <si>
    <t>Gleismuthhausen</t>
  </si>
  <si>
    <t>Leidendorf</t>
  </si>
  <si>
    <t>Zeil a.Main</t>
  </si>
  <si>
    <t>Euerdorf</t>
  </si>
  <si>
    <t>Obertheres</t>
  </si>
  <si>
    <t>Unnersdorf</t>
  </si>
  <si>
    <t>Willersdorf</t>
  </si>
  <si>
    <t>Ohrenbach</t>
  </si>
  <si>
    <t>Deutenheim</t>
  </si>
  <si>
    <t>Hofheim i.UFr.</t>
  </si>
  <si>
    <t>Herschfeld</t>
  </si>
  <si>
    <t>Neustadt a.d.Aisch</t>
  </si>
  <si>
    <t>Eltersdorf</t>
  </si>
  <si>
    <t>Gutenstetten</t>
  </si>
  <si>
    <t>Herzogenaurach</t>
  </si>
  <si>
    <t>Unterbissingen</t>
  </si>
  <si>
    <t>Bundorf</t>
  </si>
  <si>
    <t>Neunhof</t>
  </si>
  <si>
    <t>Rothhausen</t>
  </si>
  <si>
    <t>Jobstgreuth</t>
  </si>
  <si>
    <t>Altdrossenfeld</t>
  </si>
  <si>
    <t>Wollbach</t>
  </si>
  <si>
    <t>Welbhausen</t>
  </si>
  <si>
    <t>Gunzendorf</t>
  </si>
  <si>
    <t>Thundorf i.UFr.</t>
  </si>
  <si>
    <t>Badanhausen</t>
  </si>
  <si>
    <t>Harrbach</t>
  </si>
  <si>
    <t>Oberaltenbernheim</t>
  </si>
  <si>
    <t>Hallstadt</t>
  </si>
  <si>
    <t>Pfarrweisach</t>
  </si>
  <si>
    <t>Sommersdorf</t>
  </si>
  <si>
    <t>Losaurach</t>
  </si>
  <si>
    <t>Prappach</t>
  </si>
  <si>
    <t>Donnersdorf</t>
  </si>
  <si>
    <t>Hellingen</t>
  </si>
  <si>
    <t>Schlungenhof</t>
  </si>
  <si>
    <t>Staffelbach</t>
  </si>
  <si>
    <t>Mainberg</t>
  </si>
  <si>
    <t>Eichelberg</t>
  </si>
  <si>
    <t>Pirkach</t>
  </si>
  <si>
    <t>Unterbrunn</t>
  </si>
  <si>
    <t>Penzendorf</t>
  </si>
  <si>
    <t>Haasgang</t>
  </si>
  <si>
    <t>Ottmaring</t>
  </si>
  <si>
    <t>Michelau i.OFr.</t>
  </si>
  <si>
    <t>Etting</t>
  </si>
  <si>
    <t>Holzkirchen</t>
  </si>
  <si>
    <t>Karlstadt</t>
  </si>
  <si>
    <t>Niederndorf</t>
  </si>
  <si>
    <t>Fronberg</t>
  </si>
  <si>
    <t>Buchenrod</t>
  </si>
  <si>
    <t>Ebelsbach</t>
  </si>
  <si>
    <t>Zell a.Main</t>
  </si>
  <si>
    <t>Wiesendorf</t>
  </si>
  <si>
    <t>Aufstetten</t>
  </si>
  <si>
    <t>Neidhardswinden</t>
  </si>
  <si>
    <t>Markt Erlbach</t>
  </si>
  <si>
    <t>Thon</t>
  </si>
  <si>
    <t>Weihenzell</t>
  </si>
  <si>
    <t>Wachenroth</t>
  </si>
  <si>
    <t>Burgbernheim</t>
  </si>
  <si>
    <t>Ebing</t>
  </si>
  <si>
    <t>Laubenzedel</t>
  </si>
  <si>
    <t>Steinsfeld</t>
  </si>
  <si>
    <t>Sambach</t>
  </si>
  <si>
    <t>Herrnneuses</t>
  </si>
  <si>
    <t>Ergersheim</t>
  </si>
  <si>
    <t>Trennfeld</t>
  </si>
  <si>
    <t>Brebersdorf</t>
  </si>
  <si>
    <t>Riedenheim</t>
  </si>
  <si>
    <t>Dietersdorf</t>
  </si>
  <si>
    <t>Gaishardt</t>
  </si>
  <si>
    <t>Garitz</t>
  </si>
  <si>
    <t>Beerbach</t>
  </si>
  <si>
    <t>Bonnhof</t>
  </si>
  <si>
    <t>Heglau</t>
  </si>
  <si>
    <t>Heilgersdorf</t>
  </si>
  <si>
    <t>Pfersdorf</t>
  </si>
  <si>
    <t>Unterleiterbach</t>
  </si>
  <si>
    <t>Wachenhofen</t>
  </si>
  <si>
    <t>Kriegenbrunn</t>
  </si>
  <si>
    <t>Forst</t>
  </si>
  <si>
    <t>Burglengenfeld</t>
  </si>
  <si>
    <t>Weigler</t>
  </si>
  <si>
    <t>Serrfeld</t>
  </si>
  <si>
    <t>Klausaurach</t>
  </si>
  <si>
    <t>Rennhofen</t>
  </si>
  <si>
    <t>Zell</t>
  </si>
  <si>
    <t>Rudelstetten</t>
  </si>
  <si>
    <t>Salz</t>
  </si>
  <si>
    <t>Nenzenheim</t>
  </si>
  <si>
    <t>Krondorf</t>
  </si>
  <si>
    <t>Ezelheim</t>
  </si>
  <si>
    <t>Kimmelsbach</t>
  </si>
  <si>
    <t>Neuenmuhr</t>
  </si>
  <si>
    <t>Kemmern</t>
  </si>
  <si>
    <t>Aura a.d.Saale</t>
  </si>
  <si>
    <t>Zellingen</t>
  </si>
  <si>
    <t>Schauerheim</t>
  </si>
  <si>
    <t>Treinfeld</t>
  </si>
  <si>
    <t>Unterasbach</t>
  </si>
  <si>
    <t>Wernsbach b.Ansbach</t>
  </si>
  <si>
    <t>Nordenberg</t>
  </si>
  <si>
    <t>Hattersdorf</t>
  </si>
  <si>
    <t>Gaimersheim</t>
  </si>
  <si>
    <t>Unterreichenbach</t>
  </si>
  <si>
    <t>Bernlohe</t>
  </si>
  <si>
    <t>Schwemmelsbach</t>
  </si>
  <si>
    <t>Hettstadt</t>
  </si>
  <si>
    <t>Attenzell</t>
  </si>
  <si>
    <t>Schirnsdorf</t>
  </si>
  <si>
    <t>Fischbach</t>
  </si>
  <si>
    <t>Theinfeld</t>
  </si>
  <si>
    <t>Elfershausen</t>
  </si>
  <si>
    <t>Ponholzer Forst</t>
  </si>
  <si>
    <t>Arnshausen</t>
  </si>
  <si>
    <t>Sulzdorf a.d.Lederhecke</t>
  </si>
  <si>
    <t>Winkels</t>
  </si>
  <si>
    <t>Kleinschwarzenlohe</t>
  </si>
  <si>
    <t>Gebersdorf</t>
  </si>
  <si>
    <t>Kotzenaurach</t>
  </si>
  <si>
    <t>Tuchenbach</t>
  </si>
  <si>
    <t>Unterschweinach</t>
  </si>
  <si>
    <t>Dingolshausen</t>
  </si>
  <si>
    <t>Gutzberg</t>
  </si>
  <si>
    <t>Ulsenheim</t>
  </si>
  <si>
    <t>Altselingsbach</t>
  </si>
  <si>
    <t>Schraudenbach</t>
  </si>
  <si>
    <t>Leuzendorf i.UFr.</t>
  </si>
  <si>
    <t>Ponholz</t>
  </si>
  <si>
    <t>Iphofen</t>
  </si>
  <si>
    <t>Mausdorf</t>
  </si>
  <si>
    <t>Poppenlauer</t>
  </si>
  <si>
    <t>Windsfeld</t>
  </si>
  <si>
    <t>Walting</t>
  </si>
  <si>
    <t>Vestenbergsgreuth</t>
  </si>
  <si>
    <t>Fessenheim</t>
  </si>
  <si>
    <t>Oschwitz</t>
  </si>
  <si>
    <t>Frotzersricht</t>
  </si>
  <si>
    <t>Eibacher Forst</t>
  </si>
  <si>
    <t>Willmersbach</t>
  </si>
  <si>
    <t>Rauschenberg</t>
  </si>
  <si>
    <t>Munningen</t>
  </si>
  <si>
    <t>Schwebenried</t>
  </si>
  <si>
    <t>Neudrossenfeld</t>
  </si>
  <si>
    <t>Hellmitzheim</t>
  </si>
  <si>
    <t>Altenmuhr</t>
  </si>
  <si>
    <t>Buchen</t>
  </si>
  <si>
    <t>Ibind</t>
  </si>
  <si>
    <t>Bruckberg</t>
  </si>
  <si>
    <t>Geroldshausen</t>
  </si>
  <si>
    <t>Windelsbach</t>
  </si>
  <si>
    <t>Lauterbach</t>
  </si>
  <si>
    <t>Sylbach</t>
  </si>
  <si>
    <t>Uengershausen</t>
  </si>
  <si>
    <t>Althausen</t>
  </si>
  <si>
    <t>Medlitz</t>
  </si>
  <si>
    <t>Frauenaurach</t>
  </si>
  <si>
    <t>Unterwildenau</t>
  </si>
  <si>
    <t>Markt Nordheim</t>
  </si>
  <si>
    <t>Irtenberger Wald</t>
  </si>
  <si>
    <t>Hainert</t>
  </si>
  <si>
    <t>Unternbibert</t>
  </si>
  <si>
    <t>Ostheim</t>
  </si>
  <si>
    <t>Rappershausen</t>
  </si>
  <si>
    <t>Linden</t>
  </si>
  <si>
    <t>Bergham</t>
  </si>
  <si>
    <t>Stettbach</t>
  </si>
  <si>
    <t>Moos</t>
  </si>
  <si>
    <t>Puschendorf</t>
  </si>
  <si>
    <t>Pittersberg</t>
  </si>
  <si>
    <t>Kornburg</t>
  </si>
  <si>
    <t>Neuses</t>
  </si>
  <si>
    <t>Wiesethbruck</t>
  </si>
  <si>
    <t>Leinach</t>
  </si>
  <si>
    <t>Frankenfeld</t>
  </si>
  <si>
    <t>Volkersdorf</t>
  </si>
  <si>
    <t>Alesheim</t>
  </si>
  <si>
    <t>Eyrichshof</t>
  </si>
  <si>
    <t>Kleinreuth h.d.Veste</t>
  </si>
  <si>
    <t>Deiningen</t>
  </si>
  <si>
    <t>Voccawind</t>
  </si>
  <si>
    <t>Muckenreuth</t>
  </si>
  <si>
    <t>Obbach</t>
  </si>
  <si>
    <t>Rezelsdorf</t>
  </si>
  <si>
    <t>Erlsdorf</t>
  </si>
  <si>
    <t>Bubach a.d.Naab</t>
  </si>
  <si>
    <t>Rimpar</t>
  </si>
  <si>
    <t>Wernfeld</t>
  </si>
  <si>
    <t>Haundorf</t>
  </si>
  <si>
    <t>Unterhohenried</t>
  </si>
  <si>
    <t>Gainfurter Markung</t>
  </si>
  <si>
    <t>Gunzenhausen</t>
  </si>
  <si>
    <t>Endsee</t>
  </si>
  <si>
    <t>Niederoberbach</t>
  </si>
  <si>
    <t>Zimmerau</t>
  </si>
  <si>
    <t>Rothenberg</t>
  </si>
  <si>
    <t>Junkersdorf</t>
  </si>
  <si>
    <t>Pfaffenhofen</t>
  </si>
  <si>
    <t>Schrattenhofen</t>
  </si>
  <si>
    <t>Markt Retzbach</t>
  </si>
  <si>
    <t>Zettlitz</t>
  </si>
  <si>
    <t>Denkendorf</t>
  </si>
  <si>
    <t>Untermerzbach</t>
  </si>
  <si>
    <t>Obernau</t>
  </si>
  <si>
    <t>Unterpreppach</t>
  </si>
  <si>
    <t>Steppach</t>
  </si>
  <si>
    <t>Dippach a.Main</t>
  </si>
  <si>
    <t>Gundelsheim</t>
  </si>
  <si>
    <t>Herrnsdorf</t>
  </si>
  <si>
    <t>Haselbach</t>
  </si>
  <si>
    <t>Schornweisach</t>
  </si>
  <si>
    <t>Gustenfelden</t>
  </si>
  <si>
    <t>Stadelschwarzach</t>
  </si>
  <si>
    <t>Rattelsdorf</t>
  </si>
  <si>
    <t>Wolkersdorf</t>
  </si>
  <si>
    <t>Schney</t>
  </si>
  <si>
    <t>Gleisenau</t>
  </si>
  <si>
    <t>Hohenberg a.d.Eger</t>
  </si>
  <si>
    <t>Kemathen</t>
  </si>
  <si>
    <t>Thann</t>
  </si>
  <si>
    <t>Mainleus</t>
  </si>
  <si>
    <t>Bischwind</t>
  </si>
  <si>
    <t>Burgstall</t>
  </si>
  <si>
    <t>Unterhaid</t>
  </si>
  <si>
    <t>Ketteldorf</t>
  </si>
  <si>
    <t>Diesenbach</t>
  </si>
  <si>
    <t>Neuses a.Sand</t>
  </si>
  <si>
    <t>Kleinrinderfeld</t>
  </si>
  <si>
    <t>Merkendorf</t>
  </si>
  <si>
    <t>Stockheim</t>
  </si>
  <si>
    <t>Markt Einersheim</t>
  </si>
  <si>
    <t>Wernsdorf</t>
  </si>
  <si>
    <t>Autenhausen</t>
  </si>
  <si>
    <t>Adertshausen</t>
  </si>
  <si>
    <t>Melkendorf</t>
  </si>
  <si>
    <t>Weigenheim</t>
  </si>
  <si>
    <t>Oberscheckenbach</t>
  </si>
  <si>
    <t>Tauberrettersheim</t>
  </si>
  <si>
    <t>Mainecker Forst (Ost)</t>
  </si>
  <si>
    <t>Unteraltertheim</t>
  </si>
  <si>
    <t>Neusitz</t>
  </si>
  <si>
    <t>Grasmannsdorf</t>
  </si>
  <si>
    <t>Traustadt</t>
  </si>
  <si>
    <t>Weingartsgreuth</t>
  </si>
  <si>
    <t>Zandt</t>
  </si>
  <si>
    <t>Abtswind</t>
  </si>
  <si>
    <t>Ermetzhofen</t>
  </si>
  <si>
    <t>Obermichelbach</t>
  </si>
  <si>
    <t>Baldingen</t>
  </si>
  <si>
    <t>Oberhaid</t>
  </si>
  <si>
    <t>Rennweg</t>
  </si>
  <si>
    <t>Eichenhausen</t>
  </si>
  <si>
    <t>Oerlenbach</t>
  </si>
  <si>
    <t>Possenheim</t>
  </si>
  <si>
    <t>Ueschersdorf</t>
  </si>
  <si>
    <t>Burghausen</t>
  </si>
  <si>
    <t>Abenberg</t>
  </si>
  <si>
    <t>Premberg</t>
  </si>
  <si>
    <t>Hochstadt a.Main</t>
  </si>
  <si>
    <t>Elsendorf</t>
  </si>
  <si>
    <t>Lenting</t>
  </si>
  <si>
    <t>Braidbach</t>
  </si>
  <si>
    <t>Querenbach</t>
  </si>
  <si>
    <t>Oberhaunstadt</t>
  </si>
  <si>
    <t>Leesten</t>
  </si>
  <si>
    <t>Pettenhofen</t>
  </si>
  <si>
    <t>Binsbach</t>
  </si>
  <si>
    <t>Bimbach</t>
  </si>
  <si>
    <t>Trieb</t>
  </si>
  <si>
    <t>Hoppingen</t>
  </si>
  <si>
    <t>Memmelsdorf</t>
  </si>
  <si>
    <t>Stockstadt a.Main</t>
  </si>
  <si>
    <t>Reinhausen</t>
  </si>
  <si>
    <t>Heuberg</t>
  </si>
  <si>
    <t>Schelldorf</t>
  </si>
  <si>
    <t>Erbshausen</t>
  </si>
  <si>
    <t>Birnfeld</t>
  </si>
  <si>
    <t>Pleinfeld</t>
  </si>
  <si>
    <t>Mechenried</t>
  </si>
  <si>
    <t>Wechterswinkel</t>
  </si>
  <si>
    <t>Weiterndorf</t>
  </si>
  <si>
    <t>Amlingstadt</t>
  </si>
  <si>
    <t>Mitterfecking</t>
  </si>
  <si>
    <t>Stadtamhof</t>
  </si>
  <si>
    <t>Urphertshofen</t>
  </si>
  <si>
    <t>Hilpertshausen</t>
  </si>
  <si>
    <t>Krut</t>
  </si>
  <si>
    <t>Volkershausen</t>
  </si>
  <si>
    <t>Horsdorf</t>
  </si>
  <si>
    <t>Leider</t>
  </si>
  <si>
    <t>Oberaltertheim</t>
  </si>
  <si>
    <t>Dutendorf</t>
  </si>
  <si>
    <t>Wiebelsberg</t>
  </si>
  <si>
    <t>Neuherberg</t>
  </si>
  <si>
    <t>Hambach</t>
  </si>
  <si>
    <t>Aurau</t>
  </si>
  <si>
    <t>Oberreichenbach</t>
  </si>
  <si>
    <t>Traidendorf</t>
  </si>
  <si>
    <t>Guttenberger Wald</t>
  </si>
  <si>
    <t>Mistelfeld</t>
  </si>
  <si>
    <t>Ronheim</t>
  </si>
  <si>
    <t>Oberdachstetten</t>
  </si>
  <si>
    <t>Rentweinsdorf</t>
  </si>
  <si>
    <t>Rednitzhembach</t>
  </si>
  <si>
    <t>Kosbach</t>
  </si>
  <si>
    <t>Hirschaid</t>
  </si>
  <si>
    <t>Ebenhausen</t>
  </si>
  <si>
    <t>Seubelsdorf</t>
  </si>
  <si>
    <t>Bruck</t>
  </si>
  <si>
    <t>Altmannshausen Nordwest</t>
  </si>
  <si>
    <t>Ebersbach</t>
  </si>
  <si>
    <t>Langendorf</t>
  </si>
  <si>
    <t>Aidhausen</t>
  </si>
  <si>
    <t>Wargolshausen</t>
  </si>
  <si>
    <t>Hohholz</t>
  </si>
  <si>
    <t>Holzhausen</t>
  </si>
  <si>
    <t>Schlammersdorf</t>
  </si>
  <si>
    <t>Erlbach</t>
  </si>
  <si>
    <t>Seitendorf</t>
  </si>
  <si>
    <t>Kronstetten</t>
  </si>
  <si>
    <t>Schellert</t>
  </si>
  <si>
    <t>Gaurettersheim</t>
  </si>
  <si>
    <t>Sendelbach</t>
  </si>
  <si>
    <t>Kesselostheim</t>
  </si>
  <si>
    <t>Lohe</t>
  </si>
  <si>
    <t>Gleusdorf</t>
  </si>
  <si>
    <t>Oberharnsbach</t>
  </si>
  <si>
    <t>Weichs</t>
  </si>
  <si>
    <t>Nittingen</t>
  </si>
  <si>
    <t>Altessing</t>
  </si>
  <si>
    <t>Kreuzwertheim</t>
  </si>
  <si>
    <t>Klosterwald</t>
  </si>
  <si>
    <t>Sarching</t>
  </si>
  <si>
    <t>Strullendorf</t>
  </si>
  <si>
    <t>Gebsattel</t>
  </si>
  <si>
    <t>Tennenlohe</t>
  </si>
  <si>
    <t>Heugrumbach</t>
  </si>
  <si>
    <t>Neuses a.d.Eichen</t>
  </si>
  <si>
    <t>Kist</t>
  </si>
  <si>
    <t>Reimlingen</t>
  </si>
  <si>
    <t>Tauberzell</t>
  </si>
  <si>
    <t>Dornheim</t>
  </si>
  <si>
    <t>Buxheim</t>
  </si>
  <si>
    <t>Arnstein</t>
  </si>
  <si>
    <t>Sulzbach a.Main</t>
  </si>
  <si>
    <t>Wald</t>
  </si>
  <si>
    <t>Burghaig</t>
  </si>
  <si>
    <t>Unterelldorf</t>
  </si>
  <si>
    <t>Rockenbach</t>
  </si>
  <si>
    <t>Holzberndorf</t>
  </si>
  <si>
    <t>Altenplos</t>
  </si>
  <si>
    <t>Ehringen</t>
  </si>
  <si>
    <t>Sassanfahrt</t>
  </si>
  <si>
    <t>Marktbergel</t>
  </si>
  <si>
    <t>Eckenberg</t>
  </si>
  <si>
    <t>Breitbrunn</t>
  </si>
  <si>
    <t>Niedertraubling</t>
  </si>
  <si>
    <t>Niedernberg</t>
  </si>
  <si>
    <t>Kaisten</t>
  </si>
  <si>
    <t>Barthelmesaurach</t>
  </si>
  <si>
    <t>Schwanhausen</t>
  </si>
  <si>
    <t>Mailes</t>
  </si>
  <si>
    <t>Alberndorf</t>
  </si>
  <si>
    <t>Viereth</t>
  </si>
  <si>
    <t>Waizenbach</t>
  </si>
  <si>
    <t>Neutraubling</t>
  </si>
  <si>
    <t>Eichhofen</t>
  </si>
  <si>
    <t>Rettingen</t>
  </si>
  <si>
    <t>Langenfeld</t>
  </si>
  <si>
    <t>Ballingshausen</t>
  </si>
  <si>
    <t>Zweifelsheim</t>
  </si>
  <si>
    <t>Gattenhofen</t>
  </si>
  <si>
    <t>Aha</t>
  </si>
  <si>
    <t>Barbing</t>
  </si>
  <si>
    <t>Trommetsheim</t>
  </si>
  <si>
    <t>Rudolzhofen</t>
  </si>
  <si>
    <t>Stirn</t>
  </si>
  <si>
    <t>Schweinshaupten</t>
  </si>
  <si>
    <t>Bettwar</t>
  </si>
  <si>
    <t>Rettenbach</t>
  </si>
  <si>
    <t>Silberbach</t>
  </si>
  <si>
    <t>Alerheim</t>
  </si>
  <si>
    <t>Meschenbach</t>
  </si>
  <si>
    <t>Birkach</t>
  </si>
  <si>
    <t>Leutershausen</t>
  </si>
  <si>
    <t>Laimbach</t>
  </si>
  <si>
    <t>Virnsberg</t>
  </si>
  <si>
    <t>Losbergsgereuth</t>
  </si>
  <si>
    <t>Walpersdorf</t>
  </si>
  <si>
    <t>Regelsbach</t>
  </si>
  <si>
    <t>Gerolfing</t>
  </si>
  <si>
    <t>Mantel</t>
  </si>
  <si>
    <t>Bechhofen b.Neuendettelsau</t>
  </si>
  <si>
    <t>Abenberger Wald</t>
  </si>
  <si>
    <t>Hagenbuch</t>
  </si>
  <si>
    <t>Geesdorf</t>
  </si>
  <si>
    <t>Obereschenbach</t>
  </si>
  <si>
    <t>Oberbrunn</t>
  </si>
  <si>
    <t>Schlauersbach</t>
  </si>
  <si>
    <t>Wettstetten</t>
  </si>
  <si>
    <t>Bertholdsdorf</t>
  </si>
  <si>
    <t>Michelau a.d.Saale</t>
  </si>
  <si>
    <t>Himmelstadt</t>
  </si>
  <si>
    <t>Regendorf</t>
  </si>
  <si>
    <t>Birklingen</t>
  </si>
  <si>
    <t>Rannungen</t>
  </si>
  <si>
    <t>Karlburg</t>
  </si>
  <si>
    <t>Adelshofen</t>
  </si>
  <si>
    <t>Niederlauer</t>
  </si>
  <si>
    <t>Rothenburg ob der Tauber</t>
  </si>
  <si>
    <t>Trosdorf</t>
  </si>
  <si>
    <t>Grosselfingen</t>
  </si>
  <si>
    <t>Frauenroth</t>
  </si>
  <si>
    <t>Castell</t>
  </si>
  <si>
    <t>Mitteldachstetten</t>
  </si>
  <si>
    <t>Ziegenbach</t>
  </si>
  <si>
    <t>Neubrunn</t>
  </si>
  <si>
    <t>Baunach</t>
  </si>
  <si>
    <t>Streudorf</t>
  </si>
  <si>
    <t>Mangolding</t>
  </si>
  <si>
    <t>Harting</t>
  </si>
  <si>
    <t>Heroldingen</t>
  </si>
  <si>
    <t>Custenlohr</t>
  </si>
  <si>
    <t>Stalldorf</t>
  </si>
  <si>
    <t>Nassach</t>
  </si>
  <si>
    <t>Dunsdorf</t>
  </si>
  <si>
    <t>Reutersbrunn</t>
  </si>
  <si>
    <t>Arberg</t>
  </si>
  <si>
    <t>Bad Bocklet</t>
  </si>
  <si>
    <t>Oberlaimbach</t>
  </si>
  <si>
    <t>Wollersdorf</t>
  </si>
  <si>
    <t>Irl</t>
  </si>
  <si>
    <t>Neubessingen</t>
  </si>
  <si>
    <t>Sulzthal</t>
  </si>
  <si>
    <t>Tiefenthal</t>
  </si>
  <si>
    <t>Seenheim</t>
  </si>
  <si>
    <t>Heilinghausen</t>
  </si>
  <si>
    <t>Heubach</t>
  </si>
  <si>
    <t>Unteroberndorf</t>
  </si>
  <si>
    <t>Altenberg</t>
  </si>
  <si>
    <t>Lammelbach</t>
  </si>
  <si>
    <t>Uettingen</t>
  </si>
  <si>
    <t>Schoppershof</t>
  </si>
  <si>
    <t>Schwarzenfeld</t>
  </si>
  <si>
    <t>Aschach</t>
  </si>
  <si>
    <t>Vollmannsdorf</t>
  </si>
  <si>
    <t>Kleinerdlingen</t>
  </si>
  <si>
    <t>Rothenstadt</t>
  </si>
  <si>
    <t>Oberschambach</t>
  </si>
  <si>
    <t>Stulln</t>
  </si>
  <si>
    <t>Burgebrach</t>
  </si>
  <si>
    <t>Eitlbrunn</t>
  </si>
  <si>
    <t>Reiterswiesen</t>
  </si>
  <si>
    <t>Steinberg</t>
  </si>
  <si>
    <t>Peterfecking</t>
  </si>
  <si>
    <t>Eltmann</t>
  </si>
  <si>
    <t>Oberebersbach</t>
  </si>
  <si>
    <t>Dierersdorf</t>
  </si>
  <si>
    <t>Trunstadt</t>
  </si>
  <si>
    <t>Biederbach</t>
  </si>
  <si>
    <t>Weichendorf</t>
  </si>
  <si>
    <t>Aich</t>
  </si>
  <si>
    <t>Scheuer</t>
  </si>
  <si>
    <t>Hiltersdorf</t>
  </si>
  <si>
    <t>Neunhofer Forst</t>
  </si>
  <si>
    <t>Marktsteinach</t>
  </si>
  <si>
    <t>Liebersdorf</t>
  </si>
  <si>
    <t>Neunstetten</t>
  </si>
  <si>
    <t>Nickersfelden</t>
  </si>
  <si>
    <t>Neuendettelsau</t>
  </si>
  <si>
    <t>Bug</t>
  </si>
  <si>
    <t>Etzenricht</t>
  </si>
  <si>
    <t>Marktgraitz</t>
  </si>
  <si>
    <t>Untersiemau</t>
  </si>
  <si>
    <t>Zapfendorf</t>
  </si>
  <si>
    <t>Rosenhof</t>
  </si>
  <si>
    <t>Neuses a.Main</t>
  </si>
  <si>
    <t>Frensdorf</t>
  </si>
  <si>
    <t>Unterwurmbach</t>
  </si>
  <si>
    <t>Haag</t>
  </si>
  <si>
    <t>Thannhausen</t>
  </si>
  <si>
    <t>Manau</t>
  </si>
  <si>
    <t>Wiedersbach</t>
  </si>
  <si>
    <t>Recheldorf</t>
  </si>
  <si>
    <t>Rittersbach</t>
  </si>
  <si>
    <t>Lendershausen</t>
  </si>
  <si>
    <t>Wallerstein</t>
  </si>
  <si>
    <t>Kammerstein</t>
  </si>
  <si>
    <t>Unterrottmannsdorf</t>
  </si>
  <si>
    <t>Mailing</t>
  </si>
  <si>
    <t>Warmersdorf</t>
  </si>
  <si>
    <t>Breitenbrunn</t>
  </si>
  <si>
    <t>Amerbach</t>
  </si>
  <si>
    <t>Wernstein</t>
  </si>
  <si>
    <t>Emetzheim</t>
  </si>
  <si>
    <t>Irsching</t>
  </si>
  <si>
    <t>Ampferbach</t>
  </si>
  <si>
    <t>Herrieden</t>
  </si>
  <si>
    <t>Pirk</t>
  </si>
  <si>
    <t>Altmannshausen</t>
  </si>
  <si>
    <t>Eltingshausen</t>
  </si>
  <si>
    <t>Mintraching</t>
  </si>
  <si>
    <t>Sugenheim</t>
  </si>
  <si>
    <t>Friesheim</t>
  </si>
  <si>
    <t>Bechhofen</t>
  </si>
  <si>
    <t>Stettfeld</t>
  </si>
  <si>
    <t>Bischwind a.Raueneck</t>
  </si>
  <si>
    <t>Altmannsdorf</t>
  </si>
  <si>
    <t>Neunaigen</t>
  </si>
  <si>
    <t>Reckenneusig</t>
  </si>
  <si>
    <t>Gaustadt</t>
  </si>
  <si>
    <t>Illkofen</t>
  </si>
  <si>
    <t>Neudorf b.Luhe</t>
  </si>
  <si>
    <t>Wolpertstetten</t>
  </si>
  <si>
    <t>Kleinostheim</t>
  </si>
  <si>
    <t>Billingshausen</t>
  </si>
  <si>
    <t>Kerbfeld</t>
  </si>
  <si>
    <t>Belmbrach</t>
  </si>
  <si>
    <t>Obersfeld</t>
  </si>
  <si>
    <t>Kattenhochstatt</t>
  </si>
  <si>
    <t>Langenstadt</t>
  </si>
  <si>
    <t>Ludwigsmoos</t>
  </si>
  <si>
    <t>Prichsenstadt</t>
  </si>
  <si>
    <t>Oberelldorf</t>
  </si>
  <si>
    <t>Vohburg a.d.Donau</t>
  </si>
  <si>
    <t>Arnsberg</t>
  </si>
  <si>
    <t>Zeckern</t>
  </si>
  <si>
    <t>Schmidgaden</t>
  </si>
  <si>
    <t>Haindorf</t>
  </si>
  <si>
    <t>Altendorf</t>
  </si>
  <si>
    <t>Suddersdorf</t>
  </si>
  <si>
    <t>Scherneck</t>
  </si>
  <si>
    <t>Burgoberbach</t>
  </si>
  <si>
    <t>Irgertsheim</t>
  </si>
  <si>
    <t>Bad Neuhaus</t>
  </si>
  <si>
    <t>Neuensee</t>
  </si>
  <si>
    <t>Gerolzhofen</t>
  </si>
  <si>
    <t>Machtilshausen</t>
  </si>
  <si>
    <t>Heilsbronn</t>
  </si>
  <si>
    <t>Veitsaurach</t>
  </si>
  <si>
    <t>Windheim/Wartmannsroth</t>
  </si>
  <si>
    <t>Schwennenbach</t>
  </si>
  <si>
    <t>Ebermannsdorf</t>
  </si>
  <si>
    <t>Redwitz a.d.Rodach</t>
  </si>
  <si>
    <t>Jochsberg</t>
  </si>
  <si>
    <t>Neuses b.Ansbach</t>
  </si>
  <si>
    <t>Pettstadt</t>
  </si>
  <si>
    <t>Hohenberger Forst</t>
  </si>
  <si>
    <t>Allertshausen</t>
  </si>
  <si>
    <t>Willmersreuth</t>
  </si>
  <si>
    <t>Schwarzach b.Kulmbach</t>
  </si>
  <si>
    <t>Ziegelanger</t>
  </si>
  <si>
    <t>Wellerstadt</t>
  </si>
  <si>
    <t>Pretzabruck</t>
  </si>
  <si>
    <t>Hauptsmoor</t>
  </si>
  <si>
    <t>Limpurgerforst</t>
  </si>
  <si>
    <t>Hennenbach</t>
  </si>
  <si>
    <t>Gauerstadt</t>
  </si>
  <si>
    <t>Obernesselbach</t>
  </si>
  <si>
    <t>Kahl a.Main</t>
  </si>
  <si>
    <t>Untererthal</t>
  </si>
  <si>
    <t>Sankt Veit</t>
  </si>
  <si>
    <t>Auhausen</t>
  </si>
  <si>
    <t>Ramspau</t>
  </si>
  <si>
    <t>Bleich</t>
  </si>
  <si>
    <t>Sandersdorf</t>
  </si>
  <si>
    <t>Lichtenau</t>
  </si>
  <si>
    <t>Unterlaimbach</t>
  </si>
  <si>
    <t>Drosendorf</t>
  </si>
  <si>
    <t>Huisheim</t>
  </si>
  <si>
    <t>Gungolding</t>
  </si>
  <si>
    <t>Oder</t>
  </si>
  <si>
    <t>Dornhausen</t>
  </si>
  <si>
    <t>Uchenhofen</t>
  </si>
  <si>
    <t>Geslau</t>
  </si>
  <si>
    <t>Tiefbrunn</t>
  </si>
  <si>
    <t>Homburg a.Main</t>
  </si>
  <si>
    <t>Hergersbach</t>
  </si>
  <si>
    <t>Grappertshofen</t>
  </si>
  <si>
    <t>Immeldorf</t>
  </si>
  <si>
    <t>Hatzenhofen</t>
  </si>
  <si>
    <t>Marktzeuln</t>
  </si>
  <si>
    <t>Obererthal</t>
  </si>
  <si>
    <t>Meilenhofen</t>
  </si>
  <si>
    <t>Pfalzpaint</t>
  </si>
  <si>
    <t>Birkhausen</t>
  </si>
  <si>
    <t>Pflaumheim</t>
  </si>
  <si>
    <t>Ramsberg am Brombachsee</t>
  </si>
  <si>
    <t>Gauaschach</t>
  </si>
  <si>
    <t>Biberg</t>
  </si>
  <si>
    <t>Gailoh</t>
  </si>
  <si>
    <t>Frickenfelden</t>
  </si>
  <si>
    <t>Wiesengiech</t>
  </si>
  <si>
    <t>Bischberg</t>
  </si>
  <si>
    <t>Madenhausen</t>
  </si>
  <si>
    <t>Steinfels</t>
  </si>
  <si>
    <t>Pechhof</t>
  </si>
  <si>
    <t>Neuhaus a.d.Eger</t>
  </si>
  <si>
    <t>Erlenstegen</t>
  </si>
  <si>
    <t>Ellingen</t>
  </si>
  <si>
    <t>Rauenbuch</t>
  </si>
  <si>
    <t>Karbach</t>
  </si>
  <si>
    <t>Neuses a.d.Regnitz</t>
  </si>
  <si>
    <t>Absberg</t>
  </si>
  <si>
    <t>Holzingen</t>
  </si>
  <si>
    <t>Frickenhausen</t>
  </si>
  <si>
    <t>Erlau</t>
  </si>
  <si>
    <t>Reckertshausen</t>
  </si>
  <si>
    <t>Pfreimd</t>
  </si>
  <si>
    <t>Frengkofen</t>
  </si>
  <si>
    <t>Heuchelheim</t>
  </si>
  <si>
    <t>Oberharthausen</t>
  </si>
  <si>
    <t>Sauernheim</t>
  </si>
  <si>
    <t>Aschfeld</t>
  </si>
  <si>
    <t>Unterschwappach</t>
  </si>
  <si>
    <t>Wolfring</t>
  </si>
  <si>
    <t>Altenbanz</t>
  </si>
  <si>
    <t>Brodswinden</t>
  </si>
  <si>
    <t>Luhe</t>
  </si>
  <si>
    <t>Lindach b.Maroldsweisach</t>
  </si>
  <si>
    <t>Ratzenwinden</t>
  </si>
  <si>
    <t>Baudenbach</t>
  </si>
  <si>
    <t>Klingenberg a.Main</t>
  </si>
  <si>
    <t>Au</t>
  </si>
  <si>
    <t>Krassolzheim</t>
  </si>
  <si>
    <t>Hundsbach</t>
  </si>
  <si>
    <t>Balgheim</t>
  </si>
  <si>
    <t>Pietenfeld</t>
  </si>
  <si>
    <t>Eyb</t>
  </si>
  <si>
    <t>Burglengenfelder Forst</t>
  </si>
  <si>
    <t>Ermershausen</t>
  </si>
  <si>
    <t>Claffheim</t>
  </si>
  <si>
    <t>Gramschatz</t>
  </si>
  <si>
    <t>Ziegelstein</t>
  </si>
  <si>
    <t>Massenbach</t>
  </si>
  <si>
    <t>Vestenberg</t>
  </si>
  <si>
    <t>Breitenau</t>
  </si>
  <si>
    <t>Kleinsteinach</t>
  </si>
  <si>
    <t>Mainaschaff</t>
  </si>
  <si>
    <t>Diebis</t>
  </si>
  <si>
    <t>Kaudorf</t>
  </si>
  <si>
    <t>Ebertshausen</t>
  </si>
  <si>
    <t>Dettingen a.Main</t>
  </si>
  <si>
    <t>Bertelsdorf</t>
  </si>
  <si>
    <t>Bildhausen-Nordost</t>
  </si>
  <si>
    <t>Steinweg</t>
  </si>
  <si>
    <t>Flachslanden</t>
  </si>
  <si>
    <t>Steinsdorf</t>
  </si>
  <si>
    <t>Breitenhill</t>
  </si>
  <si>
    <t>Obersdorf</t>
  </si>
  <si>
    <t>Unterlangenstadt</t>
  </si>
  <si>
    <t>Rothaurach</t>
  </si>
  <si>
    <t>See</t>
  </si>
  <si>
    <t>Burgweinting</t>
  </si>
  <si>
    <t>Malmersdorf</t>
  </si>
  <si>
    <t>Unsernherrn</t>
  </si>
  <si>
    <t>Saal a.d.Donau</t>
  </si>
  <si>
    <t>Stettberg</t>
  </si>
  <si>
    <t>Sulzbach</t>
  </si>
  <si>
    <t>Lehrberg</t>
  </si>
  <si>
    <t>Markt Bibart</t>
  </si>
  <si>
    <t>Willmars</t>
  </si>
  <si>
    <t>Bastheim</t>
  </si>
  <si>
    <t>Eitensheim</t>
  </si>
  <si>
    <t>Egweil</t>
  </si>
  <si>
    <t>Demling</t>
  </si>
  <si>
    <t>Westenhausen</t>
  </si>
  <si>
    <t>Dippach</t>
  </si>
  <si>
    <t>Richelbach</t>
  </si>
  <si>
    <t>Brunnenreuth</t>
  </si>
  <si>
    <t>Neustett</t>
  </si>
  <si>
    <t>Neuebersbach</t>
  </si>
  <si>
    <t>Niederstimm</t>
  </si>
  <si>
    <t>Hochstein</t>
  </si>
  <si>
    <t>Hallerndorf</t>
  </si>
  <si>
    <t>Helmstadt</t>
  </si>
  <si>
    <t>Teuerting</t>
  </si>
  <si>
    <t>Perschen</t>
  </si>
  <si>
    <t>Dittenheim</t>
  </si>
  <si>
    <t>Kleinweisach</t>
  </si>
  <si>
    <t>Reinhardswinden</t>
  </si>
  <si>
    <t>Rauenzell</t>
  </si>
  <si>
    <t>Faulbach</t>
  </si>
  <si>
    <t>Arnhofen</t>
  </si>
  <si>
    <t>Maineck</t>
  </si>
  <si>
    <t>Theuern</t>
  </si>
  <si>
    <t>Wasmuthhausen</t>
  </si>
  <si>
    <t>Sachsen b.Ansbach</t>
  </si>
  <si>
    <t>Burgellern</t>
  </si>
  <si>
    <t>Nordstetten</t>
  </si>
  <si>
    <t>Holzkirchhausen</t>
  </si>
  <si>
    <t>Scheinfeld</t>
  </si>
  <si>
    <t>Lippertshofen</t>
  </si>
  <si>
    <t>Altendettelsau</t>
  </si>
  <si>
    <t>Mendorferbuch</t>
  </si>
  <si>
    <t>Roth a.Forst</t>
  </si>
  <si>
    <t>Sausenhofen</t>
  </si>
  <si>
    <t>Pfaffenhausen</t>
  </si>
  <si>
    <t>Untermelsendorf</t>
  </si>
  <si>
    <t>Loch</t>
  </si>
  <si>
    <t>Untermainsbach</t>
  </si>
  <si>
    <t>Langwasser</t>
  </si>
  <si>
    <t>Oberwildenau</t>
  </si>
  <si>
    <t>Kleinwallstadt</t>
  </si>
  <si>
    <t>Stegaurach</t>
  </si>
  <si>
    <t>Neida</t>
  </si>
  <si>
    <t>Rottershausen</t>
  </si>
  <si>
    <t>Ramsthal</t>
  </si>
  <si>
    <t>Heinrichsheim</t>
  </si>
  <si>
    <t>Stappenbach</t>
  </si>
  <si>
    <t>Marktheidenfeld</t>
  </si>
  <si>
    <t>Wolkertshofen</t>
  </si>
  <si>
    <t>Kothigenbibersbach</t>
  </si>
  <si>
    <t>Daschendorf</t>
  </si>
  <si>
    <t>Regenstauf</t>
  </si>
  <si>
    <t>Bischofsheimer Forst-Nordost</t>
  </si>
  <si>
    <t>Karsbach</t>
  </si>
  <si>
    <t>Thulba</t>
  </si>
  <si>
    <t>Herrnsaal</t>
  </si>
  <si>
    <t>Manteler Forst</t>
  </si>
  <si>
    <t>Thaldorf</t>
  </si>
  <si>
    <t>Lechenroth</t>
  </si>
  <si>
    <t>Holzhammer</t>
  </si>
  <si>
    <t>Waizendorf</t>
  </si>
  <si>
    <t>Hendelhammer</t>
  </si>
  <si>
    <t>Binsfeld</t>
  </si>
  <si>
    <t>Hermannsberg</t>
  </si>
  <si>
    <t>Eltheim</t>
  </si>
  <si>
    <t>Oberleinach</t>
  </si>
  <si>
    <t>Ottersdorf</t>
  </si>
  <si>
    <t>Retzendorf</t>
  </si>
  <si>
    <t>Elsa</t>
  </si>
  <si>
    <t>Krettenbach</t>
  </si>
  <si>
    <t>Maroldsweisach</t>
  </si>
  <si>
    <t>Lengfurt</t>
  </si>
  <si>
    <t>Wachstein</t>
  </si>
  <si>
    <t>Rupprechtsreuth</t>
  </si>
  <si>
    <t>Ullstadt</t>
  </si>
  <si>
    <t>Oberstimm</t>
  </si>
  <si>
    <t>Bissingen</t>
  </si>
  <si>
    <t>Karm</t>
  </si>
  <si>
    <t>Unfinden</t>
  </si>
  <si>
    <t>Treppendorf</t>
  </si>
  <si>
    <t>Poikam</t>
  </si>
  <si>
    <t>Mosbach</t>
  </si>
  <si>
    <t>Pfofeld</t>
  </si>
  <si>
    <t>Wildenstein</t>
  </si>
  <si>
    <t>Gerach</t>
  </si>
  <si>
    <t>Herpersdorf</t>
  </si>
  <si>
    <t>Preuntsfelden</t>
  </si>
  <si>
    <t>Heinersreuth</t>
  </si>
  <si>
    <t>Stetten</t>
  </si>
  <si>
    <t>Wernsbach</t>
  </si>
  <si>
    <t>Ditterswind</t>
  </si>
  <si>
    <t>Lebenhan</t>
  </si>
  <si>
    <t>Gambach</t>
  </si>
  <si>
    <t>Trendel</t>
  </si>
  <si>
    <t>Untermaxfeld</t>
  </si>
  <si>
    <t>Mark</t>
  </si>
  <si>
    <t>Elbersroth</t>
  </si>
  <si>
    <t>Steinach</t>
  </si>
  <si>
    <t>Wolfsdorf</t>
  </si>
  <si>
    <t>Hagau</t>
  </si>
  <si>
    <t>Maihingen</t>
  </si>
  <si>
    <t>Marching</t>
  </si>
  <si>
    <t>Buggenhofen</t>
  </si>
  <si>
    <t>Weimersheim</t>
  </si>
  <si>
    <t>Schirmitz</t>
  </si>
  <si>
    <t>Frommetsfelden</t>
  </si>
  <si>
    <t>Neuhau</t>
  </si>
  <si>
    <t>Limmersdorf III</t>
  </si>
  <si>
    <t>Schnaid</t>
  </si>
  <si>
    <t>Oberleiterbach</t>
  </si>
  <si>
    <t>Metzdorf</t>
  </si>
  <si>
    <t>Scharhof</t>
  </si>
  <si>
    <t>Krum</t>
  </si>
  <si>
    <t>Zuchering</t>
  </si>
  <si>
    <t>Kaiserhammer Forst-Ost</t>
  </si>
  <si>
    <t>Lehmingen</t>
  </si>
  <si>
    <t>Laufamholz</t>
  </si>
  <si>
    <t>Herbartsdorf</t>
  </si>
  <si>
    <t>Altenkunstadt</t>
  </si>
  <si>
    <t>Tapfheim</t>
  </si>
  <si>
    <t>Leonberg</t>
  </si>
  <si>
    <t>Kleukheim</t>
  </si>
  <si>
    <t>Abersfeld</t>
  </si>
  <si>
    <t>Pichl</t>
  </si>
  <si>
    <t>Hohenberg</t>
  </si>
  <si>
    <t>Wallesau</t>
  </si>
  <si>
    <t>Nittenau</t>
  </si>
  <si>
    <t>Binzwangen</t>
  </si>
  <si>
    <t>Bischofsheim</t>
  </si>
  <si>
    <t>Weichering</t>
  </si>
  <si>
    <t>Walsdorf</t>
  </si>
  <si>
    <t>Holzheim a.Forst</t>
  </si>
  <si>
    <t>Pondorf</t>
  </si>
  <si>
    <t>Kirnberg</t>
  </si>
  <si>
    <t>Bergheim</t>
  </si>
  <si>
    <t>Bubenreuth</t>
  </si>
  <si>
    <t>Haard</t>
  </si>
  <si>
    <t>Grafentraubach</t>
  </si>
  <si>
    <t>Rennertshofen</t>
  </si>
  <si>
    <t>Moosbach</t>
  </si>
  <si>
    <t>Birkacher Wald</t>
  </si>
  <si>
    <t>Reichmannsdorf</t>
  </si>
  <si>
    <t>Trabelsdorf</t>
  </si>
  <si>
    <t>Spalt</t>
  </si>
  <si>
    <t>Mutzenroth</t>
  </si>
  <si>
    <t>Hitzhofen</t>
  </si>
  <si>
    <t>Sailershausen</t>
  </si>
  <si>
    <t>Sachsbach</t>
  </si>
  <si>
    <t>Wernersreuth</t>
  </si>
  <si>
    <t>Geisling</t>
  </si>
  <si>
    <t>Hofeck</t>
  </si>
  <si>
    <t>Buchenlohe</t>
  </si>
  <si>
    <t>Neuses b.Coburg</t>
  </si>
  <si>
    <t>Moosham</t>
  </si>
  <si>
    <t>Unterleinach</t>
  </si>
  <si>
    <t>Cadolzhofen</t>
  </si>
  <si>
    <t>Egelsheim</t>
  </si>
  <si>
    <t>Burgambach</t>
  </si>
  <si>
    <t>Sengkofen</t>
  </si>
  <si>
    <t>Untersambach</t>
  </si>
  <si>
    <t>Griesstetten</t>
  </si>
  <si>
    <t>Hemhofen</t>
  </si>
  <si>
    <t>Burglauer</t>
  </si>
  <si>
    <t>Obertraubling</t>
  </si>
  <si>
    <t>Neustetten</t>
  </si>
  <si>
    <t>Morlesau</t>
  </si>
  <si>
    <t>Windsbach</t>
  </si>
  <si>
    <t>Reckendorf</t>
  </si>
  <si>
    <t>Hofstetten</t>
  </si>
  <si>
    <t>Grumbach</t>
  </si>
  <si>
    <t>Megesheim</t>
  </si>
  <si>
    <t>Enkingen</t>
  </si>
  <si>
    <t>Michelau i.Steigerwald</t>
  </si>
  <si>
    <t>Aschbach</t>
  </si>
  <si>
    <t>Reichmannshausen</t>
  </si>
  <si>
    <t>Aichau</t>
  </si>
  <si>
    <t>Unterlauter</t>
  </si>
  <si>
    <t>Gerbersdorf</t>
  </si>
  <si>
    <t>Herkheim</t>
  </si>
  <si>
    <t>Aurach</t>
  </si>
  <si>
    <t>Poppenbach</t>
  </si>
  <si>
    <t>Manching</t>
  </si>
  <si>
    <t>Bockenfeld</t>
  </si>
  <si>
    <t>Wirmsthal</t>
  </si>
  <si>
    <t>Humprechtshausen</t>
  </si>
  <si>
    <t>Reuthlos</t>
  </si>
  <si>
    <t>Etterzhausen</t>
  </si>
  <si>
    <t>Kolmsdorf</t>
  </si>
  <si>
    <t>Erlenbach a.Main</t>
  </si>
  <si>
    <t>Auburg</t>
  </si>
  <si>
    <t>Priesendorf</t>
  </si>
  <si>
    <t>Stopfenheim</t>
  </si>
  <si>
    <t>Gressertshof</t>
  </si>
  <si>
    <t>Gramschatzer Wald</t>
  </si>
  <si>
    <t>Gossenberg</t>
  </si>
  <si>
    <t>Reuchelheim</t>
  </si>
  <si>
    <t>Wattenbach</t>
  </si>
  <si>
    <t>Heroldsbach</t>
  </si>
  <si>
    <t>Ernsgaden</t>
  </si>
  <si>
    <t>Dinkelshausen</t>
  </si>
  <si>
    <t>Neukirchen</t>
  </si>
  <si>
    <t>Motschenbach</t>
  </si>
  <si>
    <t>Donaustauf</t>
  </si>
  <si>
    <t>Anfelden</t>
  </si>
  <si>
    <t>Eschenbach i.d.OPf.</t>
  </si>
  <si>
    <t>Forst Kleinschwarzenlohe</t>
  </si>
  <si>
    <t>Enkering</t>
  </si>
  <si>
    <t>Appendorf</t>
  </si>
  <si>
    <t>Dornau</t>
  </si>
  <si>
    <t>Unterkotzau</t>
  </si>
  <si>
    <t>Baiersdorf</t>
  </si>
  <si>
    <t>Rettersheim</t>
  </si>
  <si>
    <t>Katschenreuth</t>
  </si>
  <si>
    <t>Karlskron</t>
  </si>
  <si>
    <t>Wiesenfeld b.Coburg</t>
  </si>
  <si>
    <t>Nittendorf</t>
  </si>
  <si>
    <t>Oettingen i.Bay.</t>
  </si>
  <si>
    <t>Riekofen</t>
  </si>
  <si>
    <t>Pautzfeld</t>
  </si>
  <si>
    <t>Hundsfeld</t>
  </si>
  <si>
    <t>Grundfeld</t>
  </si>
  <si>
    <t>Trisching</t>
  </si>
  <si>
    <t>Schamhaupten</t>
  </si>
  <si>
    <t>Lauter</t>
  </si>
  <si>
    <t>Winden</t>
  </si>
  <si>
    <t>Kleinseebach</t>
  </si>
  <si>
    <t>Irnsing</t>
  </si>
  <si>
    <t>Sulzbach a.d.Donau</t>
  </si>
  <si>
    <t>Pfatter</t>
  </si>
  <si>
    <t>Engleshof</t>
  </si>
  <si>
    <t>Obersiemau</t>
  </si>
  <si>
    <t>Rockolding</t>
  </si>
  <si>
    <t>Wendelstein</t>
  </si>
  <si>
    <t>Stepperg</t>
  </si>
  <si>
    <t>Leuchau</t>
  </si>
  <si>
    <t>Ziegelsdorf</t>
  </si>
  <si>
    <t>Thierstein</t>
  </si>
  <si>
    <t>Eckersbach</t>
  </si>
  <si>
    <t>Elpersdorf b.Windsbach</t>
  </si>
  <si>
    <t>Hienheim</t>
  </si>
  <si>
    <t>Lettenreuth</t>
  </si>
  <si>
    <t>Hepberg</t>
  </si>
  <si>
    <t>Bubenheim</t>
  </si>
  <si>
    <t>Dennenlohe</t>
  </si>
  <si>
    <t>Burghaslach</t>
  </si>
  <si>
    <t>Seigendorf</t>
  </si>
  <si>
    <t>Hansenried</t>
  </si>
  <si>
    <t>Wernberg</t>
  </si>
  <si>
    <t>Alburg</t>
  </si>
  <si>
    <t>Salmsdorf</t>
  </si>
  <si>
    <t>Remlingen</t>
  </si>
  <si>
    <t>Wolframs-Eschenbach</t>
  </si>
  <si>
    <t>Dorsbrunn</t>
  </si>
  <si>
    <t>Lichtenwald</t>
  </si>
  <si>
    <t>Wagenhofen</t>
  </si>
  <si>
    <t>Oberschwappach</t>
  </si>
  <si>
    <t>Cottenbach</t>
  </si>
  <si>
    <t>Bach a.d.Donau</t>
  </si>
  <si>
    <t>Hainsfarth</t>
  </si>
  <si>
    <t>Oberachdorf</t>
  </si>
  <si>
    <t>Abtsgreuth</t>
  </si>
  <si>
    <t>Deffersdorf</t>
  </si>
  <si>
    <t>Lauf</t>
  </si>
  <si>
    <t>Schalkhausen</t>
  </si>
  <si>
    <t>Rothensand</t>
  </si>
  <si>
    <t>Hohnhausen</t>
  </si>
  <si>
    <t>Pottenstetten</t>
  </si>
  <si>
    <t>Breitenlohe</t>
  </si>
  <si>
    <t>Wildensorg</t>
  </si>
  <si>
    <t>Vilshofen</t>
  </si>
  <si>
    <t>Kleinsorheim</t>
  </si>
  <si>
    <t>Klingen</t>
  </si>
  <si>
    <t>Unterwaiz</t>
  </si>
  <si>
    <t>Altershausen</t>
  </si>
  <si>
    <t>Steinach - gemeindefrei</t>
  </si>
  <si>
    <t>Meedensdorf</t>
  </si>
  <si>
    <t>Unterbruck</t>
  </si>
  <si>
    <t>Dengling</t>
  </si>
  <si>
    <t>Vorbach</t>
  </si>
  <si>
    <t>Thurn</t>
  </si>
  <si>
    <t>Leerstetten</t>
  </si>
  <si>
    <t>Oesdorf</t>
  </si>
  <si>
    <t>Birkach a.Forst</t>
  </si>
  <si>
    <t>Moschendorf</t>
  </si>
  <si>
    <t>Gelbelsee</t>
  </si>
  <si>
    <t>Menning</t>
  </si>
  <si>
    <t>Erlingshofen</t>
  </si>
  <si>
    <t>Taimering</t>
  </si>
  <si>
    <t>Unternesselbach</t>
  </si>
  <si>
    <t>Stausacker</t>
  </si>
  <si>
    <t>Erlenbach b.Marktheidenfeld</t>
  </si>
  <si>
    <t>Weiding in Schwarzach</t>
  </si>
  <si>
    <t>Sallern</t>
  </si>
  <si>
    <t>Mischelbach</t>
  </si>
  <si>
    <t>Selgenstadt</t>
  </si>
  <si>
    <t>Weipoltshausen</t>
  </si>
  <si>
    <t>Siegenhofen</t>
  </si>
  <si>
    <t>Zeublitz</t>
  </si>
  <si>
    <t>Pfraundorf</t>
  </si>
  <si>
    <t>Wasserberndorf</t>
  </si>
  <si>
    <t>Pflaumfeld</t>
  </si>
  <si>
    <t>Hohenschambach</t>
  </si>
  <si>
    <t>Wolfsbach</t>
  </si>
  <si>
    <t>Tauberfeld</t>
  </si>
  <si>
    <t>Feuchtwangen</t>
  </si>
  <si>
    <t>Rohrbach</t>
  </si>
  <si>
    <t>Kiefenholz</t>
  </si>
  <si>
    <t>Berg im Gau</t>
  </si>
  <si>
    <t>Poxdorf</t>
  </si>
  <si>
    <t>Schwenningen</t>
  </si>
  <si>
    <t>Haugenried</t>
  </si>
  <si>
    <t>Ismannsdorf</t>
  </si>
  <si>
    <t>Jeusing</t>
  </si>
  <si>
    <t>Trausnitz</t>
  </si>
  <si>
    <t>Appetshofen</t>
  </si>
  <si>
    <t>Unterschwaningen</t>
  </si>
  <si>
    <t>Burggrub</t>
  </si>
  <si>
    <t>Sulzfelder Forst</t>
  </si>
  <si>
    <t>Seitenthal</t>
  </si>
  <si>
    <t>Neuensorger Forst</t>
  </si>
  <si>
    <t>Rauberweiherhaus</t>
  </si>
  <si>
    <t>Wackerstein</t>
  </si>
  <si>
    <t>Beilngries</t>
  </si>
  <si>
    <t>Arzberger Forst</t>
  </si>
  <si>
    <t>Kersbach</t>
  </si>
  <si>
    <t>Weidnitz</t>
  </si>
  <si>
    <t>Haube</t>
  </si>
  <si>
    <t>Feldkirchen</t>
  </si>
  <si>
    <t>Dietldorf</t>
  </si>
  <si>
    <t>Schonderfeld</t>
  </si>
  <si>
    <t>Oberwallenstadt</t>
  </si>
  <si>
    <t>Grasheim</t>
  </si>
  <si>
    <t>Halsheim</t>
  </si>
  <si>
    <t>Demmelsdorf</t>
  </si>
  <si>
    <t>Kleinwalbur</t>
  </si>
  <si>
    <t>Hombeer</t>
  </si>
  <si>
    <t>Riedheim</t>
  </si>
  <si>
    <t>Raigering</t>
  </si>
  <si>
    <t>Kagers</t>
  </si>
  <si>
    <t>Waldsachsen</t>
  </si>
  <si>
    <t>Dittlofsroda</t>
  </si>
  <si>
    <t>Schnaittenbach</t>
  </si>
  <si>
    <t>Wassermungenau</t>
  </si>
  <si>
    <t>Oberlangenstadt</t>
  </si>
  <si>
    <t>Allmannsdorf</t>
  </si>
  <si>
    <t>Thonhausen</t>
  </si>
  <si>
    <t>Trailsdorf</t>
  </si>
  <si>
    <t>Geltolfing</t>
  </si>
  <si>
    <t>Baar</t>
  </si>
  <si>
    <t>Feuerthal</t>
  </si>
  <si>
    <t>Petersaurach</t>
  </si>
  <si>
    <t>Veitlahm</t>
  </si>
  <si>
    <t>Ammersricht</t>
  </si>
  <si>
    <t>Neuburg a.d.Donau</t>
  </si>
  <si>
    <t>Appertshofen</t>
  </si>
  <si>
    <t>Urspringen</t>
  </si>
  <si>
    <t>Graben</t>
  </si>
  <si>
    <t>Biesenhard</t>
  </si>
  <si>
    <t>Neustadt a.d.Donau</t>
  </si>
  <si>
    <t>Wieseth</t>
  </si>
  <si>
    <t>Bundorfer Forst</t>
  </si>
  <si>
    <t>Fridritt</t>
  </si>
  <si>
    <t>Deusdorf</t>
  </si>
  <si>
    <t>Stammham</t>
  </si>
  <si>
    <t>Oesfeld</t>
  </si>
  <si>
    <t>Theisau</t>
  </si>
  <si>
    <t>Zusum</t>
  </si>
  <si>
    <t>Buch a.Wald</t>
  </si>
  <si>
    <t>Roding</t>
  </si>
  <si>
    <t>Frohnlach</t>
  </si>
  <si>
    <t>Burkheim</t>
  </si>
  <si>
    <t>Esbach</t>
  </si>
  <si>
    <t>Zeitlarn</t>
  </si>
  <si>
    <t>Hollenbach</t>
  </si>
  <si>
    <t>Fitzendorf</t>
  </si>
  <si>
    <t>Ballersdorf</t>
  </si>
  <si>
    <t>Rohrenfels</t>
  </si>
  <si>
    <t>Perkam</t>
  </si>
  <si>
    <t>Feilersdorf</t>
  </si>
  <si>
    <t>Schnodsenbach</t>
  </si>
  <si>
    <t>Holheim</t>
  </si>
  <si>
    <t>Oberzell</t>
  </si>
  <si>
    <t>Duggendorf</t>
  </si>
  <si>
    <t>Haimbuch</t>
  </si>
  <si>
    <t>Cronheim</t>
  </si>
  <si>
    <t>Windischbuchen</t>
  </si>
  <si>
    <t>Schwaig</t>
  </si>
  <si>
    <t>Michldorf</t>
  </si>
  <si>
    <t>Kemmathen</t>
  </si>
  <si>
    <t>Bonnland</t>
  </si>
  <si>
    <t>Gremheim</t>
  </si>
  <si>
    <t>Zeller Forst-Ost</t>
  </si>
  <si>
    <t>Hafenpreppach</t>
  </si>
  <si>
    <t>Watzendorf</t>
  </si>
  <si>
    <t>Rudelsdorf</t>
  </si>
  <si>
    <t>Enderndorf am See</t>
  </si>
  <si>
    <t>Nabburg</t>
  </si>
  <si>
    <t>Zettmannsdorf</t>
  </si>
  <si>
    <t>Bruderwald</t>
  </si>
  <si>
    <t>Neuensorg</t>
  </si>
  <si>
    <t>Falkenstein</t>
  </si>
  <si>
    <t>Limmersdorfer Forst</t>
  </si>
  <si>
    <t>Geisfeld</t>
  </si>
  <si>
    <t>Oberoberndorf</t>
  </si>
  <si>
    <t>Lay</t>
  </si>
  <si>
    <t>Megmannsdorf</t>
  </si>
  <si>
    <t>Eich</t>
  </si>
  <si>
    <t>Pilsheim</t>
  </si>
  <si>
    <t>Kirchschletten</t>
  </si>
  <si>
    <t>Reutern</t>
  </si>
  <si>
    <t>Mauern</t>
  </si>
  <si>
    <t>Bellershausen</t>
  </si>
  <si>
    <t>Hartlanden</t>
  </si>
  <si>
    <t>Rudendorf</t>
  </si>
  <si>
    <t>Messenfeld</t>
  </si>
  <si>
    <t>Westerhofen</t>
  </si>
  <si>
    <t>Munzingen</t>
  </si>
  <si>
    <t>Trainau</t>
  </si>
  <si>
    <t>Elsenfeld</t>
  </si>
  <si>
    <t>Mittelramstadt</t>
  </si>
  <si>
    <t>Harburg (Schwaben)</t>
  </si>
  <si>
    <t>Hafenlohr</t>
  </si>
  <si>
    <t>Erlabronn</t>
  </si>
  <si>
    <t>Schlottenhof</t>
  </si>
  <si>
    <t>Kinding</t>
  </si>
  <si>
    <t>Kraftshofer Forst</t>
  </si>
  <si>
    <t>Langenerling</t>
  </si>
  <si>
    <t>Atting</t>
  </si>
  <si>
    <t>Forst Tennenlohe</t>
  </si>
  <si>
    <t>Obersulzbach</t>
  </si>
  <si>
    <t>Wolfsloch</t>
  </si>
  <si>
    <t>Burgkunstadt</t>
  </si>
  <si>
    <t>Joshofen</t>
  </si>
  <si>
    <t>Winbuch</t>
  </si>
  <si>
    <t>Harburg</t>
  </si>
  <si>
    <t>Pilsting</t>
  </si>
  <si>
    <t>Neuenhinzenhausen</t>
  </si>
  <si>
    <t>Naabeck</t>
  </si>
  <si>
    <t>Freihaslach</t>
  </si>
  <si>
    <t>Mainroth</t>
  </si>
  <si>
    <t>Treidling</t>
  </si>
  <si>
    <t>Altenhof</t>
  </si>
  <si>
    <t>Hohenroth</t>
  </si>
  <si>
    <t>Wohnau</t>
  </si>
  <si>
    <t>Klingen - Painten</t>
  </si>
  <si>
    <t>Schweisdorf</t>
  </si>
  <si>
    <t>Arresting</t>
  </si>
  <si>
    <t>Stegenthumbach</t>
  </si>
  <si>
    <t>Katzenrohrbach</t>
  </si>
  <si>
    <t>Wolfsbuch</t>
  </si>
  <si>
    <t>Duttenbrunn</t>
  </si>
  <si>
    <t>Altmannstein</t>
  </si>
  <si>
    <t>Bertoldsheim</t>
  </si>
  <si>
    <t>Griesau</t>
  </si>
  <si>
    <t>Mitterharthausen</t>
  </si>
  <si>
    <t>Callenberger Forst-West</t>
  </si>
  <si>
    <t>Laimerstadt</t>
  </si>
  <si>
    <t>Derndorf</t>
  </si>
  <si>
    <t>Oberfelden</t>
  </si>
  <si>
    <t>Reichenbach</t>
  </si>
  <si>
    <t>Kurzenaltheim</t>
  </si>
  <si>
    <t>Bernhardswinden</t>
  </si>
  <si>
    <t>Neuses a.Raueneck</t>
  </si>
  <si>
    <t>Lanzenried</t>
  </si>
  <si>
    <t>Forsthof</t>
  </si>
  <si>
    <t>Ruthmannsweiler</t>
  </si>
  <si>
    <t>Steinsberg</t>
  </si>
  <si>
    <t>Stadldorf</t>
  </si>
  <si>
    <t>Saltendorf</t>
  </si>
  <si>
    <t>Stillnau</t>
  </si>
  <si>
    <t>Kleinlellenfeld</t>
  </si>
  <si>
    <t>Insingen</t>
  </si>
  <si>
    <t>Friesen</t>
  </si>
  <si>
    <t>Laudenbach</t>
  </si>
  <si>
    <t>Rabelsdorf</t>
  </si>
  <si>
    <t>Rodach</t>
  </si>
  <si>
    <t>Mannsgereuth</t>
  </si>
  <si>
    <t>Gebelkofen</t>
  </si>
  <si>
    <t>Aiterhofen</t>
  </si>
  <si>
    <t>Nassenfels</t>
  </si>
  <si>
    <t>Etsdorf</t>
  </si>
  <si>
    <t>Heilbronn</t>
  </si>
  <si>
    <t>Lappersdorf</t>
  </si>
  <si>
    <t>Oppertshofen</t>
  </si>
  <si>
    <t>Meierndorf</t>
  </si>
  <si>
    <t>Pielenhofer Wald r.d.Naab</t>
  </si>
  <si>
    <t>Alteglofsheim</t>
  </si>
  <si>
    <t>Oberscheinfeld</t>
  </si>
  <si>
    <t>Hesselbach</t>
  </si>
  <si>
    <t>Winkelhaid</t>
  </si>
  <si>
    <t>Neunkirchen b.Weiden</t>
  </si>
  <si>
    <t>Wemding</t>
  </si>
  <si>
    <t>Frauenricht</t>
  </si>
  <si>
    <t>Mallersdorf</t>
  </si>
  <si>
    <t>Rain</t>
  </si>
  <si>
    <t>Pfaffenreuth</t>
  </si>
  <si>
    <t>Vilseck</t>
  </si>
  <si>
    <t>Obersteinbach</t>
  </si>
  <si>
    <t>Kondrau</t>
  </si>
  <si>
    <t>Hornstorf</t>
  </si>
  <si>
    <t>Tauperlitz</t>
  </si>
  <si>
    <t>Bubach a.Forst</t>
  </si>
  <si>
    <t>Dattenhausen</t>
  </si>
  <si>
    <t>Schierling</t>
  </si>
  <si>
    <t>Damm</t>
  </si>
  <si>
    <t>Isling</t>
  </si>
  <si>
    <t>Schlimpfhof</t>
  </si>
  <si>
    <t>Zerzabelshofer Forst</t>
  </si>
  <si>
    <t>Thalmassing</t>
  </si>
  <si>
    <t>Karlshuld</t>
  </si>
  <si>
    <t>Hasloch</t>
  </si>
  <si>
    <t>Oestheim</t>
  </si>
  <si>
    <t>Oberschwaningen</t>
  </si>
  <si>
    <t>Burgwindheim</t>
  </si>
  <si>
    <t>Gosheim</t>
  </si>
  <si>
    <t>Wittershausen</t>
  </si>
  <si>
    <t>Ittling</t>
  </si>
  <si>
    <t>Bergen</t>
  </si>
  <si>
    <t>Oberdolling</t>
  </si>
  <si>
    <t>Unterebersbach</t>
  </si>
  <si>
    <t>Enzenrieth</t>
  </si>
  <si>
    <t>Hofdorf</t>
  </si>
  <si>
    <t>Mangersreuth</t>
  </si>
  <si>
    <t>Wiesenfeld</t>
  </si>
  <si>
    <t>Neunkirchen b.Leutershausen</t>
  </si>
  <si>
    <t>Schwarzach b.Nabburg</t>
  </si>
  <si>
    <t>Ehring</t>
  </si>
  <si>
    <t>Kasing</t>
  </si>
  <si>
    <t>Behringersdorf</t>
  </si>
  <si>
    <t>Ilmendorf</t>
  </si>
  <si>
    <t>Kaspeltshub</t>
  </si>
  <si>
    <t>Meerbodenreuth</t>
  </si>
  <si>
    <t>Mannhofer Forst</t>
  </si>
  <si>
    <t>Iffelsdorf</t>
  </si>
  <si>
    <t>Hellkofen</t>
  </si>
  <si>
    <t>Mettendorf</t>
  </si>
  <si>
    <t>Stemmas</t>
  </si>
  <si>
    <t>Wohlbach</t>
  </si>
  <si>
    <t>Sulzkirchen</t>
  </si>
  <si>
    <t>Trennfurt</t>
  </si>
  <si>
    <t>Schmeilsdorf</t>
  </si>
  <si>
    <t>Untere Mark</t>
  </si>
  <si>
    <t>Lembach</t>
  </si>
  <si>
    <t>Berghausen</t>
  </si>
  <si>
    <t>Riedern</t>
  </si>
  <si>
    <t>Alzenau</t>
  </si>
  <si>
    <t>Langenmosen</t>
  </si>
  <si>
    <t>Tiefenbach</t>
  </si>
  <si>
    <t>Wackersdorf</t>
  </si>
  <si>
    <t>Breitbach</t>
  </si>
  <si>
    <t>Oberschwarzach</t>
  </si>
  <si>
    <t>Buch a.Forst</t>
  </si>
  <si>
    <t>Mendorf</t>
  </si>
  <si>
    <t>Zell a.Ebersberg</t>
  </si>
  <si>
    <t>Salching</t>
  </si>
  <si>
    <t>Feilitzsch</t>
  </si>
  <si>
    <t>Sonnenried</t>
  </si>
  <si>
    <t>Fattigau</t>
  </si>
  <si>
    <t>Affecking</t>
  </si>
  <si>
    <t>Oeslau</t>
  </si>
  <si>
    <t>Unterwohlsbach</t>
  </si>
  <si>
    <t>Gereuth</t>
  </si>
  <si>
    <t>Premich</t>
  </si>
  <si>
    <t>Forst Buch a.Forst</t>
  </si>
  <si>
    <t>Kneiting</t>
  </si>
  <si>
    <t>Halbersdorf</t>
  </si>
  <si>
    <t>Auerbach</t>
  </si>
  <si>
    <t>Elpersdorf b.Ansbach</t>
  </si>
  <si>
    <t>Zeckendorf</t>
  </si>
  <si>
    <t>Langheim</t>
  </si>
  <si>
    <t>Schabringen</t>
  </si>
  <si>
    <t>Erlenstegener Forst</t>
  </si>
  <si>
    <t>Schwabsroth</t>
  </si>
  <si>
    <t>Theilenhofen</t>
  </si>
  <si>
    <t>Kirchaich</t>
  </si>
  <si>
    <t>Bruckbergerau</t>
  </si>
  <si>
    <t>Tremmersdorf</t>
  </si>
  <si>
    <t>Wenigumstadt</t>
  </si>
  <si>
    <t>Arzberg</t>
  </si>
  <si>
    <t>Pflochsbach</t>
  </si>
  <si>
    <t>Euerdorfer Forst</t>
  </si>
  <si>
    <t>Brunnenthal</t>
  </si>
  <si>
    <t>Hohenaltheim</t>
  </si>
  <si>
    <t>Weisbrunn</t>
  </si>
  <si>
    <t>Buckenhofen</t>
  </si>
  <si>
    <t>Irlbach</t>
  </si>
  <si>
    <t>Oberglauheim</t>
  </si>
  <si>
    <t>Wiefelsdorf</t>
  </si>
  <si>
    <t>Ebersdorf b.Coburg</t>
  </si>
  <si>
    <t>Bettenfeld</t>
  </si>
  <si>
    <t>Eichelsdorf</t>
  </si>
  <si>
    <t>Isaar</t>
  </si>
  <si>
    <t>Veitriedhausen</t>
  </si>
  <si>
    <t>Wolframshof</t>
  </si>
  <si>
    <t>Heitzenhofen</t>
  </si>
  <si>
    <t>Herrnwahlthann</t>
  </si>
  <si>
    <t>Selb</t>
  </si>
  <si>
    <t>Frauenriedhausen</t>
  </si>
  <si>
    <t>Thomasreuth</t>
  </si>
  <si>
    <t>Irchenrieth</t>
  </si>
  <si>
    <t>Retzstadt</t>
  </si>
  <si>
    <t>Malzhausen</t>
  </si>
  <si>
    <t>Klosterberg</t>
  </si>
  <si>
    <t>Reith</t>
  </si>
  <si>
    <t>Unterfahlheim</t>
  </si>
  <si>
    <t>Utzwingen</t>
  </si>
  <si>
    <t>Naisa</t>
  </si>
  <si>
    <t>Rogging</t>
  </si>
  <si>
    <t>Schobdach</t>
  </si>
  <si>
    <t>Weidhausen b.Coburg</t>
  </si>
  <si>
    <t>Burgwallbach</t>
  </si>
  <si>
    <t>Freihaslach Nordwest</t>
  </si>
  <si>
    <t>Teugn</t>
  </si>
  <si>
    <t>Fronhofen</t>
  </si>
  <si>
    <t>Zedtwitz</t>
  </si>
  <si>
    <t>Wittelshofen</t>
  </si>
  <si>
    <t>Wolkering</t>
  </si>
  <si>
    <t>Pfaffenhofen a.d.Zusam</t>
  </si>
  <si>
    <t>Niederachdorf</t>
  </si>
  <si>
    <t>Inkofen</t>
  </si>
  <si>
    <t>Reisensburg</t>
  </si>
  <si>
    <t>Offenstetten</t>
  </si>
  <si>
    <t>Burk</t>
  </si>
  <si>
    <t>Burgmagerbein</t>
  </si>
  <si>
    <t>Bergnersreuth</t>
  </si>
  <si>
    <t>Reibersdorf</t>
  </si>
  <si>
    <t>Eining</t>
  </si>
  <si>
    <t>Nersingen</t>
  </si>
  <si>
    <t>Wellheim</t>
  </si>
  <si>
    <t>Wittislingen</t>
  </si>
  <si>
    <t>Mindorf</t>
  </si>
  <si>
    <t>Deisenhofen</t>
  </si>
  <si>
    <t>Petzkofen</t>
  </si>
  <si>
    <t>Weinsfeld</t>
  </si>
  <si>
    <t>Sechsthal</t>
  </si>
  <si>
    <t>Freihung</t>
  </si>
  <si>
    <t>Laffenau</t>
  </si>
  <si>
    <t>Niedermotzing</t>
  </si>
  <si>
    <t>Bruck i.d.OPf.</t>
  </si>
  <si>
    <t>Weyersfeld</t>
  </si>
  <si>
    <t>Metting</t>
  </si>
  <si>
    <t>Pfakofen</t>
  </si>
  <si>
    <t>Selber Forst</t>
  </si>
  <si>
    <t>Konstein</t>
  </si>
  <si>
    <t>Meeder</t>
  </si>
  <si>
    <t>Lochenbach</t>
  </si>
  <si>
    <t>Schwabelweis</t>
  </si>
  <si>
    <t>Gundelfingen a.d.Donau</t>
  </si>
  <si>
    <t>Riedlingen</t>
  </si>
  <si>
    <t>Peising</t>
  </si>
  <si>
    <t>Nentschau</t>
  </si>
  <si>
    <t>Hainsacker</t>
  </si>
  <si>
    <t>Rieshofen</t>
  </si>
  <si>
    <t>Fuchsendorf</t>
  </si>
  <si>
    <t>Untersteinach</t>
  </si>
  <si>
    <t>Weilbach</t>
  </si>
  <si>
    <t>Engenthal</t>
  </si>
  <si>
    <t>Ermetzhof</t>
  </si>
  <si>
    <t>Tanzfleck</t>
  </si>
  <si>
    <t>Eggolsheim</t>
  </si>
  <si>
    <t>Leipheim</t>
  </si>
  <si>
    <t>Auchsesheim</t>
  </si>
  <si>
    <t>Hirschau</t>
  </si>
  <si>
    <t>Hilpoltstein</t>
  </si>
  <si>
    <t>Aufkirchen</t>
  </si>
  <si>
    <t>Brunnau</t>
  </si>
  <si>
    <t>Aufhausen</t>
  </si>
  <si>
    <t>Blindheim</t>
  </si>
  <si>
    <t>Triftlfing</t>
  </si>
  <si>
    <t>Wartmannsroth</t>
  </si>
  <si>
    <t>Filchendorf</t>
  </si>
  <si>
    <t>Isenbrunn</t>
  </si>
  <si>
    <t>Bernhardswald</t>
  </si>
  <si>
    <t>Semberg</t>
  </si>
  <si>
    <t>Winzer</t>
  </si>
  <si>
    <t>Mitterdorf</t>
  </si>
  <si>
    <t>Kirchlauter</t>
  </si>
  <si>
    <t>Reichertshofen</t>
  </si>
  <si>
    <t>Cortendorf</t>
  </si>
  <si>
    <t>Karlstein</t>
  </si>
  <si>
    <t>Oberisling</t>
  </si>
  <si>
    <t>Haarth</t>
  </si>
  <si>
    <t>Obermotzing</t>
  </si>
  <si>
    <t>Ammerthal</t>
  </si>
  <si>
    <t>Forstwald</t>
  </si>
  <si>
    <t>Niederharthausen</t>
  </si>
  <si>
    <t>Gastenfelden</t>
  </si>
  <si>
    <t>Aholfing</t>
  </si>
  <si>
    <t>Geisenfeld</t>
  </si>
  <si>
    <t>Volkmannsdorferau</t>
  </si>
  <si>
    <t>Albersdorf</t>
  </si>
  <si>
    <t>Rottensteiner Forst</t>
  </si>
  <si>
    <t>Windischletten</t>
  </si>
  <si>
    <t>Eschenau</t>
  </si>
  <si>
    <t>Donaualtheim</t>
  </si>
  <si>
    <t>Ettling</t>
  </si>
  <si>
    <t>Thanheim</t>
  </si>
  <si>
    <t>Diendorf</t>
  </si>
  <si>
    <t>Mertingen</t>
  </si>
  <si>
    <t>Brachstadt</t>
  </si>
  <si>
    <t>Waibling</t>
  </si>
  <si>
    <t>Rapperszell</t>
  </si>
  <si>
    <t>Seugast</t>
  </si>
  <si>
    <t>Mallersricht</t>
  </si>
  <si>
    <t>Lutzingen</t>
  </si>
  <si>
    <t>Speinshart</t>
  </si>
  <si>
    <t>Adelsberg</t>
  </si>
  <si>
    <t>Strahlungen</t>
  </si>
  <si>
    <t>Lintach</t>
  </si>
  <si>
    <t>Unterglauheim</t>
  </si>
  <si>
    <t>Sonderheim</t>
  </si>
  <si>
    <t>Zaitzkofen</t>
  </si>
  <si>
    <t>Marxheim</t>
  </si>
  <si>
    <t>Eschlbach</t>
  </si>
  <si>
    <t>Feilenforst</t>
  </si>
  <si>
    <t>Hohenwart</t>
  </si>
  <si>
    <t>Neustadt am Kulm</t>
  </si>
  <si>
    <t>Haidenkofen</t>
  </si>
  <si>
    <t>Adelschlag</t>
  </si>
  <si>
    <t>Filke</t>
  </si>
  <si>
    <t>Unterdolling</t>
  </si>
  <si>
    <t>Hauzenstein</t>
  </si>
  <si>
    <t>Ebermergen</t>
  </si>
  <si>
    <t>Gailsbach</t>
  </si>
  <si>
    <t>Pfellkofen</t>
  </si>
  <si>
    <t>Weihern</t>
  </si>
  <si>
    <t>Oberfahlheim</t>
  </si>
  <si>
    <t>Leuzenbronn</t>
  </si>
  <si>
    <t>Buttenheim</t>
  </si>
  <si>
    <t>Ehingen a.Ries</t>
  </si>
  <si>
    <t>Faimingen</t>
  </si>
  <si>
    <t>Hutschdorf</t>
  </si>
  <si>
    <t>Grub</t>
  </si>
  <si>
    <t>Eichendorf</t>
  </si>
  <si>
    <t>Untermichelbach</t>
  </si>
  <si>
    <t>Ursulapoppenricht</t>
  </si>
  <si>
    <t>Patersholz</t>
  </si>
  <si>
    <t>Wondreb</t>
  </si>
  <si>
    <t>Trossenfurt</t>
  </si>
  <si>
    <t>Schneckenlohe</t>
  </si>
  <si>
    <t>Wiesent</t>
  </si>
  <si>
    <t>Sassendorf</t>
  </si>
  <si>
    <t>Falsbrunn</t>
  </si>
  <si>
    <t>Regenpeilstein</t>
  </si>
  <si>
    <t>Landau a.d.Isar</t>
  </si>
  <si>
    <t>Pechgraben</t>
  </si>
  <si>
    <t>Pielenhofen</t>
  </si>
  <si>
    <t>Ehrl</t>
  </si>
  <si>
    <t>Hirschling</t>
  </si>
  <si>
    <t>Zeickhorn</t>
  </si>
  <si>
    <t>Emhof</t>
  </si>
  <si>
    <t>Meyernberg</t>
  </si>
  <si>
    <t>Roden</t>
  </si>
  <si>
    <t>Leiblfing</t>
  </si>
  <si>
    <t>Tettenwang</t>
  </si>
  <si>
    <t>Lentersheim</t>
  </si>
  <si>
    <t>Allersburg</t>
  </si>
  <si>
    <t>Lichtenstein</t>
  </si>
  <si>
    <t>Warnhofen</t>
  </si>
  <si>
    <t>Markt Taschendorf</t>
  </si>
  <si>
    <t>Stiefenberg</t>
  </si>
  <si>
    <t>Bachhausen</t>
  </si>
  <si>
    <t>Beuerfeld</t>
  </si>
  <si>
    <t>Hohenwald</t>
  </si>
  <si>
    <t>Schneeberg</t>
  </si>
  <si>
    <t>Kirchberg</t>
  </si>
  <si>
    <t>Brunst</t>
  </si>
  <si>
    <t>Kottenbrunn</t>
  </si>
  <si>
    <t>Joditz</t>
  </si>
  <si>
    <t>Korbersdorf</t>
  </si>
  <si>
    <t>Obersunzing</t>
  </si>
  <si>
    <t>Dentlein a.Forst</t>
  </si>
  <si>
    <t>Pittrich</t>
  </si>
  <si>
    <t>Arnstorf</t>
  </si>
  <si>
    <t>Thierlstein</t>
  </si>
  <si>
    <t>Stralsbach</t>
  </si>
  <si>
    <t>Schretzheim</t>
  </si>
  <si>
    <t>Friesendorf</t>
  </si>
  <si>
    <t>Frankenbrunn</t>
  </si>
  <si>
    <t>Nordheim</t>
  </si>
  <si>
    <t>Oberbibrach</t>
  </si>
  <si>
    <t>Guttenthau</t>
  </si>
  <si>
    <t>Langenbruck</t>
  </si>
  <si>
    <t>Wasserlos</t>
  </si>
  <si>
    <t>Limmersdorf I</t>
  </si>
  <si>
    <t>Pfuhl</t>
  </si>
  <si>
    <t>Krapfenau</t>
  </si>
  <si>
    <t>Hagelstadt</t>
  </si>
  <si>
    <t>Stadelhofen</t>
  </si>
  <si>
    <t>Walderbach</t>
  </si>
  <si>
    <t>Eckartsweiler</t>
  </si>
  <si>
    <t>Neuhausen</t>
  </si>
  <si>
    <t>Buckenhofer Forst</t>
  </si>
  <si>
    <t>Rentweinsdorfer Hauptwald</t>
  </si>
  <si>
    <t>Seifriedsburg</t>
  </si>
  <si>
    <t>Neusling</t>
  </si>
  <si>
    <t>Geilsheim</t>
  </si>
  <si>
    <t>Beiersdorf b.Coburg</t>
  </si>
  <si>
    <t>Steinhart</t>
  </si>
  <si>
    <t>Mitteleschenbach</t>
  </si>
  <si>
    <t>Weihersberg</t>
  </si>
  <si>
    <t>Aichig</t>
  </si>
  <si>
    <t>Ullersberg</t>
  </si>
  <si>
    <t>Oberhinkofen</t>
  </si>
  <si>
    <t>Langfurth</t>
  </si>
  <si>
    <t>Priegendorf</t>
  </si>
  <si>
    <t>Untersteinbach</t>
  </si>
  <si>
    <t>Dorfkemmathen</t>
  </si>
  <si>
    <t>Altenstadt a.d.Waldnaab</t>
  </si>
  <si>
    <t>Pyras</t>
  </si>
  <si>
    <t>Bad Abbach</t>
  </si>
  <si>
    <t>Unterhausen</t>
  </si>
  <si>
    <t>Trebsau</t>
  </si>
  <si>
    <t>Wolferkofen</t>
  </si>
  <si>
    <t>Colmberg</t>
  </si>
  <si>
    <t>Penting</t>
  </si>
  <si>
    <t>Frankfurt</t>
  </si>
  <si>
    <t>Windshausen</t>
  </si>
  <si>
    <t>Weiher</t>
  </si>
  <si>
    <t>Burgheim</t>
  </si>
  <si>
    <t>Burghagel</t>
  </si>
  <si>
    <t>Ziswingen</t>
  </si>
  <si>
    <t>Meihern</t>
  </si>
  <si>
    <t>Meckenhausen</t>
  </si>
  <si>
    <t>Seitenbuch</t>
  </si>
  <si>
    <t>Wurz</t>
  </si>
  <si>
    <t>Lohma</t>
  </si>
  <si>
    <t>Echenbrunn</t>
  </si>
  <si>
    <t>Friedersried</t>
  </si>
  <si>
    <t>Steinheim</t>
  </si>
  <si>
    <t>Hattenhausen</t>
  </si>
  <si>
    <t>Kautendorf</t>
  </si>
  <si>
    <t>Ziertheim</t>
  </si>
  <si>
    <t>Wenzenbach</t>
  </si>
  <si>
    <t>Oberhartheim</t>
  </si>
  <si>
    <t>Brudersdorf</t>
  </si>
  <si>
    <t>Oberzeitldorn</t>
  </si>
  <si>
    <t>Marktoffingen</t>
  </si>
  <si>
    <t>Unterstall</t>
  </si>
  <si>
    <t>Unterwittbach</t>
  </si>
  <si>
    <t>Haidlfing</t>
  </si>
  <si>
    <t>Dietfurt i.MFr.</t>
  </si>
  <si>
    <t>Allkofen</t>
  </si>
  <si>
    <t>Bodenstein</t>
  </si>
  <si>
    <t>Oberkotzau</t>
  </si>
  <si>
    <t>Hackelberg</t>
  </si>
  <si>
    <t>Losau</t>
  </si>
  <si>
    <t>Buckenhof</t>
  </si>
  <si>
    <t>Geusfeld</t>
  </si>
  <si>
    <t>Oberfinningen</t>
  </si>
  <si>
    <t>Banzenweiler</t>
  </si>
  <si>
    <t>Ziegelsambach</t>
  </si>
  <si>
    <t>Oberthulba</t>
  </si>
  <si>
    <t>Lisberg</t>
  </si>
  <si>
    <t>Mechenhard</t>
  </si>
  <si>
    <t>Welkendorf</t>
  </si>
  <si>
    <t>Lauingen (Donau)</t>
  </si>
  <si>
    <t>Kronwinkl</t>
  </si>
  <si>
    <t>Altenmarkt</t>
  </si>
  <si>
    <t>Schafshill</t>
  </si>
  <si>
    <t>Krachenhausen</t>
  </si>
  <si>
    <t>Unterweilersbach</t>
  </si>
  <si>
    <t>Ganacker</t>
  </si>
  <si>
    <t>Polsingen</t>
  </si>
  <si>
    <t>Eching</t>
  </si>
  <si>
    <t>Wernfels</t>
  </si>
  <si>
    <t>Hetzlos</t>
  </si>
  <si>
    <t>Pullach</t>
  </si>
  <si>
    <t>Reuth</t>
  </si>
  <si>
    <t>Unterzeitldorn</t>
  </si>
  <si>
    <t>Kaimling</t>
  </si>
  <si>
    <t>Echendorf</t>
  </si>
  <si>
    <t>Pobenhausen</t>
  </si>
  <si>
    <t>Niederschneiding</t>
  </si>
  <si>
    <t>Asbach</t>
  </si>
  <si>
    <t>Katzenbach</t>
  </si>
  <si>
    <t>Ketschendorf</t>
  </si>
  <si>
    <t>Leimitz</t>
  </si>
  <si>
    <t>Meinheim</t>
  </si>
  <si>
    <t>Weitramsdorf</t>
  </si>
  <si>
    <t>Waidhofen</t>
  </si>
  <si>
    <t>Saalhaupt</t>
  </si>
  <si>
    <t>Leuchtenberg</t>
  </si>
  <si>
    <t>Ohu</t>
  </si>
  <si>
    <t>Heppdiel</t>
  </si>
  <si>
    <t>Geisenfeldwinden</t>
  </si>
  <si>
    <t>Lanz</t>
  </si>
  <si>
    <t>Poppenroth</t>
  </si>
  <si>
    <t>Schippach/Els</t>
  </si>
  <si>
    <t>Hammerles</t>
  </si>
  <si>
    <t>Dornstadt</t>
  </si>
  <si>
    <t>Poign</t>
  </si>
  <si>
    <t>Sonnefelder Forst-West</t>
  </si>
  <si>
    <t>Kohlberg</t>
  </si>
  <si>
    <t>Oberbechingen</t>
  </si>
  <si>
    <t>Kemnath a.Buchberg</t>
  </si>
  <si>
    <t>Staudheim</t>
  </si>
  <si>
    <t>Hirschberg</t>
  </si>
  <si>
    <t>Eggelstetten</t>
  </si>
  <si>
    <t>Garsdorf</t>
  </si>
  <si>
    <t>Umpfenbach</t>
  </si>
  <si>
    <t>Sankt Johannis</t>
  </si>
  <si>
    <t>Erkersreuth</t>
  </si>
  <si>
    <t>Braunried</t>
  </si>
  <si>
    <t>Hof a.Regen</t>
  </si>
  <si>
    <t>Harrlach</t>
  </si>
  <si>
    <t>Sonnefeld</t>
  </si>
  <si>
    <t>Niedermurach</t>
  </si>
  <si>
    <t>Stettenhofen</t>
  </si>
  <si>
    <t>Adldorf</t>
  </si>
  <si>
    <t>Gumpen</t>
  </si>
  <si>
    <t>Hohenkemnath</t>
  </si>
  <si>
    <t>Upfkofen</t>
  </si>
  <si>
    <t>Oberliezheim</t>
  </si>
  <si>
    <t>Donndorf</t>
  </si>
  <si>
    <t>Belzheim</t>
  </si>
  <si>
    <t>Tegernheim</t>
  </si>
  <si>
    <t>Neunkirchen</t>
  </si>
  <si>
    <t>Martinsreuth</t>
  </si>
  <si>
    <t>Wetterfeld</t>
  </si>
  <si>
    <t>Oberpiebing</t>
  </si>
  <si>
    <t>Creidlitz</t>
  </si>
  <si>
    <t>Feucht</t>
  </si>
  <si>
    <t>Unterlaichling</t>
  </si>
  <si>
    <t>Berg</t>
  </si>
  <si>
    <t>Limmersdorf II</t>
  </si>
  <si>
    <t>Parleiten</t>
  </si>
  <si>
    <t>Bergendorf</t>
  </si>
  <si>
    <t>Lobsing</t>
  </si>
  <si>
    <t>Rehau</t>
  </si>
  <si>
    <t>Niederhinkofen</t>
  </si>
  <si>
    <t>Postau</t>
  </si>
  <si>
    <t>Parkstetten</t>
  </si>
  <si>
    <t>Arnbuch</t>
  </si>
  <si>
    <t>Lopp</t>
  </si>
  <si>
    <t>Weisingen</t>
  </si>
  <si>
    <t>Stefling</t>
  </si>
  <si>
    <t>Wolferlohe</t>
  </si>
  <si>
    <t>Geibenstetten</t>
  </si>
  <si>
    <t>Neuessing</t>
  </si>
  <si>
    <t>Haunsheim</t>
  </si>
  <si>
    <t>Schwarzenberg</t>
  </si>
  <si>
    <t>Vorderbreitenthann</t>
  </si>
  <si>
    <t>Parkstein</t>
  </si>
  <si>
    <t>Lohstadt</t>
  </si>
  <si>
    <t>Dornwang</t>
  </si>
  <si>
    <t>Staubing</t>
  </si>
  <si>
    <t>Colmdorf</t>
  </si>
  <si>
    <t>Dreuschendorf</t>
  </si>
  <si>
    <t>Seedorf</t>
  </si>
  <si>
    <t>Greding</t>
  </si>
  <si>
    <t>Thalheim</t>
  </si>
  <si>
    <t>Feldheim</t>
  </si>
  <si>
    <t>Oettingshausen</t>
  </si>
  <si>
    <t>Thannhof</t>
  </si>
  <si>
    <t>Schwarzenhammer</t>
  </si>
  <si>
    <t>Ochsenfeld</t>
  </si>
  <si>
    <t>Wallkofen</t>
  </si>
  <si>
    <t>Pichlberg</t>
  </si>
  <si>
    <t>Neualbenreuth</t>
  </si>
  <si>
    <t>Edelshausen</t>
  </si>
  <si>
    <t>Sanding</t>
  </si>
  <si>
    <t>Taubenbacher Forst</t>
  </si>
  <si>
    <t>Pellndorf</t>
  </si>
  <si>
    <t>Schwaighauser Forst</t>
  </si>
  <si>
    <t>Reistingen</t>
  </si>
  <si>
    <t>Zeller Forst-West</t>
  </si>
  <si>
    <t>Hauzendorf</t>
  </si>
  <si>
    <t>Gotteshofen</t>
  </si>
  <si>
    <t>Kalchreuther Forst</t>
  </si>
  <si>
    <t>Schweinheim</t>
  </si>
  <si>
    <t>Essenbach</t>
  </si>
  <si>
    <t>Weinberg</t>
  </si>
  <si>
    <t>Siegendorf</t>
  </si>
  <si>
    <t>Kremmeldorf</t>
  </si>
  <si>
    <t>Eichen</t>
  </si>
  <si>
    <t>Unterweiler</t>
  </si>
  <si>
    <t>Burlafingen</t>
  </si>
  <si>
    <t>Fohrenreuth</t>
  </si>
  <si>
    <t>Michelbach</t>
  </si>
  <si>
    <t>Unterringingen</t>
  </si>
  <si>
    <t>Hiendorf</t>
  </si>
  <si>
    <t>Glaubendorf</t>
  </si>
  <si>
    <t>Niederhofen</t>
  </si>
  <si>
    <t>Buchau</t>
  </si>
  <si>
    <t>Sommerau</t>
  </si>
  <si>
    <t>Rosenberg</t>
  </si>
  <si>
    <t>Kipfenberg</t>
  </si>
  <si>
    <t>Zimmern</t>
  </si>
  <si>
    <t>Bernhof</t>
  </si>
  <si>
    <t>Grampersdorf</t>
  </si>
  <si>
    <t>Draisendorf</t>
  </si>
  <si>
    <t>Woppenrieth</t>
  </si>
  <si>
    <t>Genderkingen</t>
  </si>
  <si>
    <t>Tettenagger</t>
  </si>
  <si>
    <t>Aschbuch</t>
  </si>
  <si>
    <t>Gosberg</t>
  </si>
  <si>
    <t>Laberweinting</t>
  </si>
  <si>
    <t>Ahorn</t>
  </si>
  <si>
    <t>Langensendelbach</t>
  </si>
  <si>
    <t>Herblingen</t>
  </si>
  <si>
    <t>Abensberg</t>
  </si>
  <si>
    <t>Bachl</t>
  </si>
  <si>
    <t>Reyersbach</t>
  </si>
  <si>
    <t>Oberrimbach</t>
  </si>
  <si>
    <t>Altenkreith</t>
  </si>
  <si>
    <t>Echlishausen</t>
  </si>
  <si>
    <t>Pertolzhofen</t>
  </si>
  <si>
    <t>Wendersreuth</t>
  </si>
  <si>
    <t>Merzingen</t>
  </si>
  <si>
    <t>Metzenhof</t>
  </si>
  <si>
    <t>Oberpreuschwitz</t>
  </si>
  <si>
    <t>Unterelchingen</t>
  </si>
  <si>
    <t>Schrobenhausen</t>
  </si>
  <si>
    <t>Laaber</t>
  </si>
  <si>
    <t>Sinning</t>
  </si>
  <si>
    <t>Freiahorn</t>
  </si>
  <si>
    <t>Altfalter</t>
  </si>
  <si>
    <t>Windberger Forst</t>
  </si>
  <si>
    <t>Sindersdorf</t>
  </si>
  <si>
    <t>Wurlitz</t>
  </si>
  <si>
    <t>Grub a.Forst</t>
  </si>
  <si>
    <t>Dornstadt-Linkersbaindt</t>
  </si>
  <si>
    <t>Altenschwand</t>
  </si>
  <si>
    <t>Haslach</t>
  </si>
  <si>
    <t>Dechbetten</t>
  </si>
  <si>
    <t>Kollenzendorf</t>
  </si>
  <si>
    <t>Breitenauer Forst</t>
  </si>
  <si>
    <t>Moggenbrunn</t>
  </si>
  <si>
    <t>Imbath</t>
  </si>
  <si>
    <t>Laufamholzer Forst</t>
  </si>
  <si>
    <t>Lempertshausen</t>
  </si>
  <si>
    <t>Freystadt</t>
  </si>
  <si>
    <t>Schammelsdorf</t>
  </si>
  <si>
    <t>Strahlfeld</t>
  </si>
  <si>
    <t>Schwabstetten</t>
  </si>
  <si>
    <t>Bitz</t>
  </si>
  <si>
    <t>Einberg</t>
  </si>
  <si>
    <t>Mistendorf</t>
  </si>
  <si>
    <t>Walda</t>
  </si>
  <si>
    <t>Burkhardsrieth</t>
  </si>
  <si>
    <t>Bachhagel</t>
  </si>
  <si>
    <t>Unterliezheim</t>
  </si>
  <si>
    <t>Dieberg</t>
  </si>
  <si>
    <t>Mitterteich</t>
  </si>
  <si>
    <t>Zant</t>
  </si>
  <si>
    <t>Hitzelsberg</t>
  </si>
  <si>
    <t>Marienbrunn</t>
  </si>
  <si>
    <t>Oberndorf a.Lech</t>
  </si>
  <si>
    <t>Zahlbach</t>
  </si>
  <si>
    <t>Lupburg</t>
  </si>
  <si>
    <t>Tretzendorf</t>
  </si>
  <si>
    <t>Oberoffendorf</t>
  </si>
  <si>
    <t>Leibi</t>
  </si>
  <si>
    <t>Zeitlofs</t>
  </si>
  <si>
    <t>Kapfelberg</t>
  </si>
  <si>
    <t>Zangenstein</t>
  </si>
  <si>
    <t>Lindau</t>
  </si>
  <si>
    <t>Pfaffenberg</t>
  </si>
  <si>
    <t>Beyerberg</t>
  </si>
  <si>
    <t>Teunz</t>
  </si>
  <si>
    <t>Lailling</t>
  </si>
  <si>
    <t>Oberwaldbehrungen</t>
  </si>
  <si>
    <t>Burkardroth</t>
  </si>
  <si>
    <t>Bettbrunn</t>
  </si>
  <si>
    <t>Fiegenstall</t>
  </si>
  <si>
    <t>Daschendorfer Forst</t>
  </si>
  <si>
    <t>Adelshausen</t>
  </si>
  <si>
    <t>Grafling</t>
  </si>
  <si>
    <t>Schippach/Mil</t>
  </si>
  <si>
    <t>Berghofen</t>
  </si>
  <si>
    <t>Obertraubenbach</t>
  </si>
  <si>
    <t>Bayerdilling</t>
  </si>
  <si>
    <t>Druisheim</t>
  </si>
  <si>
    <t>Kirchanhausen</t>
  </si>
  <si>
    <t>Aschenroth</t>
  </si>
  <si>
    <t>Gempfing</t>
  </si>
  <si>
    <t>Hienheimer Forst</t>
  </si>
  <si>
    <t>Fristingen</t>
  </si>
  <si>
    <t>Kicklingen</t>
  </si>
  <si>
    <t>Thierberg</t>
  </si>
  <si>
    <t>Westendorf</t>
  </si>
  <si>
    <t>Forth</t>
  </si>
  <si>
    <t>Reizendorf</t>
  </si>
  <si>
    <t>Knittelsbach</t>
  </si>
  <si>
    <t>Behringersdorfer Forst</t>
  </si>
  <si>
    <t>Weltenburg</t>
  </si>
  <si>
    <t>Teisbach</t>
  </si>
  <si>
    <t>Steinfeld</t>
  </si>
  <si>
    <t>Mockersdorf</t>
  </si>
  <si>
    <t>Dormitzer Forst</t>
  </si>
  <si>
    <t>Sollbach</t>
  </si>
  <si>
    <t>Raubersried</t>
  </si>
  <si>
    <t>Dobenreuth</t>
  </si>
  <si>
    <t>Schillwitzried</t>
  </si>
  <si>
    <t>Faulenberg</t>
  </si>
  <si>
    <t>Trugenhofen</t>
  </si>
  <si>
    <t>Hauendorf</t>
  </si>
  <si>
    <t>Winden a.Aign</t>
  </si>
  <si>
    <t>Pettendorf</t>
  </si>
  <si>
    <t>Langenthonhausen</t>
  </si>
  <si>
    <t>Wallersdorf</t>
  </si>
  <si>
    <t>Buchwald</t>
  </si>
  <si>
    <t>Kirchenrohrbach</t>
  </si>
  <si>
    <t>Weillohe</t>
  </si>
  <si>
    <t>Klauswald-Nord</t>
  </si>
  <si>
    <t>Deising</t>
  </si>
  <si>
    <t>Brunnen</t>
  </si>
  <si>
    <t>Halsbach</t>
  </si>
  <si>
    <t>Witzmannsberg</t>
  </si>
  <si>
    <t>Waldau</t>
  </si>
  <si>
    <t>Heroldsberg</t>
  </si>
  <si>
    <t>Aichenzell</t>
  </si>
  <si>
    <t>Wangen</t>
  </si>
  <si>
    <t>Heinersreuther Forst</t>
  </si>
  <si>
    <t>Schwesendorf</t>
  </si>
  <si>
    <t>Luckenpaint</t>
  </si>
  <si>
    <t>Erggertshofen</t>
  </si>
  <si>
    <t>Burgholz</t>
  </si>
  <si>
    <t>Sammenheim</t>
  </si>
  <si>
    <t>Oed</t>
  </si>
  <si>
    <t>Sulzach</t>
  </si>
  <si>
    <t>Zinzendorf</t>
  </si>
  <si>
    <t>Mimbach</t>
  </si>
  <si>
    <t>Bechtsrieth</t>
  </si>
  <si>
    <t>Steinach a.d.Steinach</t>
  </si>
  <si>
    <t>Sallach</t>
  </si>
  <si>
    <t>Darshofen</t>
  </si>
  <si>
    <t>Heideck</t>
  </si>
  <si>
    <t>Poppenricht</t>
  </si>
  <si>
    <t>Obermiethnach</t>
  </si>
  <si>
    <t>Denzingen</t>
  </si>
  <si>
    <t>Mariakirchen</t>
  </si>
  <si>
    <t>Ellgau</t>
  </si>
  <si>
    <t>Burglauer Wald</t>
  </si>
  <si>
    <t>Hahnbach</t>
  </si>
  <si>
    <t>Lerau</t>
  </si>
  <si>
    <t>Zoltingen</t>
  </si>
  <si>
    <t>Mittelstetten</t>
  </si>
  <si>
    <t>Altdorf</t>
  </si>
  <si>
    <t>Pursruck</t>
  </si>
  <si>
    <t>Litzendorf</t>
  </si>
  <si>
    <t>Mamming</t>
  </si>
  <si>
    <t>Hankofen</t>
  </si>
  <si>
    <t>Hof a.d.Steinach</t>
  </si>
  <si>
    <t>Fronau</t>
  </si>
  <si>
    <t>Kunding</t>
  </si>
  <si>
    <t>Ursensollen</t>
  </si>
  <si>
    <t>Paring</t>
  </si>
  <si>
    <t>Haunersdorf</t>
  </si>
  <si>
    <t>Pettenreuth</t>
  </si>
  <si>
    <t>Goldbach</t>
  </si>
  <si>
    <t>Dettenheim</t>
  </si>
  <si>
    <t>Mappach</t>
  </si>
  <si>
    <t>Rehauer Forst</t>
  </si>
  <si>
    <t>Kareth</t>
  </si>
  <si>
    <t>Oberringingen</t>
  </si>
  <si>
    <t>Ehekirchen</t>
  </si>
  <si>
    <t>Eppenreuth</t>
  </si>
  <si>
    <t>Unterwaldbehrungen</t>
  </si>
  <si>
    <t>Massenbuch</t>
  </si>
  <si>
    <t>Gundelshofen</t>
  </si>
  <si>
    <t>Unterbechingen</t>
  </si>
  <si>
    <t>Painten</t>
  </si>
  <si>
    <t>Trogen</t>
  </si>
  <si>
    <t>Wimmelbach</t>
  </si>
  <si>
    <t>Uttenreuth</t>
  </si>
  <si>
    <t>Brand</t>
  </si>
  <si>
    <t>Pitzling</t>
  </si>
  <si>
    <t>Niederleierndorf</t>
  </si>
  <si>
    <t>Amerdingen</t>
  </si>
  <si>
    <t>Pessenburgheim</t>
  </si>
  <si>
    <t>Falkenberg</t>
  </si>
  <si>
    <t>Regnitzlosau</t>
  </si>
  <si>
    <t>Kohlstorf</t>
  </si>
  <si>
    <t>Untermedlingen</t>
  </si>
  <si>
    <t>Heubsch</t>
  </si>
  <si>
    <t>Schorkendorf</t>
  </si>
  <si>
    <t>Thiersheim</t>
  </si>
  <si>
    <t>Dornach</t>
  </si>
  <si>
    <t>Liebenstadt</t>
  </si>
  <si>
    <t>Unterfinningen</t>
  </si>
  <si>
    <t>Heldritt</t>
  </si>
  <si>
    <t>Willhof</t>
  </si>
  <si>
    <t>Oberschneiding</t>
  </si>
  <si>
    <t>Buchhofen</t>
  </si>
  <si>
    <t>Fronlohe</t>
  </si>
  <si>
    <t>Oberpeiching</t>
  </si>
  <si>
    <t>Bubesheim</t>
  </si>
  <si>
    <t>Schaffhausen</t>
  </si>
  <si>
    <t>Sattlern</t>
  </si>
  <si>
    <t>Biberbach</t>
  </si>
  <si>
    <t>Zittenfelden</t>
  </si>
  <si>
    <t>Vierschau</t>
  </si>
  <si>
    <t>Pierheim</t>
  </si>
  <si>
    <t>Riedenburg</t>
  </si>
  <si>
    <t>Oberlind</t>
  </si>
  <si>
    <t>Paintner Forst</t>
  </si>
  <si>
    <t>Schlicht</t>
  </si>
  <si>
    <t>Kruppach</t>
  </si>
  <si>
    <t>Gattendorf</t>
  </si>
  <si>
    <t>Gronsdorf</t>
  </si>
  <si>
    <t>Diepoltsreuth</t>
  </si>
  <si>
    <t>Otterbach</t>
  </si>
  <si>
    <t>Peulendorf</t>
  </si>
  <si>
    <t>Exing</t>
  </si>
  <si>
    <t>Pilmersreuth a.Wald</t>
  </si>
  <si>
    <t>Ensdorf</t>
  </si>
  <si>
    <t>Dankenfeld</t>
  </si>
  <si>
    <t>Allmannshofen</t>
  </si>
  <si>
    <t>Hagenhill</t>
  </si>
  <si>
    <t>Danndorf</t>
  </si>
  <si>
    <t>Hexenagger</t>
  </si>
  <si>
    <t>Hassenbach</t>
  </si>
  <si>
    <t>Markt Berolzheim</t>
  </si>
  <si>
    <t>Gutmaning</t>
  </si>
  <si>
    <t>Bramberg</t>
  </si>
  <si>
    <t>Schneidhart</t>
  </si>
  <si>
    <t>Ambach</t>
  </si>
  <si>
    <t>Mindelstetten</t>
  </si>
  <si>
    <t>Ried</t>
  </si>
  <si>
    <t>Solar</t>
  </si>
  <si>
    <t>Wasserburg</t>
  </si>
  <si>
    <t>Matzersreuth</t>
  </si>
  <si>
    <t>Mitterstetten</t>
  </si>
  <si>
    <t>Untermagerbein</t>
  </si>
  <si>
    <t>Ammelbruch</t>
  </si>
  <si>
    <t>Rudolphstein</t>
  </si>
  <si>
    <t>Hartkirchen</t>
  </si>
  <si>
    <t>Obermurach</t>
  </si>
  <si>
    <t>Marienstein</t>
  </si>
  <si>
    <t>Otzing</t>
  </si>
  <si>
    <t>Schwarzenbach a.d.Saale</t>
  </si>
  <si>
    <t>Eckarts-Rupboden</t>
  </si>
  <si>
    <t>Neuses a.Brand</t>
  </si>
  <si>
    <t>Hagenich</t>
  </si>
  <si>
    <t>Paitzkofen</t>
  </si>
  <si>
    <t>Dorgendorf</t>
  </si>
  <si>
    <t>Gerlenhofen</t>
  </si>
  <si>
    <t>Beikheim</t>
  </si>
  <si>
    <t>Iber</t>
  </si>
  <si>
    <t>Spardorf</t>
  </si>
  <si>
    <t>Oberviechtach</t>
  </si>
  <si>
    <t>Germersberg</t>
  </si>
  <si>
    <t>Eglofsdorf</t>
  </si>
  <si>
    <t>Wallerfing</t>
  </si>
  <si>
    <t>Boden</t>
  </si>
  <si>
    <t>Hummendorf</t>
  </si>
  <si>
    <t>Roslas</t>
  </si>
  <si>
    <t>Wallerdorf</t>
  </si>
  <si>
    <t>Offingen</t>
  </si>
  <si>
    <t>Unteremmendorf</t>
  </si>
  <si>
    <t>Breitendiel</t>
  </si>
  <si>
    <t>Oberemmendorf</t>
  </si>
  <si>
    <t>Kruckenberg</t>
  </si>
  <si>
    <t>Irfersdorf</t>
  </si>
  <si>
    <t>Massenricht</t>
  </si>
  <si>
    <t>Hainsbach</t>
  </si>
  <si>
    <t>Wustviel</t>
  </si>
  <si>
    <t>Ehingen</t>
  </si>
  <si>
    <t>Ziehring</t>
  </si>
  <si>
    <t>Hailing</t>
  </si>
  <si>
    <t>Pentling</t>
  </si>
  <si>
    <t>Oberhausen</t>
  </si>
  <si>
    <t>Loibling</t>
  </si>
  <si>
    <t>Lennesrieth</t>
  </si>
  <si>
    <t>Ortlfing</t>
  </si>
  <si>
    <t>Nordendorf</t>
  </si>
  <si>
    <t>Obersinn</t>
  </si>
  <si>
    <t>Sandizell</t>
  </si>
  <si>
    <t>Deimhausen</t>
  </si>
  <si>
    <t>Kaibitz</t>
  </si>
  <si>
    <t>Obermedlingen</t>
  </si>
  <si>
    <t>Wilburgstetten</t>
  </si>
  <si>
    <t>Burggriesbach</t>
  </si>
  <si>
    <t>Peesten</t>
  </si>
  <si>
    <t>Klobenreuth</t>
  </si>
  <si>
    <t>Emsing</t>
  </si>
  <si>
    <t>Ostendorf</t>
  </si>
  <si>
    <t>Gnotzheim</t>
  </si>
  <si>
    <t>Wolfsegg</t>
  </si>
  <si>
    <t>Quellenreuth</t>
  </si>
  <si>
    <t>Altenstein</t>
  </si>
  <si>
    <t>Schwimbach</t>
  </si>
  <si>
    <t>Wiebelbach</t>
  </si>
  <si>
    <t>Pfrentsch</t>
  </si>
  <si>
    <t>Eutenhofen</t>
  </si>
  <si>
    <t>Vielitz</t>
  </si>
  <si>
    <t>Lorenzreuth</t>
  </si>
  <si>
    <t>Wechterswinkeler Forst</t>
  </si>
  <si>
    <t>Eckenhaid</t>
  </si>
  <si>
    <t>Hemau</t>
  </si>
  <si>
    <t>Mettenbach</t>
  </si>
  <si>
    <t>Oberwattenbach</t>
  </si>
  <si>
    <t>Altenbuch</t>
  </si>
  <si>
    <t>Binswangen</t>
  </si>
  <si>
    <t>Moosthenning</t>
  </si>
  <si>
    <t>Mistelbach</t>
  </si>
  <si>
    <t>Hohenfels</t>
  </si>
  <si>
    <t>Landshausen</t>
  </si>
  <si>
    <t>Loifling</t>
  </si>
  <si>
    <t>Stublang</t>
  </si>
  <si>
    <t>Eckersdorf</t>
  </si>
  <si>
    <t>Riedensheim</t>
  </si>
  <si>
    <t>Kauernburg</t>
  </si>
  <si>
    <t>Adlitz</t>
  </si>
  <si>
    <t>Herper</t>
  </si>
  <si>
    <t>Hainberg</t>
  </si>
  <si>
    <t>Seidmannsdorf</t>
  </si>
  <si>
    <t>Irsingen</t>
  </si>
  <si>
    <t>Holztraubach</t>
  </si>
  <si>
    <t>Hohenried</t>
  </si>
  <si>
    <t>Buchbach</t>
  </si>
  <si>
    <t>Syrgenstein</t>
  </si>
  <si>
    <t>Siegensdorf</t>
  </si>
  <si>
    <t>Koppenwind</t>
  </si>
  <si>
    <t>Freinhausen</t>
  </si>
  <si>
    <t>Seidwitz</t>
  </si>
  <si>
    <t>Kloster Sulz</t>
  </si>
  <si>
    <t>Finningen</t>
  </si>
  <si>
    <t>Johannisthal</t>
  </si>
  <si>
    <t>Hagenauer Forst</t>
  </si>
  <si>
    <t>Pamsendorf</t>
  </si>
  <si>
    <t>Liebenstein</t>
  </si>
  <si>
    <t>Diemantstein</t>
  </si>
  <si>
    <t>Gerolfingen</t>
  </si>
  <si>
    <t>Staadorf</t>
  </si>
  <si>
    <t>Weiboldshausen</t>
  </si>
  <si>
    <t>Roggenstein</t>
  </si>
  <si>
    <t>Silheim</t>
  </si>
  <si>
    <t>Eggersberg</t>
  </si>
  <si>
    <t>Buchhausen</t>
  </si>
  <si>
    <t>Amtmannsdorf</t>
  </si>
  <si>
    <t>Thurnau</t>
  </si>
  <si>
    <t>Pinzberg</t>
  </si>
  <si>
    <t>Emskeim</t>
  </si>
  <si>
    <t>Alfershausen</t>
  </si>
  <si>
    <t>Riggau</t>
  </si>
  <si>
    <t>Lambertsneukirchen</t>
  </si>
  <si>
    <t>Kelheimwinzer</t>
  </si>
  <si>
    <t>Sondersfeld</t>
  </si>
  <si>
    <t>Langweid a.Lech</t>
  </si>
  <si>
    <t>Haidforst</t>
  </si>
  <si>
    <t>Burkersdorf</t>
  </si>
  <si>
    <t>Unterelsbach</t>
  </si>
  <si>
    <t>Crottendorf</t>
  </si>
  <si>
    <t>Neunkirchen a.Brand</t>
  </si>
  <si>
    <t>Obernsees</t>
  </si>
  <si>
    <t>Kastl</t>
  </si>
  <si>
    <t>Plankstetten</t>
  </si>
  <si>
    <t>Bollstadt</t>
  </si>
  <si>
    <t>Kemnathen</t>
  </si>
  <si>
    <t>Wolfersdorf</t>
  </si>
  <si>
    <t>Buttenwiesen</t>
  </si>
  <si>
    <t>Thundorf</t>
  </si>
  <si>
    <t>Spittelstein</t>
  </si>
  <si>
    <t>Glapfenberg</t>
  </si>
  <si>
    <t>Wiesing</t>
  </si>
  <si>
    <t>Streit</t>
  </si>
  <si>
    <t>Traitsching</t>
  </si>
  <si>
    <t>Neuhof</t>
  </si>
  <si>
    <t>Beratzhausen</t>
  </si>
  <si>
    <t>Schlackenhof</t>
  </si>
  <si>
    <t>Deindorf</t>
  </si>
  <si>
    <t>Ilbling</t>
  </si>
  <si>
    <t>Preith</t>
  </si>
  <si>
    <t>Dingolfing</t>
  </si>
  <si>
    <t>Premerzhofen</t>
  </si>
  <si>
    <t>Neunkirchen a.Main</t>
  </si>
  <si>
    <t>Steingriff</t>
  </si>
  <si>
    <t>Minderoffingen</t>
  </si>
  <si>
    <t>Kunreuth</t>
  </si>
  <si>
    <t>Steiningloh</t>
  </si>
  <si>
    <t>Ursheim</t>
  </si>
  <si>
    <t>Steinacher Forst l.d.Saale</t>
  </si>
  <si>
    <t>Dietersberg</t>
  </si>
  <si>
    <t>Oberwittbach</t>
  </si>
  <si>
    <t>Egelsried</t>
  </si>
  <si>
    <t>Oberhembach</t>
  </si>
  <si>
    <t>Neu- u.Neershof</t>
  </si>
  <si>
    <t>Schafhof</t>
  </si>
  <si>
    <t>Kleinschwand</t>
  </si>
  <si>
    <t>Ehenfeld</t>
  </si>
  <si>
    <t>Mengersdorf</t>
  </si>
  <si>
    <t>Allersberg</t>
  </si>
  <si>
    <t>Heumaden</t>
  </si>
  <si>
    <t>Loitendorf</t>
  </si>
  <si>
    <t>Gleiritsch</t>
  </si>
  <si>
    <t>Unterafferbach</t>
  </si>
  <si>
    <t>Immendorf</t>
  </si>
  <si>
    <t>Holzheim</t>
  </si>
  <si>
    <t>Ilmenau</t>
  </si>
  <si>
    <t>Ruppertskirchen</t>
  </si>
  <si>
    <t>Gailnau</t>
  </si>
  <si>
    <t>Lengenfeld b.Tirschenreuth</t>
  </si>
  <si>
    <t>Schaippach</t>
  </si>
  <si>
    <t>Beidl</t>
  </si>
  <si>
    <t>Mittelsinn</t>
  </si>
  <si>
    <t>Amselfing</t>
  </si>
  <si>
    <t>Adlhausen</t>
  </si>
  <si>
    <t>Krummennaab</t>
  </si>
  <si>
    <t>Gaden b.Geisenfeld</t>
  </si>
  <si>
    <t>Hessenreuth</t>
  </si>
  <si>
    <t>Trondorf</t>
  </si>
  <si>
    <t>Freudenegg</t>
  </si>
  <si>
    <t>Park</t>
  </si>
  <si>
    <t>Hofkirchen</t>
  </si>
  <si>
    <t>Uetzing</t>
  </si>
  <si>
    <t>Langenberg</t>
  </si>
  <si>
    <t>Bernstein</t>
  </si>
  <si>
    <t>Sigl</t>
  </si>
  <si>
    <t>Plankenfels</t>
  </si>
  <si>
    <t>Pillnach</t>
  </si>
  <si>
    <t>Muttenhofen</t>
  </si>
  <si>
    <t>Fahlenbach</t>
  </si>
  <si>
    <t>Kleinsendelbach</t>
  </si>
  <si>
    <t>Obererlbach</t>
  </si>
  <si>
    <t>Hettlingen</t>
  </si>
  <si>
    <t>Unterhauser Forst</t>
  </si>
  <si>
    <t>Gunzenheim</t>
  </si>
  <si>
    <t>Sandharlanden</t>
  </si>
  <si>
    <t>Nottersdorf</t>
  </si>
  <si>
    <t>Neuzell</t>
  </si>
  <si>
    <t>Burgmannshofen</t>
  </si>
  <si>
    <t>Windheim</t>
  </si>
  <si>
    <t>Hellenbach</t>
  </si>
  <si>
    <t>Reuth b.Erbendorf</t>
  </si>
  <si>
    <t>Birk</t>
  </si>
  <si>
    <t>Oberlindhart</t>
  </si>
  <si>
    <t>Oberulrain</t>
  </si>
  <si>
    <t>Oberelchingen</t>
  </si>
  <si>
    <t>Diederstetten</t>
  </si>
  <si>
    <t>Niederaltheim</t>
  </si>
  <si>
    <t>Loiching</t>
  </si>
  <si>
    <t>Grafenreuth</t>
  </si>
  <si>
    <t>Thiergarten</t>
  </si>
  <si>
    <t>Moosburg a.d.Isar</t>
  </si>
  <si>
    <t>Roschau</t>
  </si>
  <si>
    <t>Indersbach</t>
  </si>
  <si>
    <t>Jahrsdorf</t>
  </si>
  <si>
    <t>Fernmittenhausen</t>
  </si>
  <si>
    <t>Anwalting</t>
  </si>
  <si>
    <t>Schmalwasser</t>
  </si>
  <si>
    <t>Rosall</t>
  </si>
  <si>
    <t>Neuhauser Forst</t>
  </si>
  <si>
    <t>Weiltingen</t>
  </si>
  <si>
    <t>Hundelshausen</t>
  </si>
  <si>
    <t>Ransbach</t>
  </si>
  <si>
    <t>Wettelsheim</t>
  </si>
  <si>
    <t>Niederlauterbach</t>
  </si>
  <si>
    <t>Hohengebraching</t>
  </si>
  <si>
    <t>Stilzendorf</t>
  </si>
  <si>
    <t>Langenloh</t>
  </si>
  <si>
    <t>Hiltersried</t>
  </si>
  <si>
    <t>Frammering</t>
  </si>
  <si>
    <t>Kirchroth</t>
  </si>
  <si>
    <t>Endorf</t>
  </si>
  <si>
    <t>Altenfelden</t>
  </si>
  <si>
    <t>Schalkenthan</t>
  </si>
  <si>
    <t>Niederaichbach</t>
  </si>
  <si>
    <t>Neulohe</t>
  </si>
  <si>
    <t>Rosenbach</t>
  </si>
  <si>
    <t>Prex</t>
  </si>
  <si>
    <t>Marktleuthen</t>
  </si>
  <si>
    <t>Forkendorf</t>
  </si>
  <si>
    <t>Beilnstein</t>
  </si>
  <si>
    <t>Laufenthal</t>
  </si>
  <si>
    <t>Pollenfeld</t>
  </si>
  <si>
    <t>Gailertsreuth</t>
  </si>
  <si>
    <t>Kirchahorn</t>
  </si>
  <si>
    <t>Uckersdorf</t>
  </si>
  <si>
    <t>Kadeltshofen</t>
  </si>
  <si>
    <t>Thierling</t>
  </si>
  <si>
    <t>Ergolding</t>
  </si>
  <si>
    <t>Haidhof</t>
  </si>
  <si>
    <t>Herrnried</t>
  </si>
  <si>
    <t>Bullach</t>
  </si>
  <si>
    <t>Chameregg</t>
  </si>
  <si>
    <t>Ilsenbach</t>
  </si>
  <si>
    <t>Meitingen</t>
  </si>
  <si>
    <t>Oberschleichach</t>
  </si>
  <si>
    <t>Wirbenz</t>
  </si>
  <si>
    <t>Horneck</t>
  </si>
  <si>
    <t>Altfeld</t>
  </si>
  <si>
    <t>Vogelthal</t>
  </si>
  <si>
    <t>Sinzing</t>
  </si>
  <si>
    <t>Zeholfing</t>
  </si>
  <si>
    <t>Unteraich</t>
  </si>
  <si>
    <t>Geschaidt</t>
  </si>
  <si>
    <t>Martinlamitz</t>
  </si>
  <si>
    <t>Schwarzenbruck</t>
  </si>
  <si>
    <t>Geiersnest-West</t>
  </si>
  <si>
    <t>Konnersreuth</t>
  </si>
  <si>
    <t>Wiesau</t>
  </si>
  <si>
    <t>Ederheim</t>
  </si>
  <si>
    <t>Vilzing</t>
  </si>
  <si>
    <t>Effeltrich</t>
  </si>
  <si>
    <t>Waldzell</t>
  </si>
  <si>
    <t>Thonlohe</t>
  </si>
  <si>
    <t>Unterschleichach</t>
  </si>
  <si>
    <t>Langquaid</t>
  </si>
  <si>
    <t>Neusath</t>
  </si>
  <si>
    <t>Aberzhausen</t>
  </si>
  <si>
    <t>Biburg</t>
  </si>
  <si>
    <t>Herbertshofen</t>
  </si>
  <si>
    <t>Rottersdorf</t>
  </si>
  <si>
    <t>Unterbaar</t>
  </si>
  <si>
    <t>Oberlauter</t>
  </si>
  <si>
    <t>Burgtreswitz</t>
  </si>
  <si>
    <t>Mittelwasungen</t>
  </si>
  <si>
    <t>Voitenthan</t>
  </si>
  <si>
    <t>Seibersdorf</t>
  </si>
  <si>
    <t>Unholzing</t>
  </si>
  <si>
    <t>Fatschenbrunn</t>
  </si>
  <si>
    <t>Bammersdorf</t>
  </si>
  <si>
    <t>Stobersreuth</t>
  </si>
  <si>
    <t>Todtenweis</t>
  </si>
  <si>
    <t>Berching</t>
  </si>
  <si>
    <t>Oberkonnersreuth</t>
  </si>
  <si>
    <t>Grafenwinn</t>
  </si>
  <si>
    <t>Dittersbrunn</t>
  </si>
  <si>
    <t>Altenthann</t>
  </si>
  <si>
    <t>Waldberg</t>
  </si>
  <si>
    <t>Sallingberg</t>
  </si>
  <si>
    <t>Pielenhofer Wald l.d.Naab</t>
  </si>
  <si>
    <t>Nunzenried</t>
  </si>
  <si>
    <t>Leiheim</t>
  </si>
  <si>
    <t>Schwand</t>
  </si>
  <si>
    <t>Albernhof</t>
  </si>
  <si>
    <t>Premeischl</t>
  </si>
  <si>
    <t>Pfrombach</t>
  </si>
  <si>
    <t>Bachetsfeld</t>
  </si>
  <si>
    <t>Degerndorf</t>
  </si>
  <si>
    <t>Schneckenhofen</t>
  </si>
  <si>
    <t>Plitting</t>
  </si>
  <si>
    <t>Rottendorf in Niedermurach</t>
  </si>
  <si>
    <t>Windischeschenbach</t>
  </si>
  <si>
    <t>Holzharlanden</t>
  </si>
  <si>
    <t>Unterauerbach</t>
  </si>
  <si>
    <t>Reuth b.Kastl</t>
  </si>
  <si>
    <t>Kalbensteinberg</t>
  </si>
  <si>
    <t>Osterhofen</t>
  </si>
  <si>
    <t>Wachenzell</t>
  </si>
  <si>
    <t>Prebitz</t>
  </si>
  <si>
    <t>Eichenstein</t>
  </si>
  <si>
    <t>Lohen</t>
  </si>
  <si>
    <t>Mainecker Forst (West)</t>
  </si>
  <si>
    <t>Oberwohlsbach</t>
  </si>
  <si>
    <t>Bittenbrunn</t>
  </si>
  <si>
    <t>Forst Thiergarten</t>
  </si>
  <si>
    <t>Erlingen</t>
  </si>
  <si>
    <t>Lind</t>
  </si>
  <si>
    <t>Frankenhofen</t>
  </si>
  <si>
    <t>Reichersdorf</t>
  </si>
  <si>
    <t>Erasbach</t>
  </si>
  <si>
    <t>Weischau</t>
  </si>
  <si>
    <t>Gebenbach</t>
  </si>
  <si>
    <t>Theinheim</t>
  </si>
  <si>
    <t>Wertingen</t>
  </si>
  <si>
    <t>Dietersweg</t>
  </si>
  <si>
    <t>Reichartshausen</t>
  </si>
  <si>
    <t>Lampersdorf</t>
  </si>
  <si>
    <t>Mettenhausen</t>
  </si>
  <si>
    <t>Haus</t>
  </si>
  <si>
    <t>Altenparkstein</t>
  </si>
  <si>
    <t>Illenschwang</t>
  </si>
  <si>
    <t>Mittelricht</t>
  </si>
  <si>
    <t>Glattbach</t>
  </si>
  <si>
    <t>Langenkreith</t>
  </si>
  <si>
    <t>Fechenbach</t>
  </si>
  <si>
    <t>Thurau</t>
  </si>
  <si>
    <t>Ergoldsbach</t>
  </si>
  <si>
    <t>Pilgramsreuth</t>
  </si>
  <si>
    <t>Jesserndorf</t>
  </si>
  <si>
    <t>Oberwaiz</t>
  </si>
  <si>
    <t>Sinbronn</t>
  </si>
  <si>
    <t>Edeldorf</t>
  </si>
  <si>
    <t>Larrieden</t>
  </si>
  <si>
    <t>Selingstadt</t>
  </si>
  <si>
    <t>Gergweis</t>
  </si>
  <si>
    <t>Ebenried</t>
  </si>
  <si>
    <t>Neukirchen-Balbini</t>
  </si>
  <si>
    <t>Mausheim</t>
  </si>
  <si>
    <t>Geiselwind</t>
  </si>
  <si>
    <t>Aichkirchen</t>
  </si>
  <si>
    <t>Steinacher Forst r.d.Saale</t>
  </si>
  <si>
    <t>Wissing</t>
  </si>
  <si>
    <t>Wildenberg</t>
  </si>
  <si>
    <t>Viehhausen</t>
  </si>
  <si>
    <t>Neuwirtshauser Forst</t>
  </si>
  <si>
    <t>Gersthofen</t>
  </si>
  <si>
    <t>Haader</t>
  </si>
  <si>
    <t>Diepoltshofen</t>
  </si>
  <si>
    <t>Thalfingen</t>
  </si>
  <si>
    <t>Waischenfeld</t>
  </si>
  <si>
    <t>Schorn</t>
  </si>
  <si>
    <t>Kalchreuth</t>
  </si>
  <si>
    <t>Erkertshofen</t>
  </si>
  <si>
    <t>Ramsdorf</t>
  </si>
  <si>
    <t>Neufahrn i.NB</t>
  </si>
  <si>
    <t>Treuchtlingen</t>
  </si>
  <si>
    <t>Kager</t>
  </si>
  <si>
    <t>Preppach</t>
  </si>
  <si>
    <t>Aislingen</t>
  </si>
  <si>
    <t>Steegen</t>
  </si>
  <si>
    <t>Helchenbach</t>
  </si>
  <si>
    <t>Euben</t>
  </si>
  <si>
    <t>Bieberbach</t>
  </si>
  <si>
    <t>Berletzhausen</t>
  </si>
  <si>
    <t>Schwimmbach</t>
  </si>
  <si>
    <t>Weimarschmieden</t>
  </si>
  <si>
    <t>Fortschau</t>
  </si>
  <si>
    <t>Kirchdorf b.Osterhofen</t>
  </si>
  <si>
    <t>Fronhof</t>
  </si>
  <si>
    <t>Weng</t>
  </si>
  <si>
    <t>Mauren</t>
  </si>
  <si>
    <t>Grimolzhausen</t>
  </si>
  <si>
    <t>Kirchlein</t>
  </si>
  <si>
    <t>Oxenbronn</t>
  </si>
  <si>
    <t>Adlmannstein</t>
  </si>
  <si>
    <t>Wappersdorf</t>
  </si>
  <si>
    <t>Leidling</t>
  </si>
  <si>
    <t>Unterampfrach</t>
  </si>
  <si>
    <t>Langenhettenbach</t>
  </si>
  <si>
    <t>Mittich</t>
  </si>
  <si>
    <t>Breitenfurt</t>
  </si>
  <si>
    <t>Offenbau</t>
  </si>
  <si>
    <t>Deffingen</t>
  </si>
  <si>
    <t>Oberbaar</t>
  </si>
  <si>
    <t>Dippersreuth</t>
  </si>
  <si>
    <t>Ay a.d.Iller</t>
  </si>
  <si>
    <t>Oberweilersbach</t>
  </si>
  <si>
    <t>Handthal</t>
  </si>
  <si>
    <t>Schachendorf</t>
  </si>
  <si>
    <t>Erlach a.Main</t>
  </si>
  <si>
    <t>Berndorf</t>
  </si>
  <si>
    <t>Prunn</t>
  </si>
  <si>
    <t>Rehling</t>
  </si>
  <si>
    <t>Galgweis</t>
  </si>
  <si>
    <t>Ebneth</t>
  </si>
  <si>
    <t>Grassersdorf</t>
  </si>
  <si>
    <t>Weigelshofen</t>
  </si>
  <si>
    <t>Oberellenbach</t>
  </si>
  <si>
    <t>Pressath</t>
  </si>
  <si>
    <t>Mellrichstadter Forst</t>
  </si>
  <si>
    <t>Reistenhausen</t>
  </si>
  <si>
    <t>Thumsenreuth</t>
  </si>
  <si>
    <t>Dollnstein</t>
  </si>
  <si>
    <t>Niederland</t>
  </si>
  <si>
    <t>Scheuerfeld</t>
  </si>
  <si>
    <t>Ammerfeld</t>
  </si>
  <si>
    <t>Thierhaupten</t>
  </si>
  <si>
    <t>Bergnetsreuth</t>
  </si>
  <si>
    <t>Diepoltsried</t>
  </si>
  <si>
    <t>Hohentreswitz</t>
  </si>
  <si>
    <t>Kleinnottersdorf</t>
  </si>
  <si>
    <t>Wiesenthau</t>
  </si>
  <si>
    <t>Berletzhof</t>
  </si>
  <si>
    <t>Ramlesreuth</t>
  </si>
  <si>
    <t>Unterwasungen</t>
  </si>
  <si>
    <t>Schwarzhofen</t>
  </si>
  <si>
    <t>Hamberg</t>
  </si>
  <si>
    <t>Eigelsberg</t>
  </si>
  <si>
    <t>Dorfprozelten</t>
  </si>
  <si>
    <t>Ast</t>
  </si>
  <si>
    <t>Kemnath b.Fuhrn</t>
  </si>
  <si>
    <t>Rengersdorf II</t>
  </si>
  <si>
    <t>Kirchzell</t>
  </si>
  <si>
    <t>Oberergoldsbach</t>
  </si>
  <si>
    <t>Dickersbronn</t>
  </si>
  <si>
    <t>Weichenried</t>
  </si>
  <si>
    <t>Kemlas</t>
  </si>
  <si>
    <t>Rudenshofen</t>
  </si>
  <si>
    <t>Ottering</t>
  </si>
  <si>
    <t>Hochaltingen</t>
  </si>
  <si>
    <t>Aholming</t>
  </si>
  <si>
    <t>Untergrafendorf</t>
  </si>
  <si>
    <t>Pfahldorf</t>
  </si>
  <si>
    <t>Adlholz</t>
  </si>
  <si>
    <t>Holnstein</t>
  </si>
  <si>
    <t>Gosseltshausen</t>
  </si>
  <si>
    <t>Schopfloch</t>
  </si>
  <si>
    <t>Furth</t>
  </si>
  <si>
    <t>Pischdorf</t>
  </si>
  <si>
    <t>Oberlangheim</t>
  </si>
  <si>
    <t>Aicha</t>
  </si>
  <si>
    <t>Glasofen</t>
  </si>
  <si>
    <t>Bramberger Wald</t>
  </si>
  <si>
    <t>Raitenbuch</t>
  </si>
  <si>
    <t>Remshart</t>
  </si>
  <si>
    <t>Winkl</t>
  </si>
  <si>
    <t>Coburger Forst-Nordwest</t>
  </si>
  <si>
    <t>Iffelkofen</t>
  </si>
  <si>
    <t>Hochdorf</t>
  </si>
  <si>
    <t>Frauenstetten</t>
  </si>
  <si>
    <t>Wildenau</t>
  </si>
  <si>
    <t>Kindlbach</t>
  </si>
  <si>
    <t>Wustvieler Forst</t>
  </si>
  <si>
    <t>Pillmersried I</t>
  </si>
  <si>
    <t>Roschlaub</t>
  </si>
  <si>
    <t>Staudach</t>
  </si>
  <si>
    <t>Stamsried</t>
  </si>
  <si>
    <t>Schneitweg</t>
  </si>
  <si>
    <t>Rengersdorf I</t>
  </si>
  <si>
    <t>Heufurt</t>
  </si>
  <si>
    <t>Dormitz</t>
  </si>
  <si>
    <t>Laaberberg</t>
  </si>
  <si>
    <t>Puch</t>
  </si>
  <si>
    <t>Blumenrod</t>
  </si>
  <si>
    <t>Morsbach</t>
  </si>
  <si>
    <t>Dixenhausen</t>
  </si>
  <si>
    <t>Mirskofen</t>
  </si>
  <si>
    <t>Allersdorf</t>
  </si>
  <si>
    <t>Ettenstatt</t>
  </si>
  <si>
    <t>Hochwang</t>
  </si>
  <si>
    <t>Peutenhausen</t>
  </si>
  <si>
    <t>Seligenporten</t>
  </si>
  <si>
    <t>Kleinkissendorf</t>
  </si>
  <si>
    <t>Hassenberg</t>
  </si>
  <si>
    <t>Paulushofen</t>
  </si>
  <si>
    <t>Alletsried</t>
  </si>
  <si>
    <t>Unterbernbach</t>
  </si>
  <si>
    <t>Schorndorf</t>
  </si>
  <si>
    <t>Reicherstein</t>
  </si>
  <si>
    <t>Hohensteiner Forst</t>
  </si>
  <si>
    <t>Raunertshofen</t>
  </si>
  <si>
    <t>Parsberg</t>
  </si>
  <si>
    <t>Appenfelden</t>
  </si>
  <si>
    <t>Predlfing</t>
  </si>
  <si>
    <t>Neukirchen b.Sulzbach-Rosenbg.</t>
  </si>
  <si>
    <t>Zusamaltheim</t>
  </si>
  <si>
    <t>Kreuth</t>
  </si>
  <si>
    <t>Fechheim</t>
  </si>
  <si>
    <t>Aldersbach</t>
  </si>
  <si>
    <t>Sigras</t>
  </si>
  <si>
    <t>Stephansposching</t>
  </si>
  <si>
    <t>Neuschleichach</t>
  </si>
  <si>
    <t>Obernburg a.Main</t>
  </si>
  <si>
    <t>Beucherling</t>
  </si>
  <si>
    <t>Gimpertshausen</t>
  </si>
  <si>
    <t>Wengen</t>
  </si>
  <si>
    <t>Herrnsberg</t>
  </si>
  <si>
    <t>Oehrberg</t>
  </si>
  <si>
    <t>Reisbach</t>
  </si>
  <si>
    <t>Eschen</t>
  </si>
  <si>
    <t>Woppenhof</t>
  </si>
  <si>
    <t>Schmiedorf</t>
  </si>
  <si>
    <t>Sauheim</t>
  </si>
  <si>
    <t>Katzelsried</t>
  </si>
  <si>
    <t>Niederrunding</t>
  </si>
  <si>
    <t>Esterholz</t>
  </si>
  <si>
    <t>Reichenstetten</t>
  </si>
  <si>
    <t>Rechberg</t>
  </si>
  <si>
    <t>Christanz</t>
  </si>
  <si>
    <t>Poppendorf</t>
  </si>
  <si>
    <t>Echsheim</t>
  </si>
  <si>
    <t>Thanndorf</t>
  </si>
  <si>
    <t>Weidenwang</t>
  </si>
  <si>
    <t>Wolfsfeld</t>
  </si>
  <si>
    <t>Train</t>
  </si>
  <si>
    <t>Angfeld</t>
  </si>
  <si>
    <t>Diepoltskirchen</t>
  </si>
  <si>
    <t>Hebramsdorf</t>
  </si>
  <si>
    <t>Tollbach</t>
  </si>
  <si>
    <t>Indling</t>
  </si>
  <si>
    <t>Perletzhofen</t>
  </si>
  <si>
    <t>Walchsing</t>
  </si>
  <si>
    <t>Fabrik-Schleichacher Forst-NO</t>
  </si>
  <si>
    <t>Fuchsberg</t>
  </si>
  <si>
    <t>Pillmersried II</t>
  </si>
  <si>
    <t>Birkenzant</t>
  </si>
  <si>
    <t>Langenamming</t>
  </si>
  <si>
    <t>Rothenhof</t>
  </si>
  <si>
    <t>Zwernberg</t>
  </si>
  <si>
    <t>Weidach</t>
  </si>
  <si>
    <t>Bubach</t>
  </si>
  <si>
    <t>Boderndorf</t>
  </si>
  <si>
    <t>Niederhausen</t>
  </si>
  <si>
    <t>Gundremmingen</t>
  </si>
  <si>
    <t>Forheim</t>
  </si>
  <si>
    <t>Kleinwinklarn</t>
  </si>
  <si>
    <t>Mistelgau</t>
  </si>
  <si>
    <t>Aresing</t>
  </si>
  <si>
    <t>Miesbrunn</t>
  </si>
  <si>
    <t>Guteneck</t>
  </si>
  <si>
    <t>Altisheim</t>
  </si>
  <si>
    <t>Pleystein</t>
  </si>
  <si>
    <t>Wiesenbach</t>
  </si>
  <si>
    <t>Hagenbach</t>
  </si>
  <si>
    <t>Naabdemenreuth</t>
  </si>
  <si>
    <t>Reutti</t>
  </si>
  <si>
    <t>Schwarzeneck</t>
  </si>
  <si>
    <t>Zimmering</t>
  </si>
  <si>
    <t>Eppisburg</t>
  </si>
  <si>
    <t>Wisselsing</t>
  </si>
  <si>
    <t>Neunkirchen a.Sand</t>
  </si>
  <si>
    <t>Eilsbrunn</t>
  </si>
  <si>
    <t>Matting</t>
  </si>
  <si>
    <t>Handzell</t>
  </si>
  <si>
    <t>Simonshofen</t>
  </si>
  <si>
    <t>Rengersricht</t>
  </si>
  <si>
    <t>Autenried</t>
  </si>
  <si>
    <t>Ottensoos</t>
  </si>
  <si>
    <t>Agendorf</t>
  </si>
  <si>
    <t>Lindelburg</t>
  </si>
  <si>
    <t>Erzberg</t>
  </si>
  <si>
    <t>Horb a.d.Steinach</t>
  </si>
  <si>
    <t>Wulkersdorf</t>
  </si>
  <si>
    <t>Katzberg</t>
  </si>
  <si>
    <t>Stechendorf</t>
  </si>
  <si>
    <t>Kirchenthumbach</t>
  </si>
  <si>
    <t>Lichtenberg</t>
  </si>
  <si>
    <t>Haunstetten</t>
  </si>
  <si>
    <t>Wagnern</t>
  </si>
  <si>
    <t>Heimbach</t>
  </si>
  <si>
    <t>Kammern</t>
  </si>
  <si>
    <t>Mallmersdorf</t>
  </si>
  <si>
    <t>Schwarzenthonhausen</t>
  </si>
  <si>
    <t>Schaitdorf</t>
  </si>
  <si>
    <t>Pettensiedel</t>
  </si>
  <si>
    <t>Trautenberg</t>
  </si>
  <si>
    <t>Riedsend</t>
  </si>
  <si>
    <t>Weilach</t>
  </si>
  <si>
    <t>Niederambach</t>
  </si>
  <si>
    <t>Dieterskirchen</t>
  </si>
  <si>
    <t>Herrngiersdorf</t>
  </si>
  <si>
    <t>Heidelheim</t>
  </si>
  <si>
    <t>Kirchdorf</t>
  </si>
  <si>
    <t>Heimberg</t>
  </si>
  <si>
    <t>Langweiler Wald</t>
  </si>
  <si>
    <t>Laibstadt</t>
  </si>
  <si>
    <t>Kirchehrenbach</t>
  </si>
  <si>
    <t>Irlbrunn</t>
  </si>
  <si>
    <t>Stangenroth</t>
  </si>
  <si>
    <t>Aue</t>
  </si>
  <si>
    <t>Reuth unter Neuhaus</t>
  </si>
  <si>
    <t>Dallackenried</t>
  </si>
  <si>
    <t>Schatzhofen</t>
  </si>
  <si>
    <t>Seulbitz</t>
  </si>
  <si>
    <t>Fuhrn</t>
  </si>
  <si>
    <t>Hammerstetten</t>
  </si>
  <si>
    <t>Steinselb</t>
  </si>
  <si>
    <t>Wang</t>
  </si>
  <si>
    <t>Martinshaun</t>
  </si>
  <si>
    <t>Unterschieda</t>
  </si>
  <si>
    <t>Oening</t>
  </si>
  <si>
    <t>Detter</t>
  </si>
  <si>
    <t>Schamelsberg</t>
  </si>
  <si>
    <t>Niederumelsdorf</t>
  </si>
  <si>
    <t>Blaich</t>
  </si>
  <si>
    <t>Lengthal</t>
  </si>
  <si>
    <t>Veldershof</t>
  </si>
  <si>
    <t>Weihenstephan</t>
  </si>
  <si>
    <t>Eisenbach</t>
  </si>
  <si>
    <t>Frankenhaag</t>
  </si>
  <si>
    <t>Hausen/NU</t>
  </si>
  <si>
    <t>Staufersbuch</t>
  </si>
  <si>
    <t>Gaiganz</t>
  </si>
  <si>
    <t>Hechlingen a.See</t>
  </si>
  <si>
    <t>Wortelstetten</t>
  </si>
  <si>
    <t>Anhofen</t>
  </si>
  <si>
    <t>Himmelkron</t>
  </si>
  <si>
    <t>Martinsbuch</t>
  </si>
  <si>
    <t>Einwald</t>
  </si>
  <si>
    <t>Oberbachern</t>
  </si>
  <si>
    <t>Karpfham</t>
  </si>
  <si>
    <t>Rudletzholz</t>
  </si>
  <si>
    <t>Weidorf</t>
  </si>
  <si>
    <t>Moosthann</t>
  </si>
  <si>
    <t>Unterleichtersbach</t>
  </si>
  <si>
    <t>Heinrichskirchen</t>
  </si>
  <si>
    <t>Wittenbach</t>
  </si>
  <si>
    <t>Mariaposching</t>
  </si>
  <si>
    <t>Oberviehbach</t>
  </si>
  <si>
    <t>Hollfeld</t>
  </si>
  <si>
    <t>Pechbrunn</t>
  </si>
  <si>
    <t>Pittersdorf</t>
  </si>
  <si>
    <t>Katzdorf in Neunburg v. W.</t>
  </si>
  <si>
    <t>Schlaifhausen</t>
  </si>
  <si>
    <t>Itzing</t>
  </si>
  <si>
    <t>Eschau</t>
  </si>
  <si>
    <t>Mallerstetten</t>
  </si>
  <si>
    <t>Veitsweiler</t>
  </si>
  <si>
    <t>Gottmannshofen</t>
  </si>
  <si>
    <t>Velburg</t>
  </si>
  <si>
    <t>Mittelberg</t>
  </si>
  <si>
    <t>Titting</t>
  </si>
  <si>
    <t>Seybothenreuther Forst</t>
  </si>
  <si>
    <t>Gablingen</t>
  </si>
  <si>
    <t>Fremdingen</t>
  </si>
  <si>
    <t>Kesselberg</t>
  </si>
  <si>
    <t>Greiselbach</t>
  </si>
  <si>
    <t>Andermannsdorf</t>
  </si>
  <si>
    <t>Siegenburg</t>
  </si>
  <si>
    <t>Roggden</t>
  </si>
  <si>
    <t>Feuchter Forst</t>
  </si>
  <si>
    <t>Gammersfeld</t>
  </si>
  <si>
    <t>Eggenfelden</t>
  </si>
  <si>
    <t>Kemnath</t>
  </si>
  <si>
    <t>Schafhausen</t>
  </si>
  <si>
    <t>Villenbach</t>
  </si>
  <si>
    <t>Pyrbaum</t>
  </si>
  <si>
    <t>Illdorf</t>
  </si>
  <si>
    <t>Randeck</t>
  </si>
  <si>
    <t>Rehweiler</t>
  </si>
  <si>
    <t>Hobbach</t>
  </si>
  <si>
    <t>Emmersdorf</t>
  </si>
  <si>
    <t>Weichenwasserlos</t>
  </si>
  <si>
    <t>Wannbach</t>
  </si>
  <si>
    <t>Atzmannsberg</t>
  </si>
  <si>
    <t>Oberwangenbach</t>
  </si>
  <si>
    <t>Ratzenhofen</t>
  </si>
  <si>
    <t>Ottowind</t>
  </si>
  <si>
    <t>Sonnefelder Forst-Nord</t>
  </si>
  <si>
    <t>Weismain</t>
  </si>
  <si>
    <t>Stackendorf</t>
  </si>
  <si>
    <t>Bergstetten</t>
  </si>
  <si>
    <t>Wischenhofen</t>
  </si>
  <si>
    <t>Reichstorf</t>
  </si>
  <si>
    <t>Eugenbach</t>
  </si>
  <si>
    <t>Otting</t>
  </si>
  <si>
    <t>Kleingarnstadt</t>
  </si>
  <si>
    <t>Freudenberg</t>
  </si>
  <si>
    <t>Tiefenlauter</t>
  </si>
  <si>
    <t>Trasching</t>
  </si>
  <si>
    <t>Haag b.Treuchtlingen</t>
  </si>
  <si>
    <t>Harsdorf</t>
  </si>
  <si>
    <t>Mitwitz</t>
  </si>
  <si>
    <t>Utzenhofen</t>
  </si>
  <si>
    <t>Oberlauterbach</t>
  </si>
  <si>
    <t>Oberalteich</t>
  </si>
  <si>
    <t>Lauf a.d.Pegnitz</t>
  </si>
  <si>
    <t>Ranna</t>
  </si>
  <si>
    <t>Beuren</t>
  </si>
  <si>
    <t>Widdersdorf</t>
  </si>
  <si>
    <t>Mitterhausen</t>
  </si>
  <si>
    <t>Seglohe</t>
  </si>
  <si>
    <t>Haidenburg</t>
  </si>
  <si>
    <t>Mannholz</t>
  </si>
  <si>
    <t>Hirnstetten</t>
  </si>
  <si>
    <t>Muglhof</t>
  </si>
  <si>
    <t>Arth</t>
  </si>
  <si>
    <t>Ittelhofen</t>
  </si>
  <si>
    <t>Christgarten</t>
  </si>
  <si>
    <t>Rhanwalting</t>
  </si>
  <si>
    <t>Eisersdorf</t>
  </si>
  <si>
    <t>Geiersnest-Ost</t>
  </si>
  <si>
    <t>Waltendorf</t>
  </si>
  <si>
    <t>Hirblingen</t>
  </si>
  <si>
    <t>Dummeldorf</t>
  </si>
  <si>
    <t>Schimmendorf</t>
  </si>
  <si>
    <t>Rohrberg</t>
  </si>
  <si>
    <t>Konradsreuth</t>
  </si>
  <si>
    <t>Atzelsberg</t>
  </si>
  <si>
    <t>Bad Birnbach</t>
  </si>
  <si>
    <t>Gesees</t>
  </si>
  <si>
    <t>Neudes</t>
  </si>
  <si>
    <t>Wattenberg</t>
  </si>
  <si>
    <t>Weigendorf</t>
  </si>
  <si>
    <t>Langgraben</t>
  </si>
  <si>
    <t>Neuhaus a.Inn</t>
  </si>
  <si>
    <t>Waal</t>
  </si>
  <si>
    <t>Osterzhausen</t>
  </si>
  <si>
    <t>Poppendorfer Wald</t>
  </si>
  <si>
    <t>Oberweiling</t>
  </si>
  <si>
    <t>Spielberg</t>
  </si>
  <si>
    <t>Thonstetten</t>
  </si>
  <si>
    <t>Rupbodener Forst</t>
  </si>
  <si>
    <t>Oberhaselbach</t>
  </si>
  <si>
    <t>Wegfurt</t>
  </si>
  <si>
    <t>Marktredwitz</t>
  </si>
  <si>
    <t>Pavelsbach</t>
  </si>
  <si>
    <t>Kollersried</t>
  </si>
  <si>
    <t>Oberwasungen</t>
  </si>
  <si>
    <t>Kulmbacher Forst</t>
  </si>
  <si>
    <t>Haid</t>
  </si>
  <si>
    <t>Neunburg vorm Wald</t>
  </si>
  <si>
    <t>Emtmannsberg</t>
  </si>
  <si>
    <t>Bayerbach b.Ergoldsbach</t>
  </si>
  <si>
    <t>Stauf</t>
  </si>
  <si>
    <t>Tettenweis</t>
  </si>
  <si>
    <t>Rollhofen</t>
  </si>
  <si>
    <t>Oberbruck</t>
  </si>
  <si>
    <t>Egglfing a.Inn</t>
  </si>
  <si>
    <t>Gestungshausen</t>
  </si>
  <si>
    <t>Gailroth</t>
  </si>
  <si>
    <t>Oedenberg</t>
  </si>
  <si>
    <t>Nankendorf</t>
  </si>
  <si>
    <t>Illschwang</t>
  </si>
  <si>
    <t>Dinau</t>
  </si>
  <si>
    <t>Anning</t>
  </si>
  <si>
    <t>Haslangkreit</t>
  </si>
  <si>
    <t>Staufen</t>
  </si>
  <si>
    <t>Aidenbach</t>
  </si>
  <si>
    <t>Niederviehbach</t>
  </si>
  <si>
    <t>Schweinkofen</t>
  </si>
  <si>
    <t>Schnellmannskreuth</t>
  </si>
  <si>
    <t>Balmertshofen</t>
  </si>
  <si>
    <t>Friedenfels</t>
  </si>
  <si>
    <t>Tunzenberg</t>
  </si>
  <si>
    <t>Ebrach</t>
  </si>
  <si>
    <t>Volsbach</t>
  </si>
  <si>
    <t>Hennhofen</t>
  </si>
  <si>
    <t>Trebgast</t>
  </si>
  <si>
    <t>Binnenbach</t>
  </si>
  <si>
    <t>Waldthurn</t>
  </si>
  <si>
    <t>Frauenforst</t>
  </si>
  <si>
    <t>Fabrik-Schleichacher Forst-SW</t>
  </si>
  <si>
    <t>Wernarz</t>
  </si>
  <si>
    <t>Stockensau</t>
  </si>
  <si>
    <t>Altmannsberg</t>
  </si>
  <si>
    <t>Obernankau</t>
  </si>
  <si>
    <t>Kauerndorf</t>
  </si>
  <si>
    <t>Simbach</t>
  </si>
  <si>
    <t>Seitenbach</t>
  </si>
  <si>
    <t>Walkertshofen</t>
  </si>
  <si>
    <t>Arnsdorf</t>
  </si>
  <si>
    <t>Kleinheubach</t>
  </si>
  <si>
    <t>Kirchham</t>
  </si>
  <si>
    <t>Aiglsbach</t>
  </si>
  <si>
    <t>Pfeffenhausen</t>
  </si>
  <si>
    <t>Eisenbrechtshofen</t>
  </si>
  <si>
    <t>Pielweichs</t>
  </si>
  <si>
    <t>Felkendorf</t>
  </si>
  <si>
    <t>Stadtprozelten</t>
  </si>
  <si>
    <t>Pfettrach</t>
  </si>
  <si>
    <t>Drossenhausen</t>
  </si>
  <si>
    <t>Kainach</t>
  </si>
  <si>
    <t>Aigen a.Inn</t>
  </si>
  <si>
    <t>Waidhaus</t>
  </si>
  <si>
    <t>Englmannsberg</t>
  </si>
  <si>
    <t>Neumarkt</t>
  </si>
  <si>
    <t>Reifenberg</t>
  </si>
  <si>
    <t>Waldkirch</t>
  </si>
  <si>
    <t>Leidersbach</t>
  </si>
  <si>
    <t>Zedersdorf</t>
  </si>
  <si>
    <t>Schressendorf</t>
  </si>
  <si>
    <t>Hocha</t>
  </si>
  <si>
    <t>Safferstetten</t>
  </si>
  <si>
    <t>Hainsberg</t>
  </si>
  <si>
    <t>Ettlishofen</t>
  </si>
  <si>
    <t>Paindlkofen</t>
  </si>
  <si>
    <t>Wildenholz</t>
  </si>
  <si>
    <t>Rieneck</t>
  </si>
  <si>
    <t>Niederlamitz</t>
  </si>
  <si>
    <t>Hartmannshof</t>
  </si>
  <si>
    <t>Rohr i.NB</t>
  </si>
  <si>
    <t>Neuenbuch</t>
  </si>
  <si>
    <t>Kaspauer</t>
  </si>
  <si>
    <t>Gansheim</t>
  </si>
  <si>
    <t>Nornheim</t>
  </si>
  <si>
    <t>Berngau</t>
  </si>
  <si>
    <t>Sands</t>
  </si>
  <si>
    <t>Waltersberg</t>
  </si>
  <si>
    <t>Weidelbach</t>
  </si>
  <si>
    <t>Mitteraschau</t>
  </si>
  <si>
    <t>Kulz</t>
  </si>
  <si>
    <t>Haimendorfer Forst</t>
  </si>
  <si>
    <t>Unterpindhart</t>
  </si>
  <si>
    <t>Wolferstadt</t>
  </si>
  <si>
    <t>Freienfels</t>
  </si>
  <si>
    <t>Sengenthal</t>
  </si>
  <si>
    <t>Gottsfeld</t>
  </si>
  <si>
    <t>Hohenreichen</t>
  </si>
  <si>
    <t>Achsheim</t>
  </si>
  <si>
    <t>Wasserzell</t>
  </si>
  <si>
    <t>Ortlfingen</t>
  </si>
  <si>
    <t>Kaising</t>
  </si>
  <si>
    <t>Muschenried</t>
  </si>
  <si>
    <t>Willenhofen</t>
  </si>
  <si>
    <t>Nennslingen</t>
  </si>
  <si>
    <t>Wallersberg</t>
  </si>
  <si>
    <t>Volkertshofen</t>
  </si>
  <si>
    <t>Edenhauser Forst</t>
  </si>
  <si>
    <t>Schwabthal</t>
  </si>
  <si>
    <t>Gundelsdorf</t>
  </si>
  <si>
    <t>Plesten</t>
  </si>
  <si>
    <t>Frauendorf</t>
  </si>
  <si>
    <t>Heidenheim</t>
  </si>
  <si>
    <t>Sunzendorf</t>
  </si>
  <si>
    <t>Dehnberg</t>
  </si>
  <si>
    <t>Sulzbach a.Inn</t>
  </si>
  <si>
    <t>Engelsdorf</t>
  </si>
  <si>
    <t>Forsthart</t>
  </si>
  <si>
    <t>Neidstein</t>
  </si>
  <si>
    <t>Bug b.Berg</t>
  </si>
  <si>
    <t>Windischhausen</t>
  </si>
  <si>
    <t>Marloffstein</t>
  </si>
  <si>
    <t>Kemmaten</t>
  </si>
  <si>
    <t>Segringen</t>
  </si>
  <si>
    <t>Lechhausen</t>
  </si>
  <si>
    <t>Burgwallbacher Forst</t>
  </si>
  <si>
    <t>Weigersdorf</t>
  </si>
  <si>
    <t>Sondernau</t>
  </si>
  <si>
    <t>Langensteinbach</t>
  </si>
  <si>
    <t>Kleinziegenfeld</t>
  </si>
  <si>
    <t>Berg b.Neumarkt i.d.OPf.</t>
  </si>
  <si>
    <t>Kodlitz</t>
  </si>
  <si>
    <t>Winklarn</t>
  </si>
  <si>
    <t>Schnuttenbach</t>
  </si>
  <si>
    <t>Kraftsbuch</t>
  </si>
  <si>
    <t>Aulzhausen</t>
  </si>
  <si>
    <t>Senden</t>
  </si>
  <si>
    <t>Kaisheim</t>
  </si>
  <si>
    <t>Seebarn</t>
  </si>
  <si>
    <t>Ramsenthal</t>
  </si>
  <si>
    <t>Ziegetsdorf</t>
  </si>
  <si>
    <t>Heiligkreuz</t>
  </si>
  <si>
    <t>Eschlkam</t>
  </si>
  <si>
    <t>Burgau</t>
  </si>
  <si>
    <t>Heimpersdorf</t>
  </si>
  <si>
    <t>Unterzeitlarn</t>
  </si>
  <si>
    <t>Hallersteiner Forst-Nordost</t>
  </si>
  <si>
    <t>Altrandsberg</t>
  </si>
  <si>
    <t>Holenbrunn</t>
  </si>
  <si>
    <t>Untermettenbach</t>
  </si>
  <si>
    <t>Haig</t>
  </si>
  <si>
    <t>Seybothenreuth</t>
  </si>
  <si>
    <t>Johannesberg</t>
  </si>
  <si>
    <t>Unterweilenbach</t>
  </si>
  <si>
    <t>Alsmoos</t>
  </si>
  <si>
    <t>Schnarchenreuth</t>
  </si>
  <si>
    <t>Steinling</t>
  </si>
  <si>
    <t>Ruhstorf a.d.Rott</t>
  </si>
  <si>
    <t>Heldmannsberg</t>
  </si>
  <si>
    <t>Petersdorf</t>
  </si>
  <si>
    <t>Baierfeld</t>
  </si>
  <si>
    <t>Koppenbach</t>
  </si>
  <si>
    <t>Stotzard</t>
  </si>
  <si>
    <t>Kirchendemenreuth</t>
  </si>
  <si>
    <t>Illerzell</t>
  </si>
  <si>
    <t>Langenprozelten</t>
  </si>
  <si>
    <t>Dachstadt</t>
  </si>
  <si>
    <t>Lehen</t>
  </si>
  <si>
    <t>Oberredwitz</t>
  </si>
  <si>
    <t>Neustadt b.Coburg</t>
  </si>
  <si>
    <t>Ebersbrunn</t>
  </si>
  <si>
    <t>Deining</t>
  </si>
  <si>
    <t>Blankenburg</t>
  </si>
  <si>
    <t>Haag a.d.Amper</t>
  </si>
  <si>
    <t>Gottfrieding</t>
  </si>
  <si>
    <t>Kasendorf</t>
  </si>
  <si>
    <t>Oberdornlach</t>
  </si>
  <si>
    <t>Kirchenlaibach</t>
  </si>
  <si>
    <t>Pfelling</t>
  </si>
  <si>
    <t>Haibach</t>
  </si>
  <si>
    <t>Eichwald</t>
  </si>
  <si>
    <t>Tondorf</t>
  </si>
  <si>
    <t>Grattstadt</t>
  </si>
  <si>
    <t>Veitsbuch</t>
  </si>
  <si>
    <t>Heuchling</t>
  </si>
  <si>
    <t>Bindlach</t>
  </si>
  <si>
    <t>Weickenbach</t>
  </si>
  <si>
    <t>Oberradach</t>
  </si>
  <si>
    <t>Schweinersdorf</t>
  </si>
  <si>
    <t>Kalmreuth</t>
  </si>
  <si>
    <t>Eixendorf</t>
  </si>
  <si>
    <t>Speichersdorf</t>
  </si>
  <si>
    <t>Hackenberg</t>
  </si>
  <si>
    <t>Pretzfeld</t>
  </si>
  <si>
    <t>Pollanten</t>
  </si>
  <si>
    <t>Peterskirchen</t>
  </si>
  <si>
    <t>Eholfing</t>
  </si>
  <si>
    <t>Chamerau</t>
  </si>
  <si>
    <t>Mindelaltheim</t>
  </si>
  <si>
    <t>Sontheim</t>
  </si>
  <si>
    <t>Egglham</t>
  </si>
  <si>
    <t>Wutschdorf</t>
  </si>
  <si>
    <t>Niederhatzkofen</t>
  </si>
  <si>
    <t>Oberglaim</t>
  </si>
  <si>
    <t>Seidelsdorf</t>
  </si>
  <si>
    <t>Michaelsbuch</t>
  </si>
  <si>
    <t>Aufheim</t>
  </si>
  <si>
    <t>Unterhausbach</t>
  </si>
  <si>
    <t>Gschwendt</t>
  </si>
  <si>
    <t>Lanzendorf</t>
  </si>
  <si>
    <t>Pocking</t>
  </si>
  <si>
    <t>Viecht</t>
  </si>
  <si>
    <t>Haag b.Schwarzhofen</t>
  </si>
  <si>
    <t>Aicha a.d.Donau</t>
  </si>
  <si>
    <t>Gersdorf</t>
  </si>
  <si>
    <t>Oberampfrach</t>
  </si>
  <si>
    <t>Nairitz</t>
  </si>
  <si>
    <t>Oberafferbach</t>
  </si>
  <si>
    <t>Leutendorf</t>
  </si>
  <si>
    <t>Gellnhausen</t>
  </si>
  <si>
    <t>Letzau</t>
  </si>
  <si>
    <t>Ronsolden</t>
  </si>
  <si>
    <t>Grafenberg</t>
  </si>
  <si>
    <t>Windischenlaibach</t>
  </si>
  <si>
    <t>Hasselberg</t>
  </si>
  <si>
    <t>Eichelsbach</t>
  </si>
  <si>
    <t>Gailbach</t>
  </si>
  <si>
    <t>Hetzmannsdorf</t>
  </si>
  <si>
    <t>Kleingeschaidt</t>
  </si>
  <si>
    <t>Ascha</t>
  </si>
  <si>
    <t>Attenhausen</t>
  </si>
  <si>
    <t>Prackendorf</t>
  </si>
  <si>
    <t>Mantlach b.Velburg</t>
  </si>
  <si>
    <t>Wellmersdorf</t>
  </si>
  <si>
    <t>Zeulenreuth</t>
  </si>
  <si>
    <t>Dezenacker</t>
  </si>
  <si>
    <t>Bogen</t>
  </si>
  <si>
    <t>Poigham</t>
  </si>
  <si>
    <t>Busbach</t>
  </si>
  <si>
    <t>Wildenheid</t>
  </si>
  <si>
    <t>Oberpfraundorf</t>
  </si>
  <si>
    <t>Markstetten</t>
  </si>
  <si>
    <t>Schollbrunn</t>
  </si>
  <si>
    <t>Landersdorf</t>
  </si>
  <si>
    <t>Lixenried</t>
  </si>
  <si>
    <t>Landerzhofen</t>
  </si>
  <si>
    <t>Vilsbiburg</t>
  </si>
  <si>
    <t>Burgthann</t>
  </si>
  <si>
    <t>Niederhornbach</t>
  </si>
  <si>
    <t>Holzschwang</t>
  </si>
  <si>
    <t>Oberrodach</t>
  </si>
  <si>
    <t>Laugna</t>
  </si>
  <si>
    <t>Inchenhofen</t>
  </si>
  <si>
    <t>Haderstadl</t>
  </si>
  <si>
    <t>Langensallach</t>
  </si>
  <si>
    <t>Zirgesheim</t>
  </si>
  <si>
    <t>Gottfriedsreuth</t>
  </si>
  <si>
    <t>Petersbuch</t>
  </si>
  <si>
    <t>Creez</t>
  </si>
  <si>
    <t>Wolfertsbronn</t>
  </si>
  <si>
    <t>Zangberg</t>
  </si>
  <si>
    <t>Lauterburg</t>
  </si>
  <si>
    <t>Palzing</t>
  </si>
  <si>
    <t>Euerwang</t>
  </si>
  <si>
    <t>Aindling</t>
  </si>
  <si>
    <t>Ebermannstadt</t>
  </si>
  <si>
    <t>Tannfeld</t>
  </si>
  <si>
    <t>Appersdorf</t>
  </si>
  <si>
    <t>Harthausen</t>
  </si>
  <si>
    <t>Oberhummel</t>
  </si>
  <si>
    <t>Waltersdorf</t>
  </si>
  <si>
    <t>Burgsinn</t>
  </si>
  <si>
    <t>Pattendorf</t>
  </si>
  <si>
    <t>Hersbruck</t>
  </si>
  <si>
    <t>Rottenburg a.d.Laaber</t>
  </si>
  <si>
    <t>Weihmichl</t>
  </si>
  <si>
    <t>Haidenaab</t>
  </si>
  <si>
    <t>Sollngriesbach</t>
  </si>
  <si>
    <t>Langenpreising</t>
  </si>
  <si>
    <t>Wiesentfels</t>
  </si>
  <si>
    <t>Buckendorf</t>
  </si>
  <si>
    <t>Diebersried</t>
  </si>
  <si>
    <t>Hirschbach</t>
  </si>
  <si>
    <t>Eichenbirkig</t>
  </si>
  <si>
    <t>Schopflohe</t>
  </si>
  <si>
    <t>Wolnzach</t>
  </si>
  <si>
    <t>Winzenhohl</t>
  </si>
  <si>
    <t>Weislitz</t>
  </si>
  <si>
    <t>Oberailsfeld</t>
  </si>
  <si>
    <t>Ahlstadt</t>
  </si>
  <si>
    <t>Schimborn</t>
  </si>
  <si>
    <t>Neudorf b.Ebrach</t>
  </si>
  <si>
    <t>Wettenhausen</t>
  </si>
  <si>
    <t>Schweinspoint</t>
  </si>
  <si>
    <t>Wachelkofen</t>
  </si>
  <si>
    <t>Obereulenbach</t>
  </si>
  <si>
    <t>Bliensbach</t>
  </si>
  <si>
    <t>Malgersdorf</t>
  </si>
  <si>
    <t>Unterrohr</t>
  </si>
  <si>
    <t>Michelrieth</t>
  </si>
  <si>
    <t>Burglesau</t>
  </si>
  <si>
    <t>Hegnabrunn</t>
  </si>
  <si>
    <t>Leinheim</t>
  </si>
  <si>
    <t>Walddorf</t>
  </si>
  <si>
    <t>Kleinblankenbach</t>
  </si>
  <si>
    <t>Bogenberg</t>
  </si>
  <si>
    <t>Eichenhofen</t>
  </si>
  <si>
    <t>Bergmatting</t>
  </si>
  <si>
    <t>Speikern</t>
  </si>
  <si>
    <t>Petersglaim</t>
  </si>
  <si>
    <t>Alladorf</t>
  </si>
  <si>
    <t>Pappenheim</t>
  </si>
  <si>
    <t>Hillstett</t>
  </si>
  <si>
    <t>Wohnsgehaig</t>
  </si>
  <si>
    <t>Gebenhofen</t>
  </si>
  <si>
    <t>Sassenhof</t>
  </si>
  <si>
    <t>Wildeppenried</t>
  </si>
  <si>
    <t>Rehlingen</t>
  </si>
  <si>
    <t>Weiden</t>
  </si>
  <si>
    <t>Schlattein</t>
  </si>
  <si>
    <t>Wullenstetten</t>
  </si>
  <si>
    <t>Markt</t>
  </si>
  <si>
    <t>Gachenbach</t>
  </si>
  <si>
    <t>Geyern</t>
  </si>
  <si>
    <t>Langenisarhofen</t>
  </si>
  <si>
    <t>Albstadt</t>
  </si>
  <si>
    <t>Schmatzhausen</t>
  </si>
  <si>
    <t>Bonsal</t>
  </si>
  <si>
    <t>Mehring</t>
  </si>
  <si>
    <t>Kipfendorf</t>
  </si>
  <si>
    <t>Wonsees</t>
  </si>
  <si>
    <t>Sassenreuth</t>
  </si>
  <si>
    <t>Eslarn</t>
  </si>
  <si>
    <t>Loderbach</t>
  </si>
  <si>
    <t>Waldstetten</t>
  </si>
  <si>
    <t>Etzgersrieth</t>
  </si>
  <si>
    <t>Prettelshofen</t>
  </si>
  <si>
    <t>Drosendorf a.Eggerbach</t>
  </si>
  <si>
    <t>Vornbach</t>
  </si>
  <si>
    <t>Esselbach</t>
  </si>
  <si>
    <t>Mantlach</t>
  </si>
  <si>
    <t>Gaulzhofen</t>
  </si>
  <si>
    <t>Oberaichbach</t>
  </si>
  <si>
    <t>Issigau</t>
  </si>
  <si>
    <t>Eitting</t>
  </si>
  <si>
    <t>Pischelsdorf</t>
  </si>
  <si>
    <t>Graisbach</t>
  </si>
  <si>
    <t>Johanniskirchen</t>
  </si>
  <si>
    <t>Laineck</t>
  </si>
  <si>
    <t>Trockau</t>
  </si>
  <si>
    <t>Plattling</t>
  </si>
  <si>
    <t>Keilsdorf</t>
  </si>
  <si>
    <t>Pfaffenhofen a.d.Roth</t>
  </si>
  <si>
    <t>Unterailsfeld</t>
  </si>
  <si>
    <t>Niederroning</t>
  </si>
  <si>
    <t>Fabrikschleichach</t>
  </si>
  <si>
    <t>Lohndorf</t>
  </si>
  <si>
    <t>Bocksberg</t>
  </si>
  <si>
    <t>Gmeinsrieth</t>
  </si>
  <si>
    <t>Pattenham</t>
  </si>
  <si>
    <t>Rannersdorf</t>
  </si>
  <si>
    <t>Waldfensterer Forst</t>
  </si>
  <si>
    <t>Zaubach</t>
  </si>
  <si>
    <t>Wenschdorf</t>
  </si>
  <si>
    <t>Willprechtszell</t>
  </si>
  <si>
    <t>Batzenhofen</t>
  </si>
  <si>
    <t>Kreuzbach</t>
  </si>
  <si>
    <t>Weckbach</t>
  </si>
  <si>
    <t>Lauenstein</t>
  </si>
  <si>
    <t>Zolling</t>
  </si>
  <si>
    <t>Langenreichen</t>
  </si>
  <si>
    <t>Menchau</t>
  </si>
  <si>
    <t>Au vorm Wald</t>
  </si>
  <si>
    <t>Oberding</t>
  </si>
  <si>
    <t>Unternschreez</t>
  </si>
  <si>
    <t>Inzkofen</t>
  </si>
  <si>
    <t>Treinreuth</t>
  </si>
  <si>
    <t>Kleinaign</t>
  </si>
  <si>
    <t>Litterzhofen</t>
  </si>
  <si>
    <t>Kaldorf</t>
  </si>
  <si>
    <t>Miltach</t>
  </si>
  <si>
    <t>Oberotterbach</t>
  </si>
  <si>
    <t>Amsham</t>
  </si>
  <si>
    <t>Schederndorf</t>
  </si>
  <si>
    <t>Flotzheim</t>
  </si>
  <si>
    <t>Lessau</t>
  </si>
  <si>
    <t>Aunkirchen</t>
  </si>
  <si>
    <t>Unterferrieden</t>
  </si>
  <si>
    <t>Kredenbach</t>
  </si>
  <si>
    <t>Taufkirchen</t>
  </si>
  <si>
    <t>Marklkofen</t>
  </si>
  <si>
    <t>Feigenhofen</t>
  </si>
  <si>
    <t>Waldershof</t>
  </si>
  <si>
    <t>Geutenreuth</t>
  </si>
  <si>
    <t>Ruhstorf</t>
  </si>
  <si>
    <t>Notzing</t>
  </si>
  <si>
    <t>Seuversholz</t>
  </si>
  <si>
    <t>Sachsendorf</t>
  </si>
  <si>
    <t>Neuhausen b.Landshut</t>
  </si>
  <si>
    <t>Haunwang</t>
  </si>
  <si>
    <t>Windischbergerdorf</t>
  </si>
  <si>
    <t>Breitenbach</t>
  </si>
  <si>
    <t>Bergrothenfels</t>
  </si>
  <si>
    <t>Bayerbach</t>
  </si>
  <si>
    <t>Oberehrenbach</t>
  </si>
  <si>
    <t>Erbishofen</t>
  </si>
  <si>
    <t>Waldeck</t>
  </si>
  <si>
    <t>Niederreisbach</t>
  </si>
  <si>
    <t>Zeinried</t>
  </si>
  <si>
    <t>Oberferrieden</t>
  </si>
  <si>
    <t>Breunsberg</t>
  </si>
  <si>
    <t>Biberberg</t>
  </si>
  <si>
    <t>Neuenmarkt</t>
  </si>
  <si>
    <t>Winterbach</t>
  </si>
  <si>
    <t>Neukelheim</t>
  </si>
  <si>
    <t>Frauenberg</t>
  </si>
  <si>
    <t>Unteraltenbuch</t>
  </si>
  <si>
    <t>Pirkhof</t>
  </si>
  <si>
    <t>Fahnersdorf</t>
  </si>
  <si>
    <t>Rainertshausen</t>
  </si>
  <si>
    <t>Buchet</t>
  </si>
  <si>
    <t>Obernschreez</t>
  </si>
  <si>
    <t>Ettenbeuren</t>
  </si>
  <si>
    <t>Lengenfeld</t>
  </si>
  <si>
    <t>Hungersacker</t>
  </si>
  <si>
    <t>Birkig</t>
  </si>
  <si>
    <t>Schlegel</t>
  </si>
  <si>
    <t>Beutelsbach</t>
  </si>
  <si>
    <t>Soden</t>
  </si>
  <si>
    <t>Baumgarten</t>
  </si>
  <si>
    <t>Aura i.Sinngrund</t>
  </si>
  <si>
    <t>Brombach</t>
  </si>
  <si>
    <t>Bad Alexandersbad</t>
  </si>
  <si>
    <t>Henfenfeld</t>
  </si>
  <si>
    <t>Lindkirchen</t>
  </si>
  <si>
    <t>Forst Schmalwasser-Nord</t>
  </si>
  <si>
    <t>Anzenkirchen</t>
  </si>
  <si>
    <t>Berglern</t>
  </si>
  <si>
    <t>Mittersthal</t>
  </si>
  <si>
    <t>Ludwigschorgast</t>
  </si>
  <si>
    <t>Buch a.Erlbach</t>
  </si>
  <si>
    <t>Hetzles</t>
  </si>
  <si>
    <t>Ichenhausen</t>
  </si>
  <si>
    <t>Niederwinkling</t>
  </si>
  <si>
    <t>Wulmersreuth</t>
  </si>
  <si>
    <t>Schondra</t>
  </si>
  <si>
    <t>Gerzen</t>
  </si>
  <si>
    <t>Haushausen</t>
  </si>
  <si>
    <t>Edelsfeld</t>
  </si>
  <si>
    <t>Schnufenhofen</t>
  </si>
  <si>
    <t>Affaltern</t>
  </si>
  <si>
    <t>Rudlfing</t>
  </si>
  <si>
    <t>Ampfing</t>
  </si>
  <si>
    <t>Vogtendorf</t>
  </si>
  <si>
    <t>Hauxdorf</t>
  </si>
  <si>
    <t>Sainbach</t>
  </si>
  <si>
    <t>Zeegendorf</t>
  </si>
  <si>
    <t>Walchshofen</t>
  </si>
  <si>
    <t>Hunderdorf</t>
  </si>
  <si>
    <t>Poxau</t>
  </si>
  <si>
    <t>Hart</t>
  </si>
  <si>
    <t>Hinterkleebach</t>
  </si>
  <si>
    <t>Hochfeld</t>
  </si>
  <si>
    <t>Truppach</t>
  </si>
  <si>
    <t>Gaisheim</t>
  </si>
  <si>
    <t>Bach</t>
  </si>
  <si>
    <t>Buchendorf</t>
  </si>
  <si>
    <t>Preunersfeld</t>
  </si>
  <si>
    <t>Benzendorf</t>
  </si>
  <si>
    <t>Pfaffenfang</t>
  </si>
  <si>
    <t>Dieterzhofen</t>
  </si>
  <si>
    <t>Zinst</t>
  </si>
  <si>
    <t>Stachesried</t>
  </si>
  <si>
    <t>Sattelberg</t>
  </si>
  <si>
    <t>Hammersbach</t>
  </si>
  <si>
    <t>Jesendorf</t>
  </si>
  <si>
    <t>Hambrunn</t>
  </si>
  <si>
    <t>Altenbaindt</t>
  </si>
  <si>
    <t>Langenbach</t>
  </si>
  <si>
    <t>Reitzenstein</t>
  </si>
  <si>
    <t>Hagenhausen</t>
  </si>
  <si>
    <t>Hittistetten</t>
  </si>
  <si>
    <t>Ohlangen</t>
  </si>
  <si>
    <t>Treffelstein</t>
  </si>
  <si>
    <t>Demeldorf</t>
  </si>
  <si>
    <t>Leitheim</t>
  </si>
  <si>
    <t>Auernheim</t>
  </si>
  <si>
    <t>Affing</t>
  </si>
  <si>
    <t>Pleinting</t>
  </si>
  <si>
    <t>Massing</t>
  </si>
  <si>
    <t>Sailauf</t>
  </si>
  <si>
    <t>Preunschen</t>
  </si>
  <si>
    <t>Bechthal</t>
  </si>
  <si>
    <t>Daiting</t>
  </si>
  <si>
    <t>Modschiedel</t>
  </si>
  <si>
    <t>Gammelsdorf</t>
  </si>
  <si>
    <t>Haberskirchen</t>
  </si>
  <si>
    <t>Pullenried</t>
  </si>
  <si>
    <t>Ludwag</t>
  </si>
  <si>
    <t>Woffenbach</t>
  </si>
  <si>
    <t>Motzenhofen</t>
  </si>
  <si>
    <t>Flischbach</t>
  </si>
  <si>
    <t>Rattiszell</t>
  </si>
  <si>
    <t>Ermreus</t>
  </si>
  <si>
    <t>Schirradorf</t>
  </si>
  <si>
    <t>Bernried</t>
  </si>
  <si>
    <t>Hochstahl</t>
  </si>
  <si>
    <t>Pauluszell</t>
  </si>
  <si>
    <t>Osterbuch</t>
  </si>
  <si>
    <t>St. Veit</t>
  </si>
  <si>
    <t>Fesselsdorf</t>
  </si>
  <si>
    <t>Pulling</t>
  </si>
  <si>
    <t>Attenhofen</t>
  </si>
  <si>
    <t>Arzlohe</t>
  </si>
  <si>
    <t>Raindorf</t>
  </si>
  <si>
    <t>Hohenthan</t>
  </si>
  <si>
    <t>Ruprechtsberg</t>
  </si>
  <si>
    <t>Ketschenbach</t>
  </si>
  <si>
    <t>Rieblingen</t>
  </si>
  <si>
    <t>Gundamsried</t>
  </si>
  <si>
    <t>Schutzendorf</t>
  </si>
  <si>
    <t>Singenrain</t>
  </si>
  <si>
    <t>Seubersdorf i.d.OPf.</t>
  </si>
  <si>
    <t>Mainburg</t>
  </si>
  <si>
    <t>Esselberg</t>
  </si>
  <si>
    <t>Forst Detter-Nord</t>
  </si>
  <si>
    <t>Lochheim</t>
  </si>
  <si>
    <t>Eglsee</t>
  </si>
  <si>
    <t>Gaindorf</t>
  </si>
  <si>
    <t>Selbitz</t>
  </si>
  <si>
    <t>Wattendorf</t>
  </si>
  <si>
    <t>Neustift</t>
  </si>
  <si>
    <t>Martinszell</t>
  </si>
  <si>
    <t>Wallnsdorf</t>
  </si>
  <si>
    <t>Gangkofen</t>
  </si>
  <si>
    <t>Kirchenreinbach</t>
  </si>
  <si>
    <t>Otterzhofen</t>
  </si>
  <si>
    <t>Reinhardsrieth</t>
  </si>
  <si>
    <t>Osterdorf</t>
  </si>
  <si>
    <t>Reichertswinn</t>
  </si>
  <si>
    <t>Markt Indersdorf</t>
  </si>
  <si>
    <t>Thanhausen</t>
  </si>
  <si>
    <t>Rodenbach</t>
  </si>
  <si>
    <t>Untertattenbach</t>
  </si>
  <si>
    <t>Mettenheim</t>
  </si>
  <si>
    <t>Kirchleus</t>
  </si>
  <si>
    <t>Geisenhausen</t>
  </si>
  <si>
    <t>Salmanskirchen</t>
  </si>
  <si>
    <t>Schnabelwaid</t>
  </si>
  <si>
    <t>Sandelzhausen</t>
  </si>
  <si>
    <t>Vorderkleebach</t>
  </si>
  <si>
    <t>Anglberg</t>
  </si>
  <si>
    <t>Geroldsee</t>
  </si>
  <si>
    <t>Marzling</t>
  </si>
  <si>
    <t>Tegernbach</t>
  </si>
  <si>
    <t>Weigenhofen</t>
  </si>
  <si>
    <t>Derchinger Forst</t>
  </si>
  <si>
    <t>Nenntmannsreuth</t>
  </si>
  <si>
    <t>Krausenbach</t>
  </si>
  <si>
    <t>Landorf</t>
  </si>
  <si>
    <t>Weidenberg</t>
  </si>
  <si>
    <t>Hohenbachern</t>
  </si>
  <si>
    <t>Lipperts</t>
  </si>
  <si>
    <t>Haunswies</t>
  </si>
  <si>
    <t>Erharting</t>
  </si>
  <si>
    <t>Guttenberg</t>
  </si>
  <si>
    <t>Wintersbach</t>
  </si>
  <si>
    <t>Hagsdorf</t>
  </si>
  <si>
    <t>Namsreuth</t>
  </si>
  <si>
    <t>Attaching</t>
  </si>
  <si>
    <t>Raitenhart</t>
  </si>
  <si>
    <t>Weilheim</t>
  </si>
  <si>
    <t>Waldfenster</t>
  </si>
  <si>
    <t>Jettingen</t>
  </si>
  <si>
    <t>Ottorfszell</t>
  </si>
  <si>
    <t>Speicherz</t>
  </si>
  <si>
    <t>Stierbaum</t>
  </si>
  <si>
    <t>Dietersburg</t>
  </si>
  <si>
    <t>Stollnried</t>
  </si>
  <si>
    <t>Rasch</t>
  </si>
  <si>
    <t>Oberleichtersbach</t>
  </si>
  <si>
    <t>Siegenstein</t>
  </si>
  <si>
    <t>Kalsing</t>
  </si>
  <si>
    <t>Schatzendorf</t>
  </si>
  <si>
    <t>Feldkahl</t>
  </si>
  <si>
    <t>Eismannsberg</t>
  </si>
  <si>
    <t>Lichtenhaag</t>
  </si>
  <si>
    <t>Zusamzell</t>
  </si>
  <si>
    <t>Eschelbach a.d.Ilm</t>
  </si>
  <si>
    <t>Rottenegg</t>
  </si>
  <si>
    <t>Niedereulenbach</t>
  </si>
  <si>
    <t>Hallerstein</t>
  </si>
  <si>
    <t>Griesbach</t>
  </si>
  <si>
    <t>Wintershof</t>
  </si>
  <si>
    <t>Penzenhofen</t>
  </si>
  <si>
    <t>Georgenberg</t>
  </si>
  <si>
    <t>Rettern</t>
  </si>
  <si>
    <t>Azendorf</t>
  </si>
  <si>
    <t>Euernbach</t>
  </si>
  <si>
    <t>Pfersee</t>
  </si>
  <si>
    <t>Immenreuth</t>
  </si>
  <si>
    <t>Unterbuchfeld</t>
  </si>
  <si>
    <t>Schnaittach</t>
  </si>
  <si>
    <t>Wildensee</t>
  </si>
  <si>
    <t>Heldenstein</t>
  </si>
  <si>
    <t>Wurmsham</t>
  </si>
  <si>
    <t>Treunitz</t>
  </si>
  <si>
    <t>Deusmauer</t>
  </si>
  <si>
    <t>Jachenhausen</t>
  </si>
  <si>
    <t>Bojendorf</t>
  </si>
  <si>
    <t>Rothmannsthal</t>
  </si>
  <si>
    <t>Egenhofen</t>
  </si>
  <si>
    <t>Emersacker</t>
  </si>
  <si>
    <t>Suffersheim</t>
  </si>
  <si>
    <t>Willmering</t>
  </si>
  <si>
    <t>Deubach</t>
  </si>
  <si>
    <t>Augsberg</t>
  </si>
  <si>
    <t>Muggendorf</t>
  </si>
  <si>
    <t>Mainbach</t>
  </si>
  <si>
    <t>Blaibach</t>
  </si>
  <si>
    <t>Konzenberg</t>
  </si>
  <si>
    <t>Malching</t>
  </si>
  <si>
    <t>Wolfsberg</t>
  </si>
  <si>
    <t>Trebgaster Forst</t>
  </si>
  <si>
    <t>Hackerskofen</t>
  </si>
  <si>
    <t>Zaunsbach</t>
  </si>
  <si>
    <t>Behlingen</t>
  </si>
  <si>
    <t>Engertsham</t>
  </si>
  <si>
    <t>Edenbergen</t>
  </si>
  <si>
    <t>Harrling</t>
  </si>
  <si>
    <t>Wartenberg</t>
  </si>
  <si>
    <t>Niederroth</t>
  </si>
  <si>
    <t>Unterdietfurt</t>
  </si>
  <si>
    <t>Wallenhausen</t>
  </si>
  <si>
    <t>Erbendorf</t>
  </si>
  <si>
    <t>Lehenthal</t>
  </si>
  <si>
    <t>Hegnenbach</t>
  </si>
  <si>
    <t>Weilkirchen</t>
  </si>
  <si>
    <t>Mittelreinbach</t>
  </si>
  <si>
    <t>Benk</t>
  </si>
  <si>
    <t>Haarbach</t>
  </si>
  <si>
    <t>Wiesenhofen</t>
  </si>
  <si>
    <t>Breitenlesau</t>
  </si>
  <si>
    <t>Weiding</t>
  </si>
  <si>
    <t>Seyboldsdorf</t>
  </si>
  <si>
    <t>Monheim</t>
  </si>
  <si>
    <t>Sparneck</t>
  </si>
  <si>
    <t>Wildstein</t>
  </si>
  <si>
    <t>Ellerbach</t>
  </si>
  <si>
    <t>Zochenreuth</t>
  </si>
  <si>
    <t>Martinlamitzer Forst-Nord</t>
  </si>
  <si>
    <t>Rottbach</t>
  </si>
  <si>
    <t>Langenprozeltener Forst</t>
  </si>
  <si>
    <t>Hagenried</t>
  </si>
  <si>
    <t>Witzighausen</t>
  </si>
  <si>
    <t>Haunsfeld</t>
  </si>
  <si>
    <t>Hegelhofen</t>
  </si>
  <si>
    <t>Steinmark</t>
  </si>
  <si>
    <t>Batzhausen</t>
  </si>
  <si>
    <t>Eberswang</t>
  </si>
  <si>
    <t>Hoher Berg</t>
  </si>
  <si>
    <t>Markersreuth</t>
  </si>
  <si>
    <t>Haardt</t>
  </si>
  <si>
    <t>Matzlesrieth</t>
  </si>
  <si>
    <t>Sachsenham</t>
  </si>
  <si>
    <t>Iglbach</t>
  </si>
  <si>
    <t>Hafenhofen</t>
  </si>
  <si>
    <t>Dautersdorf</t>
  </si>
  <si>
    <t>Pankofen</t>
  </si>
  <si>
    <t>Bernrieth</t>
  </si>
  <si>
    <t>Altensittenbach</t>
  </si>
  <si>
    <t>Kleinbeuren</t>
  </si>
  <si>
    <t>Neuhofen</t>
  </si>
  <si>
    <t>Niederbergkirchen</t>
  </si>
  <si>
    <t>Ermreuth</t>
  </si>
  <si>
    <t>Ernersdorf</t>
  </si>
  <si>
    <t>Itzling</t>
  </si>
  <si>
    <t>Reichenschwand</t>
  </si>
  <si>
    <t>Huldsessen</t>
  </si>
  <si>
    <t>Leutenbach</t>
  </si>
  <si>
    <t>Thal</t>
  </si>
  <si>
    <t>Gumattenkirchen</t>
  </si>
  <si>
    <t>Oberaltenbuch</t>
  </si>
  <si>
    <t>Kauernhofen</t>
  </si>
  <si>
    <t>Thalmannsfeld</t>
  </si>
  <si>
    <t>Walbenreuth</t>
  </si>
  <si>
    <t>Stefanskirchen</t>
  </si>
  <si>
    <t>Raitbach</t>
  </si>
  <si>
    <t>Dimpfl</t>
  </si>
  <si>
    <t>Lahm b.Lichtenfels</t>
  </si>
  <si>
    <t>Malling</t>
  </si>
  <si>
    <t>Wippenhausen</t>
  </si>
  <si>
    <t>Eckeltshof</t>
  </si>
  <si>
    <t>Waldaschaff</t>
  </si>
  <si>
    <t>Frauenhofen</t>
  </si>
  <si>
    <t>Aham</t>
  </si>
  <si>
    <t>Derching</t>
  </si>
  <si>
    <t>Unterrodach</t>
  </si>
  <si>
    <t>Hohl</t>
  </si>
  <si>
    <t>Langengeisling</t>
  </si>
  <si>
    <t>Theisenort</t>
  </si>
  <si>
    <t>Raitenbucher Forst</t>
  </si>
  <si>
    <t>Hammel</t>
  </si>
  <si>
    <t>Workerszell</t>
  </si>
  <si>
    <t>Ottmarshausen</t>
  </si>
  <si>
    <t>Rottenberg</t>
  </si>
  <si>
    <t>Pemfling</t>
  </si>
  <si>
    <t>Deutenkofen</t>
  </si>
  <si>
    <t>Degersheim</t>
  </si>
  <si>
    <t>Sappenfeld</t>
  </si>
  <si>
    <t>Amorbach</t>
  </si>
  <si>
    <t>Oberbergkirchen</t>
  </si>
  <si>
    <t>Lindenhardt</t>
  </si>
  <si>
    <t>Teising</t>
  </si>
  <si>
    <t>Mainsbauern</t>
  </si>
  <si>
    <t>Simmelsdorf</t>
  </si>
  <si>
    <t>Diemannskirchen</t>
  </si>
  <si>
    <t>Oberpindhart</t>
  </si>
  <si>
    <t>Degernbach</t>
  </si>
  <si>
    <t>Rumeltshausen</t>
  </si>
  <si>
    <t>Platz</t>
  </si>
  <si>
    <t>Forst Aura</t>
  </si>
  <si>
    <t>Giggenhausen</t>
  </si>
  <si>
    <t>Nandlstadt</t>
  </si>
  <si>
    <t>Frauensattling</t>
  </si>
  <si>
    <t>Feichten</t>
  </si>
  <si>
    <t>Vilshofen an der Donau</t>
  </si>
  <si>
    <t>Oberhochstatt</t>
  </si>
  <si>
    <t>Velden</t>
  </si>
  <si>
    <t>Enghausen</t>
  </si>
  <si>
    <t>Voitmannsdorf</t>
  </si>
  <si>
    <t>Kleinlosnitz</t>
  </si>
  <si>
    <t>Stadtsteinach</t>
  </si>
  <si>
    <t>Welden</t>
  </si>
  <si>
    <t>Glonn</t>
  </si>
  <si>
    <t>Panzing</t>
  </si>
  <si>
    <t>Kriegshaber</t>
  </si>
  <si>
    <t>Mitterfels</t>
  </si>
  <si>
    <t>Galgenforst</t>
  </si>
  <si>
    <t>Wombach</t>
  </si>
  <si>
    <t>Schalldorf</t>
  </si>
  <si>
    <t>Vieth</t>
  </si>
  <si>
    <t>Eberspoint</t>
  </si>
  <si>
    <t>Holzmannshausen</t>
  </si>
  <si>
    <t>Pfarrkirchen</t>
  </si>
  <si>
    <t>Hedersdorf</t>
  </si>
  <si>
    <t>Mirsdorf</t>
  </si>
  <si>
    <t>Ellzee</t>
  </si>
  <si>
    <t>Horgau</t>
  </si>
  <si>
    <t>Hemhausen</t>
  </si>
  <si>
    <t>Leisau</t>
  </si>
  <si>
    <t>Rechbergreuthen</t>
  </si>
  <si>
    <t>Niedertaufkirchen</t>
  </si>
  <si>
    <t>Sigmertshausen</t>
  </si>
  <si>
    <t>Seelig</t>
  </si>
  <si>
    <t>Reuth a.Wald</t>
  </si>
  <si>
    <t>Elsenbach</t>
  </si>
  <si>
    <t>Schiltberg</t>
  </si>
  <si>
    <t>Dasing</t>
  </si>
  <si>
    <t>Heng</t>
  </si>
  <si>
    <t>Trevesen</t>
  </si>
  <si>
    <t>Riglasreuth</t>
  </si>
  <si>
    <t>Pfraunfeld</t>
  </si>
  <si>
    <t>Flossing</t>
  </si>
  <si>
    <t>Polling</t>
  </si>
  <si>
    <t>Thanstein</t>
  </si>
  <si>
    <t>Jarzt</t>
  </si>
  <si>
    <t>Hundsdorf</t>
  </si>
  <si>
    <t>Mechlenreuth</t>
  </si>
  <si>
    <t>Krottensee</t>
  </si>
  <si>
    <t>Ezelsdorf</t>
  </si>
  <si>
    <t>Sandberg</t>
  </si>
  <si>
    <t>Schmidham</t>
  </si>
  <si>
    <t>Sommerkahl</t>
  </si>
  <si>
    <t>Stallwang</t>
  </si>
  <si>
    <t>Ortenburg</t>
  </si>
  <si>
    <t>Margarethenried</t>
  </si>
  <si>
    <t>Gasseldorf</t>
  </si>
  <si>
    <t>Figlsdorf</t>
  </si>
  <si>
    <t>Felizenzell</t>
  </si>
  <si>
    <t>Schneppenbach</t>
  </si>
  <si>
    <t>Ried b.Behlingen</t>
  </si>
  <si>
    <t>Edenried</t>
  </si>
  <si>
    <t>Kulmain</t>
  </si>
  <si>
    <t>Rapperzell</t>
  </si>
  <si>
    <t>Dressendorf</t>
  </si>
  <si>
    <t>Aspertsham</t>
  </si>
  <si>
    <t>Arnschwang</t>
  </si>
  <si>
    <t>Sackenbach</t>
  </si>
  <si>
    <t>Rohrer Wald</t>
  </si>
  <si>
    <t>Sanspareil</t>
  </si>
  <si>
    <t>Leinburg</t>
  </si>
  <si>
    <t>Haldenwang</t>
  </si>
  <si>
    <t>Sattelbogen</t>
  </si>
  <si>
    <t>Strobenried</t>
  </si>
  <si>
    <t>Rudertshofen</t>
  </si>
  <si>
    <t>Arnbach</t>
  </si>
  <si>
    <t>Uttlau</t>
  </si>
  <si>
    <t>Taiting</t>
  </si>
  <si>
    <t>Walkersaich</t>
  </si>
  <si>
    <t>Lohkirchen</t>
  </si>
  <si>
    <t>Sattelpeilnstein</t>
  </si>
  <si>
    <t>Neufahrn b.Freising</t>
  </si>
  <si>
    <t>Hochzoll</t>
  </si>
  <si>
    <t>Vilslern</t>
  </si>
  <si>
    <t>Wildenreuth</t>
  </si>
  <si>
    <t>Gaisthal</t>
  </si>
  <si>
    <t>Grafendorf</t>
  </si>
  <si>
    <t>Salksdorf</t>
  </si>
  <si>
    <t>Frauenbiburg</t>
  </si>
  <si>
    <t>Volkenschwand</t>
  </si>
  <si>
    <t>Steinkirchen</t>
  </si>
  <si>
    <t>Keilberg</t>
  </si>
  <si>
    <t>Geisberger Forst</t>
  </si>
  <si>
    <t>Bodenkirchen</t>
  </si>
  <si>
    <t>Dorfbach</t>
  </si>
  <si>
    <t>Baiershofen</t>
  </si>
  <si>
    <t>Sinzendorf</t>
  </si>
  <si>
    <t>Hebertsfelden</t>
  </si>
  <si>
    <t>Grafertshofen</t>
  </si>
  <si>
    <t>Pasenbach</t>
  </si>
  <si>
    <t>Leibersdorf</t>
  </si>
  <si>
    <t>Englmannsbrunn</t>
  </si>
  <si>
    <t>Frontenhausen</t>
  </si>
  <si>
    <t>Brennberg</t>
  </si>
  <si>
    <t>Egglkofen</t>
  </si>
  <si>
    <t>Kirchdorf a.d.Amper</t>
  </si>
  <si>
    <t>Mitterlangau</t>
  </si>
  <si>
    <t>Untergrafenried</t>
  </si>
  <si>
    <t>Vilsheim</t>
  </si>
  <si>
    <t>Moosinning</t>
  </si>
  <si>
    <t>Ried b.Jettingen</t>
  </si>
  <si>
    <t>Alfeld</t>
  </si>
  <si>
    <t>Dirnaich</t>
  </si>
  <si>
    <t>Oberhofen</t>
  </si>
  <si>
    <t>Buchdorf</t>
  </si>
  <si>
    <t>Loizenkirchen</t>
  </si>
  <si>
    <t>Eppishofen</t>
  </si>
  <si>
    <t>Pegnitz</t>
  </si>
  <si>
    <t>Neuhaus a.d.Pegnitz</t>
  </si>
  <si>
    <t>Illerberg</t>
  </si>
  <si>
    <t>Niederkam</t>
  </si>
  <si>
    <t>Berg ob Landshut</t>
  </si>
  <si>
    <t>Wittesheim</t>
  </si>
  <si>
    <t>Oberhaidelbach</t>
  </si>
  <si>
    <t>Ranoldsberg</t>
  </si>
  <si>
    <t>Altfraunhofen</t>
  </si>
  <si>
    <t>Schmidtstadt</t>
  </si>
  <si>
    <t>Kemnat</t>
  </si>
  <si>
    <t>Unterpleiskirchen</t>
  </si>
  <si>
    <t>Haindlfing</t>
  </si>
  <si>
    <t>Steinbach a.d.Haide</t>
  </si>
  <si>
    <t>Haberskirch</t>
  </si>
  <si>
    <t>Heining</t>
  </si>
  <si>
    <t>Enzelhausen</t>
  </si>
  <si>
    <t>Altenufer</t>
  </si>
  <si>
    <t>Hausheim</t>
  </si>
  <si>
    <t>Dietelskirchen</t>
  </si>
  <si>
    <t>Ruhmannsdorf</t>
  </si>
  <si>
    <t>Fornbach</t>
  </si>
  <si>
    <t>Schlipsheim</t>
  </si>
  <si>
    <t>Igenhausen</t>
  </si>
  <si>
    <t>Oberbessenbach</t>
  </si>
  <si>
    <t>Glosberg</t>
  </si>
  <si>
    <t>Oberbuchfeld</t>
  </si>
  <si>
    <t>Modlos</t>
  </si>
  <si>
    <t>Hausen/GZ</t>
  </si>
  <si>
    <t>Tremersdorf</t>
  </si>
  <si>
    <t>Langenhaslach</t>
  </si>
  <si>
    <t>Rothenfels</t>
  </si>
  <si>
    <t>Goldach</t>
  </si>
  <si>
    <t>Fraunberg</t>
  </si>
  <si>
    <t>Wunsiedel</t>
  </si>
  <si>
    <t>Oberaulenbach</t>
  </si>
  <si>
    <t>Babing</t>
  </si>
  <si>
    <t>Furth im Wald</t>
  </si>
  <si>
    <t>Schwend</t>
  </si>
  <si>
    <t>Harpolden</t>
  </si>
  <si>
    <t>Waldhof</t>
  </si>
  <si>
    <t>Reitsch</t>
  </si>
  <si>
    <t>Daxberg</t>
  </si>
  <si>
    <t>Fahrenzhausen</t>
  </si>
  <si>
    <t>Waffenbrunn</t>
  </si>
  <si>
    <t>Tressau</t>
  </si>
  <si>
    <t>Igensdorf</t>
  </si>
  <si>
    <t>Unterwittelsbach</t>
  </si>
  <si>
    <t>Hallbergmoos</t>
  </si>
  <si>
    <t>Schernfeld</t>
  </si>
  <si>
    <t>Steinlohe</t>
  </si>
  <si>
    <t>Wolferding</t>
  </si>
  <si>
    <t>Gundihausen</t>
  </si>
  <si>
    <t>Achdorf</t>
  </si>
  <si>
    <t>Lauterbrunn</t>
  </si>
  <si>
    <t>Burgsalach</t>
  </si>
  <si>
    <t>Wiffertshausen</t>
  </si>
  <si>
    <t>Taxa</t>
  </si>
  <si>
    <t>Irlach</t>
  </si>
  <si>
    <t>Neuendorf</t>
  </si>
  <si>
    <t>Ensfeld</t>
  </si>
  <si>
    <t>Hainhofen</t>
  </si>
  <si>
    <t>Horgauergreut</t>
  </si>
  <si>
    <t>Alkofen</t>
  </si>
  <si>
    <t>Stadtsteinacher Forst</t>
  </si>
  <si>
    <t>Burggaillenreuth</t>
  </si>
  <si>
    <t>Haidenhof</t>
  </si>
  <si>
    <t>Massenhausen</t>
  </si>
  <si>
    <t>Lauterhofen</t>
  </si>
  <si>
    <t>Rottenbach</t>
  </si>
  <si>
    <t>Oberpleiskirchen</t>
  </si>
  <si>
    <t>Altenerding</t>
  </si>
  <si>
    <t>Zahling</t>
  </si>
  <si>
    <t>Mengersreuth</t>
  </si>
  <si>
    <t>Hirschhorn</t>
  </si>
  <si>
    <t>Untergrasensee</t>
  </si>
  <si>
    <t>Langenleiten</t>
  </si>
  <si>
    <t>Haimburg</t>
  </si>
  <si>
    <t>Hohenbercha</t>
  </si>
  <si>
    <t>Mitterskirchen</t>
  </si>
  <si>
    <t>Wiedenzhausen</t>
  </si>
  <si>
    <t>Bonstetten</t>
  </si>
  <si>
    <t>Obergriesbach</t>
  </si>
  <si>
    <t>Grossenau</t>
  </si>
  <si>
    <t>Affalterbach</t>
  </si>
  <si>
    <t>Ellenfeld</t>
  </si>
  <si>
    <t>Germerswang</t>
  </si>
  <si>
    <t>Bonbruck</t>
  </si>
  <si>
    <t>Zusmarshausen</t>
  </si>
  <si>
    <t>Kollbach</t>
  </si>
  <si>
    <t>Reichenkirchen</t>
  </si>
  <si>
    <t>Asenham</t>
  </si>
  <si>
    <t>Kirchenlamitz</t>
  </si>
  <si>
    <t>Baierbach</t>
  </si>
  <si>
    <t>Sankt Salvator</t>
  </si>
  <si>
    <t>Thalhausen</t>
  </si>
  <si>
    <t>Wulfertshausen</t>
  </si>
  <si>
    <t>Stoffenrieder Forst</t>
  </si>
  <si>
    <t>Stadtbergen</t>
  </si>
  <si>
    <t>Windten</t>
  </si>
  <si>
    <t>Winterzhofen</t>
  </si>
  <si>
    <t>Postbauer</t>
  </si>
  <si>
    <t>Rettenbergen</t>
  </si>
  <si>
    <t>Airischwand</t>
  </si>
  <si>
    <t>Wasentegernbach</t>
  </si>
  <si>
    <t>Knellendorf</t>
  </si>
  <si>
    <t>Binabiburg</t>
  </si>
  <si>
    <t>Landensberg</t>
  </si>
  <si>
    <t>Haar</t>
  </si>
  <si>
    <t>Wimpasing</t>
  </si>
  <si>
    <t>Schauenstein</t>
  </si>
  <si>
    <t>Amperpettenbach</t>
  </si>
  <si>
    <t>Geislohe</t>
  </si>
  <si>
    <t>Geroldshausen i.d.Hallertau</t>
  </si>
  <si>
    <t>Loitzendorf</t>
  </si>
  <si>
    <t>Meilschnitz</t>
  </si>
  <si>
    <t>Labersricht</t>
  </si>
  <si>
    <t>Weimersdorf</t>
  </si>
  <si>
    <t>Westheim b.Augsburg</t>
  </si>
  <si>
    <t>Dalking</t>
  </si>
  <si>
    <t>Unterwestern</t>
  </si>
  <si>
    <t>Meilenhausen</t>
  </si>
  <si>
    <t>Naila</t>
  </si>
  <si>
    <t>Oberempfenbach</t>
  </si>
  <si>
    <t>Gotzendorf</t>
  </si>
  <si>
    <t>Prosdorf</t>
  </si>
  <si>
    <t>Hohenstadt</t>
  </si>
  <si>
    <t>Berghaselbach</t>
  </si>
  <si>
    <t>Langenpettenbach</t>
  </si>
  <si>
    <t>Kutzenhausen</t>
  </si>
  <si>
    <t>Adlkofen</t>
  </si>
  <si>
    <t>Frechetsfeld</t>
  </si>
  <si>
    <t>Mitterscheyern</t>
  </si>
  <si>
    <t>Nonnberg</t>
  </si>
  <si>
    <t>Alfalter</t>
  </si>
  <si>
    <t>Friedberg</t>
  </si>
  <si>
    <t>Gasseltshausen</t>
  </si>
  <si>
    <t>Scheppach</t>
  </si>
  <si>
    <t>Gremertshausen</t>
  </si>
  <si>
    <t>Fribertshofen</t>
  </si>
  <si>
    <t>Breitenried</t>
  </si>
  <si>
    <t>Unterleinleiter</t>
  </si>
  <si>
    <t>Himmelkroner Forst</t>
  </si>
  <si>
    <t>Beuchen</t>
  </si>
  <si>
    <t>Warching</t>
  </si>
  <si>
    <t>Klenau</t>
  </si>
  <si>
    <t>Sillertshausen</t>
  </si>
  <si>
    <t>Indernbuch</t>
  </si>
  <si>
    <t>Singenbach</t>
  </si>
  <si>
    <t>Lochau</t>
  </si>
  <si>
    <t>Wirsberg</t>
  </si>
  <si>
    <t>Frankendorf</t>
  </si>
  <si>
    <t>Attenkirchen</t>
  </si>
  <si>
    <t>Ochsenhart</t>
  </si>
  <si>
    <t>Paar</t>
  </si>
  <si>
    <t>Lindenhardter Forst-Nordwest</t>
  </si>
  <si>
    <t>Oberzeitlbach</t>
  </si>
  <si>
    <t>Hannesried</t>
  </si>
  <si>
    <t>Gaishausen</t>
  </si>
  <si>
    <t>Krombach</t>
  </si>
  <si>
    <t>Vallried</t>
  </si>
  <si>
    <t>Wiesbach</t>
  </si>
  <si>
    <t>Gebensbach</t>
  </si>
  <si>
    <t>Schalkham</t>
  </si>
  <si>
    <t>Reislas</t>
  </si>
  <si>
    <t>Hirtlbach</t>
  </si>
  <si>
    <t>Runding</t>
  </si>
  <si>
    <t>Eisenhofen</t>
  </si>
  <si>
    <t>Kothen</t>
  </si>
  <si>
    <t>Untergriesbach</t>
  </si>
  <si>
    <t>Poppberg</t>
  </si>
  <si>
    <t>Odelzhausen</t>
  </si>
  <si>
    <t>Alzgern</t>
  </si>
  <si>
    <t>Geratskirchen</t>
  </si>
  <si>
    <t>Sulzemoos</t>
  </si>
  <si>
    <t>Unterbleichen</t>
  </si>
  <si>
    <t>Wattenweiler</t>
  </si>
  <si>
    <t>Unterweilbach</t>
  </si>
  <si>
    <t>Unterriedenberg</t>
  </si>
  <si>
    <t>Oberweikertshofen</t>
  </si>
  <si>
    <t>Fischerdorf</t>
  </si>
  <si>
    <t>Sandbach</t>
  </si>
  <si>
    <t>Pollanden</t>
  </si>
  <si>
    <t>Biberachzell</t>
  </si>
  <si>
    <t>Zenching</t>
  </si>
  <si>
    <t>Schwindegg</t>
  </si>
  <si>
    <t>Thambach</t>
  </si>
  <si>
    <t>Rommelsried</t>
  </si>
  <si>
    <t>Allershausen</t>
  </si>
  <si>
    <t>Ebrantshausen</t>
  </si>
  <si>
    <t>Hafenreut</t>
  </si>
  <si>
    <t>Niederneuching</t>
  </si>
  <si>
    <t>Bruckbach</t>
  </si>
  <si>
    <t>Hohenmirsberg</t>
  </si>
  <si>
    <t>Watterbach</t>
  </si>
  <si>
    <t>Au i.d.Hallertau</t>
  </si>
  <si>
    <t>Wollomoos</t>
  </si>
  <si>
    <t>Zips</t>
  </si>
  <si>
    <t>Laimering</t>
  </si>
  <si>
    <t>Rotschreuth</t>
  </si>
  <si>
    <t>Laufach</t>
  </si>
  <si>
    <t>Niederalteich</t>
  </si>
  <si>
    <t>Westerholzhausen</t>
  </si>
  <si>
    <t>Muttershofen</t>
  </si>
  <si>
    <t>Garnzell</t>
  </si>
  <si>
    <t>Pommelsbrunn</t>
  </si>
  <si>
    <t>Obergangkofen</t>
  </si>
  <si>
    <t>Natterholz</t>
  </si>
  <si>
    <t>Grabitz</t>
  </si>
  <si>
    <t>Solnhofen</t>
  </si>
  <si>
    <t>Unterschneitbach</t>
  </si>
  <si>
    <t>Emmerting</t>
  </si>
  <si>
    <t>Diedorf</t>
  </si>
  <si>
    <t>Niedermirsberg</t>
  </si>
  <si>
    <t>Pellheim</t>
  </si>
  <si>
    <t>Sielenbach</t>
  </si>
  <si>
    <t>Aystetten</t>
  </si>
  <si>
    <t>Zwergau</t>
  </si>
  <si>
    <t>Dreistelzer Forst</t>
  </si>
  <si>
    <t>Adelsried</t>
  </si>
  <si>
    <t>Viechtach</t>
  </si>
  <si>
    <t>Helena</t>
  </si>
  <si>
    <t>Walkersbach</t>
  </si>
  <si>
    <t>Kleinberghofen</t>
  </si>
  <si>
    <t>Friedmannsdorf</t>
  </si>
  <si>
    <t>Meringerau</t>
  </si>
  <si>
    <t>Mainbullau</t>
  </si>
  <si>
    <t>Ettenbeurer Wald</t>
  </si>
  <si>
    <t>Vierkirchen</t>
  </si>
  <si>
    <t>Aiterbach</t>
  </si>
  <si>
    <t>Burtenbach</t>
  </si>
  <si>
    <t>Engelthal</t>
  </si>
  <si>
    <t>Dobersgrund</t>
  </si>
  <si>
    <t>Fellen</t>
  </si>
  <si>
    <t>Bad Berneck i.Fichtelgebirge</t>
  </si>
  <si>
    <t>Schwabhausen</t>
  </si>
  <si>
    <t>Birnbrunn</t>
  </si>
  <si>
    <t>Walkersbrunn</t>
  </si>
  <si>
    <t>Tagmersheim</t>
  </si>
  <si>
    <t>Waldkraiburg</t>
  </si>
  <si>
    <t>Stumpfenbach</t>
  </si>
  <si>
    <t>Warzenried</t>
  </si>
  <si>
    <t>Saulburg</t>
  </si>
  <si>
    <t>Neukirchen a.Inn</t>
  </si>
  <si>
    <t>Rattenberg</t>
  </si>
  <si>
    <t>Heimbuchenthal</t>
  </si>
  <si>
    <t>Bellenberg</t>
  </si>
  <si>
    <t>Neuburg a.d.Kammel</t>
  </si>
  <si>
    <t>Hilgartsberg</t>
  </si>
  <si>
    <t>Ering</t>
  </si>
  <si>
    <t>Dachsberg</t>
  </si>
  <si>
    <t>Obertrennbach</t>
  </si>
  <si>
    <t>Allenberg</t>
  </si>
  <si>
    <t>Inningen</t>
  </si>
  <si>
    <t>Einsbach</t>
  </si>
  <si>
    <t>Ehrenberg</t>
  </si>
  <si>
    <t>Wetzldorf</t>
  </si>
  <si>
    <t>Auerbach i.d.OPf.</t>
  </si>
  <si>
    <t>Rugendorf</t>
  </si>
  <si>
    <t>Jenkofen</t>
  </si>
  <si>
    <t>Heretsried</t>
  </si>
  <si>
    <t>Sittenbach</t>
  </si>
  <si>
    <t>Seelach</t>
  </si>
  <si>
    <t>Engelsberg</t>
  </si>
  <si>
    <t>Unterweikertshofen</t>
  </si>
  <si>
    <t>Nasnitz</t>
  </si>
  <si>
    <t>Stoffenried</t>
  </si>
  <si>
    <t>Helmbrechts</t>
  </si>
  <si>
    <t>Windorf</t>
  </si>
  <si>
    <t>Streitberg</t>
  </si>
  <si>
    <t>Pipinsried</t>
  </si>
  <si>
    <t>Lohbruck</t>
  </si>
  <si>
    <t>Angerbach</t>
  </si>
  <si>
    <t>Seibelsdorf</t>
  </si>
  <si>
    <t>Welshofen</t>
  </si>
  <si>
    <t>Irschenbach</t>
  </si>
  <si>
    <t>Ruppmannsburg</t>
  </si>
  <si>
    <t>Albertshof</t>
  </si>
  <si>
    <t>Griesbeckerzell</t>
  </si>
  <si>
    <t>Hohenegglkofen</t>
  </si>
  <si>
    <t>Gabelbach</t>
  </si>
  <si>
    <t>Leups</t>
  </si>
  <si>
    <t>Neufraunhofen</t>
  </si>
  <si>
    <t>Rinnenthal</t>
  </si>
  <si>
    <t>Reichertshausen</t>
  </si>
  <si>
    <t>Kranzberg</t>
  </si>
  <si>
    <t>Pilsach</t>
  </si>
  <si>
    <t>Hilgertshausen</t>
  </si>
  <si>
    <t>Eggerszell</t>
  </si>
  <si>
    <t>Haimhausen</t>
  </si>
  <si>
    <t>Witzleshofen</t>
  </si>
  <si>
    <t>Huppendorf</t>
  </si>
  <si>
    <t>Oberschneitbach</t>
  </si>
  <si>
    <t>Gittensdorf</t>
  </si>
  <si>
    <t>Giebing</t>
  </si>
  <si>
    <t>Frankenberg</t>
  </si>
  <si>
    <t>Emershofen</t>
  </si>
  <si>
    <t>Prittlbach</t>
  </si>
  <si>
    <t>Achtel</t>
  </si>
  <si>
    <t>Volkersbrunn</t>
  </si>
  <si>
    <t>Wessiszell</t>
  </si>
  <si>
    <t>Haiming</t>
  </si>
  <si>
    <t>Unterhaidelbach</t>
  </si>
  <si>
    <t>Omersbach</t>
  </si>
  <si>
    <t>Memmenhausen</t>
  </si>
  <si>
    <t>Unterwiesenbach</t>
  </si>
  <si>
    <t>Rederzhausen</t>
  </si>
  <si>
    <t>Oberwiesenacker</t>
  </si>
  <si>
    <t>Langenaltheim</t>
  </si>
  <si>
    <t>Randelsried</t>
  </si>
  <si>
    <t>Happurg</t>
  </si>
  <si>
    <t>Eschenfelden</t>
  </si>
  <si>
    <t>Fleinhausen</t>
  </si>
  <si>
    <t>Petershausen</t>
  </si>
  <si>
    <t>Rattenkirchen</t>
  </si>
  <si>
    <t>Agawang</t>
  </si>
  <si>
    <t>Tiefenellern</t>
  </si>
  <si>
    <t>Bad Steben</t>
  </si>
  <si>
    <t>Streitheim</t>
  </si>
  <si>
    <t>Pommer</t>
  </si>
  <si>
    <t>Neukirchen b.Hl.Blut</t>
  </si>
  <si>
    <t>Reicheneibach</t>
  </si>
  <si>
    <t>Leitershofen</t>
  </si>
  <si>
    <t>Kissing</t>
  </si>
  <si>
    <t>Kleinlaudenbach</t>
  </si>
  <si>
    <t>Oberwestern</t>
  </si>
  <si>
    <t>Mitgenfeld</t>
  </si>
  <si>
    <t>Weidmes</t>
  </si>
  <si>
    <t>Gebertshofen</t>
  </si>
  <si>
    <t>Rothenbruck</t>
  </si>
  <si>
    <t>Edelstetten</t>
  </si>
  <si>
    <t>Thanham</t>
  </si>
  <si>
    <t>Oberbernbach</t>
  </si>
  <si>
    <t>Falkenfels</t>
  </si>
  <si>
    <t>Maisach</t>
  </si>
  <si>
    <t>Oberbleichen</t>
  </si>
  <si>
    <t>Oberwaldbach</t>
  </si>
  <si>
    <t>Langeneck</t>
  </si>
  <si>
    <t>Ruppertszell</t>
  </si>
  <si>
    <t>Ampermoching</t>
  </si>
  <si>
    <t>Rampoldstetten</t>
  </si>
  <si>
    <t>Frauenzell</t>
  </si>
  <si>
    <t>Ustersbach</t>
  </si>
  <si>
    <t>Grafenwiesen</t>
  </si>
  <si>
    <t>Ainhofen</t>
  </si>
  <si>
    <t>Hirnkirchen</t>
  </si>
  <si>
    <t>Hainbronn</t>
  </si>
  <si>
    <t>Blossenau</t>
  </si>
  <si>
    <t>Atzenzell</t>
  </si>
  <si>
    <t>Unterburgkirchen</t>
  </si>
  <si>
    <t>Kammerberg</t>
  </si>
  <si>
    <t>Fraham</t>
  </si>
  <si>
    <t>Oberroth</t>
  </si>
  <si>
    <t>Angkofen</t>
  </si>
  <si>
    <t>Hebertshausen</t>
  </si>
  <si>
    <t>Lankendorf</t>
  </si>
  <si>
    <t>Taufkirchen (Vils)</t>
  </si>
  <si>
    <t>Puchschlagen</t>
  </si>
  <si>
    <t>Thierbach</t>
  </si>
  <si>
    <t>Eschlipp</t>
  </si>
  <si>
    <t>Oberwiesenbach</t>
  </si>
  <si>
    <t>Reitenbuch</t>
  </si>
  <si>
    <t>Michelsneukirchen</t>
  </si>
  <si>
    <t>Partenstein</t>
  </si>
  <si>
    <t>Offenhausen</t>
  </si>
  <si>
    <t>Kleedorf</t>
  </si>
  <si>
    <t>Bubenhausen</t>
  </si>
  <si>
    <t>Fleisnitz</t>
  </si>
  <si>
    <t>Sackenried</t>
  </si>
  <si>
    <t>Egloffstein</t>
  </si>
  <si>
    <t>Voglarn</t>
  </si>
  <si>
    <t>Hellersberg</t>
  </si>
  <si>
    <t>Wichsenstein</t>
  </si>
  <si>
    <t>Salmannskirchen</t>
  </si>
  <si>
    <t>Oberkastl</t>
  </si>
  <si>
    <t>Eichenberg</t>
  </si>
  <si>
    <t>Aufham</t>
  </si>
  <si>
    <t>Natternberg</t>
  </si>
  <si>
    <t>Anried</t>
  </si>
  <si>
    <t>Neuburg a.Inn</t>
  </si>
  <si>
    <t>Ettelried</t>
  </si>
  <si>
    <t>Thurndorf</t>
  </si>
  <si>
    <t>Wurmannsquick</t>
  </si>
  <si>
    <t>Waizenhofen</t>
  </si>
  <si>
    <t>Gifting</t>
  </si>
  <si>
    <t>Engelhardsberg</t>
  </si>
  <si>
    <t>Forstkastl</t>
  </si>
  <si>
    <t>Hofstarring</t>
  </si>
  <si>
    <t>Bieswang</t>
  </si>
  <si>
    <t>Freihalden</t>
  </si>
  <si>
    <t>Scheyern</t>
  </si>
  <si>
    <t>Willishausen</t>
  </si>
  <si>
    <t>Voggendorf</t>
  </si>
  <si>
    <t>Sulding</t>
  </si>
  <si>
    <t>Piesing</t>
  </si>
  <si>
    <t>Neuzirkendorf</t>
  </si>
  <si>
    <t>Dorfen</t>
  </si>
  <si>
    <t>Tandern</t>
  </si>
  <si>
    <t>Bischbrunn</t>
  </si>
  <si>
    <t>Hengersberg</t>
  </si>
  <si>
    <t>Ahornberg</t>
  </si>
  <si>
    <t>Neustadter Forst</t>
  </si>
  <si>
    <t>Bergkirchen</t>
  </si>
  <si>
    <t>Siegritz</t>
  </si>
  <si>
    <t>Goldkronach</t>
  </si>
  <si>
    <t>Sindlbach</t>
  </si>
  <si>
    <t>Gufflham</t>
  </si>
  <si>
    <t>Gangerbauer</t>
  </si>
  <si>
    <t>Moosen (Vils)</t>
  </si>
  <si>
    <t>Alzgerner Forst</t>
  </si>
  <si>
    <t>Eggen</t>
  </si>
  <si>
    <t>Hallersteiner Forst-Nordwest</t>
  </si>
  <si>
    <t>Haimendorf</t>
  </si>
  <si>
    <t>Biberach</t>
  </si>
  <si>
    <t>Mittelehrenbach</t>
  </si>
  <si>
    <t>Zell im Fichtelgebirge</t>
  </si>
  <si>
    <t>Haimpertshofen</t>
  </si>
  <si>
    <t>Wambach</t>
  </si>
  <si>
    <t>Oberrohr</t>
  </si>
  <si>
    <t>Finsing</t>
  </si>
  <si>
    <t>Marktleugast</t>
  </si>
  <si>
    <t>Etzenhausen</t>
  </si>
  <si>
    <t>Aichach</t>
  </si>
  <si>
    <t>Kirchdorf a.Inn</t>
  </si>
  <si>
    <t>ObereggGZ</t>
  </si>
  <si>
    <t>Gallenbach</t>
  </si>
  <si>
    <t>Straas</t>
  </si>
  <si>
    <t>Bronnen</t>
  </si>
  <si>
    <t>Niedersteinbach</t>
  </si>
  <si>
    <t>Unterbergen</t>
  </si>
  <si>
    <t>Kiemertshofen</t>
  </si>
  <si>
    <t>Oberfladungen</t>
  </si>
  <si>
    <t>Thonberg</t>
  </si>
  <si>
    <t>Walpertskirchen</t>
  </si>
  <si>
    <t>Steinekirch</t>
  </si>
  <si>
    <t>Stollnkirchen</t>
  </si>
  <si>
    <t>Hohenpolding</t>
  </si>
  <si>
    <t>Geigant</t>
  </si>
  <si>
    <t>Gerolsbach</t>
  </si>
  <si>
    <t>Guttenburg</t>
  </si>
  <si>
    <t>Ziemetshausen</t>
  </si>
  <si>
    <t>Hacklberg</t>
  </si>
  <si>
    <t>Nemmersdorf</t>
  </si>
  <si>
    <t>Adelzhausen</t>
  </si>
  <si>
    <t>Kleinkahl</t>
  </si>
  <si>
    <t>Johannesbrunn</t>
  </si>
  <si>
    <t>Merching</t>
  </si>
  <si>
    <t>Unterschweinbach</t>
  </si>
  <si>
    <t>Salgen</t>
  </si>
  <si>
    <t>Marlesreuth</t>
  </si>
  <si>
    <t>Ellenbach</t>
  </si>
  <si>
    <t>Oberneuching</t>
  </si>
  <si>
    <t>Prittriching</t>
  </si>
  <si>
    <t>Winden b.Scheyern</t>
  </si>
  <si>
    <t>Penzenreuth</t>
  </si>
  <si>
    <t>Waxenberg</t>
  </si>
  <si>
    <t>Aspertshofen</t>
  </si>
  <si>
    <t>Steinburg</t>
  </si>
  <si>
    <t>Obertaufkirchen</t>
  </si>
  <si>
    <t>Schillertswiesen</t>
  </si>
  <si>
    <t>Hubenstein</t>
  </si>
  <si>
    <t>Altenbucher Forst</t>
  </si>
  <si>
    <t>Scheuring</t>
  </si>
  <si>
    <t>Lohr a.Main</t>
  </si>
  <si>
    <t>Auwald</t>
  </si>
  <si>
    <t>Oberdorf</t>
  </si>
  <si>
    <t>Schmellerforst</t>
  </si>
  <si>
    <t>Lederdorn</t>
  </si>
  <si>
    <t>Oberleinleiter</t>
  </si>
  <si>
    <t>Neukenroth</t>
  </si>
  <si>
    <t>Kolmberg</t>
  </si>
  <si>
    <t>Kainsbach</t>
  </si>
  <si>
    <t>Leutzdorf</t>
  </si>
  <si>
    <t>Hausmehring</t>
  </si>
  <si>
    <t>Stadlern</t>
  </si>
  <si>
    <t>Kraiburg a.Inn</t>
  </si>
  <si>
    <t>Troschenreuth</t>
  </si>
  <si>
    <t>Feldgeding</t>
  </si>
  <si>
    <t>Gehstorf</t>
  </si>
  <si>
    <t>Eisolzried</t>
  </si>
  <si>
    <t>Ries</t>
  </si>
  <si>
    <t>Offenberg</t>
  </si>
  <si>
    <t>Eurasburg</t>
  </si>
  <si>
    <t>Neustadt a.Main</t>
  </si>
  <si>
    <t>Pottenstein</t>
  </si>
  <si>
    <t>Elbersberg</t>
  </si>
  <si>
    <t>Thuisbrunn</t>
  </si>
  <si>
    <t>Alberzell</t>
  </si>
  <si>
    <t>Hubreith</t>
  </si>
  <si>
    <t>Zieglbach</t>
  </si>
  <si>
    <t>Culmitz</t>
  </si>
  <si>
    <t>Oberwittelsbach</t>
  </si>
  <si>
    <t>Bronn</t>
  </si>
  <si>
    <t>Schlipps</t>
  </si>
  <si>
    <t>Burg</t>
  </si>
  <si>
    <t>Geiselbach</t>
  </si>
  <si>
    <t>Heretshausen</t>
  </si>
  <si>
    <t>Betlinshausen</t>
  </si>
  <si>
    <t>Holzfelder Forst</t>
  </si>
  <si>
    <t>Habersdorf</t>
  </si>
  <si>
    <t>Jetzendorf</t>
  </si>
  <si>
    <t>Ranzenthal</t>
  </si>
  <si>
    <t>Raitenhaslach</t>
  </si>
  <si>
    <t>Oberholz</t>
  </si>
  <si>
    <t>Wundenbach</t>
  </si>
  <si>
    <t>Huflar</t>
  </si>
  <si>
    <t>Obermarbach</t>
  </si>
  <si>
    <t>Martinskirchen</t>
  </si>
  <si>
    <t>Pfaffenhofen a.d.Glonn</t>
  </si>
  <si>
    <t>Veldensteinerforst</t>
  </si>
  <si>
    <t>Osterwaal</t>
  </si>
  <si>
    <t>Steppach b.Augsburg</t>
  </si>
  <si>
    <t>Mering</t>
  </si>
  <si>
    <t>Hohenzell</t>
  </si>
  <si>
    <t>Kreuzholzhausen</t>
  </si>
  <si>
    <t>Hickerstall</t>
  </si>
  <si>
    <t>Burgkirchen a.d.Alz</t>
  </si>
  <si>
    <t>Kucha</t>
  </si>
  <si>
    <t>Balzhausen</t>
  </si>
  <si>
    <t>Ilmried</t>
  </si>
  <si>
    <t>Breitenbronn</t>
  </si>
  <si>
    <t>Gars a.Inn</t>
  </si>
  <si>
    <t>Hirschenhausen</t>
  </si>
  <si>
    <t>Lengsham</t>
  </si>
  <si>
    <t>Volkers</t>
  </si>
  <si>
    <t>Nitzlbuch</t>
  </si>
  <si>
    <t>Gebrontshausen</t>
  </si>
  <si>
    <t>Hohenhard</t>
  </si>
  <si>
    <t>Hubmersberg</t>
  </si>
  <si>
    <t>Eibenberg</t>
  </si>
  <si>
    <t>Perach</t>
  </si>
  <si>
    <t>Illertissen</t>
  </si>
  <si>
    <t>Hohenkammer</t>
  </si>
  <si>
    <t>Blossersberg</t>
  </si>
  <si>
    <t>Mittergars</t>
  </si>
  <si>
    <t>Inning a.Holz</t>
  </si>
  <si>
    <t>Fischach</t>
  </si>
  <si>
    <t>Steinamwasser</t>
  </si>
  <si>
    <t>Maria Thalheim</t>
  </si>
  <si>
    <t>Unterkastl</t>
  </si>
  <si>
    <t>Deisenhausen</t>
  </si>
  <si>
    <t>Triebenreuth</t>
  </si>
  <si>
    <t>Burgadelzhausen</t>
  </si>
  <si>
    <t>Ziegelerden</t>
  </si>
  <si>
    <t>Marktl</t>
  </si>
  <si>
    <t>Kleinaitingen</t>
  </si>
  <si>
    <t>Oberfellendorf</t>
  </si>
  <si>
    <t>Gabelbachergreut</t>
  </si>
  <si>
    <t>Obenhausen</t>
  </si>
  <si>
    <t>Kaltenbuch</t>
  </si>
  <si>
    <t>Hetzelsdorf</t>
  </si>
  <si>
    <t>Bockhorn</t>
  </si>
  <si>
    <t>Herzogau</t>
  </si>
  <si>
    <t>Wollishausen</t>
  </si>
  <si>
    <t>Obermauerbach</t>
  </si>
  <si>
    <t>Oberottmarshausen</t>
  </si>
  <si>
    <t>Bobingen</t>
  </si>
  <si>
    <t>Krausenbacher Forst</t>
  </si>
  <si>
    <t>Billenhausen</t>
  </si>
  <si>
    <t>Motten</t>
  </si>
  <si>
    <t>Daxenthaler Forst</t>
  </si>
  <si>
    <t>Anhausen</t>
  </si>
  <si>
    <t>Ecknach</t>
  </si>
  <si>
    <t>Margertshausen</t>
  </si>
  <si>
    <t>Herrnfehlburg</t>
  </si>
  <si>
    <t>Deuringen</t>
  </si>
  <si>
    <t>Auggenbach</t>
  </si>
  <si>
    <t>Dechantsees</t>
  </si>
  <si>
    <t>Walpenreuth</t>
  </si>
  <si>
    <t>Schwarzach</t>
  </si>
  <si>
    <t>Gannertshofen</t>
  </si>
  <si>
    <t>Katzbach</t>
  </si>
  <si>
    <t>Niederscheyern</t>
  </si>
  <si>
    <t>Hals</t>
  </si>
  <si>
    <t>St.Nikola</t>
  </si>
  <si>
    <t>Schmiechen</t>
  </si>
  <si>
    <t>Reinwarzhofen</t>
  </si>
  <si>
    <t>Traindorf</t>
  </si>
  <si>
    <t>Bachern</t>
  </si>
  <si>
    <t>Algertshausen</t>
  </si>
  <si>
    <t>Eila</t>
  </si>
  <si>
    <t>Mammendorf</t>
  </si>
  <si>
    <t>Paindorf</t>
  </si>
  <si>
    <t>Haunkenzell</t>
  </si>
  <si>
    <t>Ludwigsstadt</t>
  </si>
  <si>
    <t>Grafenkirchen</t>
  </si>
  <si>
    <t>Krommenthal</t>
  </si>
  <si>
    <t>Zogenreuth</t>
  </si>
  <si>
    <t>Gossersdorf</t>
  </si>
  <si>
    <t>Penzenried</t>
  </si>
  <si>
    <t>Dinkelscherben</t>
  </si>
  <si>
    <t>Triefing</t>
  </si>
  <si>
    <t>Ismaning</t>
  </si>
  <si>
    <t>Nannhofen</t>
  </si>
  <si>
    <t>Wehringen</t>
  </si>
  <si>
    <t>Marienweiher</t>
  </si>
  <si>
    <t>Jettenbach</t>
  </si>
  <si>
    <t>Punreuth</t>
  </si>
  <si>
    <t>Windberg</t>
  </si>
  <si>
    <t>Schwindkirchen</t>
  </si>
  <si>
    <t>Arbing</t>
  </si>
  <si>
    <t>Unterumbach</t>
  </si>
  <si>
    <t>Trautmannshofen</t>
  </si>
  <si>
    <t>Forsting</t>
  </si>
  <si>
    <t>Geiselbullach</t>
  </si>
  <si>
    <t>Oberkrumbach</t>
  </si>
  <si>
    <t>Osseltshausen</t>
  </si>
  <si>
    <t>Litzlohe</t>
  </si>
  <si>
    <t>Walburgskirchen</t>
  </si>
  <si>
    <t>Marktschorgast</t>
  </si>
  <si>
    <t>Jedesheim</t>
  </si>
  <si>
    <t>Oberschweinbach</t>
  </si>
  <si>
    <t>Langentheilen</t>
  </si>
  <si>
    <t>Esting</t>
  </si>
  <si>
    <t>Neufang</t>
  </si>
  <si>
    <t>Gessertshausen</t>
  </si>
  <si>
    <t>Schweitenkirchen</t>
  </si>
  <si>
    <t>Dietkirchen</t>
  </si>
  <si>
    <t>Affalterthal</t>
  </si>
  <si>
    <t>Rodenzenreuth</t>
  </si>
  <si>
    <t>Schwanenkirchen</t>
  </si>
  <si>
    <t>Mespelbrunn</t>
  </si>
  <si>
    <t>Grubweg</t>
  </si>
  <si>
    <t>Hundshaupten</t>
  </si>
  <si>
    <t>Larsbach</t>
  </si>
  <si>
    <t>Pelchenhofen</t>
  </si>
  <si>
    <t>Weitenried</t>
  </si>
  <si>
    <t>Julbach</t>
  </si>
  <si>
    <t>Ursberg</t>
  </si>
  <si>
    <t>Gefrees</t>
  </si>
  <si>
    <t>Geroda</t>
  </si>
  <si>
    <t>Pfeffertshofen</t>
  </si>
  <si>
    <t>Gelting</t>
  </si>
  <si>
    <t>Lienlas</t>
  </si>
  <si>
    <t>Moggast</t>
  </si>
  <si>
    <t>Kappel</t>
  </si>
  <si>
    <t>Pfaben</t>
  </si>
  <si>
    <t>Karlsfeld</t>
  </si>
  <si>
    <t>Ingstetten</t>
  </si>
  <si>
    <t>Kupferberg</t>
  </si>
  <si>
    <t>Altenschneeberg</t>
  </si>
  <si>
    <t>Entenberg</t>
  </si>
  <si>
    <t>Pulst</t>
  </si>
  <si>
    <t>Grafengehaig</t>
  </si>
  <si>
    <t>Oberburgkirchen</t>
  </si>
  <si>
    <t>Heinersberg</t>
  </si>
  <si>
    <t>Bischbrunner Forst</t>
  </si>
  <si>
    <t>Beiderwies</t>
  </si>
  <si>
    <t>Hildenbach</t>
  </si>
  <si>
    <t>Kirchensittenbach</t>
  </si>
  <si>
    <t>Holzara</t>
  </si>
  <si>
    <t>Untereichen</t>
  </si>
  <si>
    <t>Diepersdorf</t>
  </si>
  <si>
    <t>Breitenthal</t>
  </si>
  <si>
    <t>Zeilhofen</t>
  </si>
  <si>
    <t>Eurasburger Forst</t>
  </si>
  <si>
    <t>Deinschwang</t>
  </si>
  <si>
    <t>Hutthurm</t>
  </si>
  <si>
    <t>Triftern</t>
  </si>
  <si>
    <t>Oberriedenberg</t>
  </si>
  <si>
    <t>Baindlkirch</t>
  </si>
  <si>
    <t>Unterroggenburger Wald</t>
  </si>
  <si>
    <t>Pullenreuth</t>
  </si>
  <si>
    <t>Schlatzendorf</t>
  </si>
  <si>
    <t>Vorra</t>
  </si>
  <si>
    <t>Schellenbach</t>
  </si>
  <si>
    <t>Herzogenreuth</t>
  </si>
  <si>
    <t>Salzweg</t>
  </si>
  <si>
    <t>Tiefenried</t>
  </si>
  <si>
    <t>Steindorf</t>
  </si>
  <si>
    <t>Traunfeld</t>
  </si>
  <si>
    <t>Grafenbucher Forst</t>
  </si>
  <si>
    <t>Matzbach</t>
  </si>
  <si>
    <t>Arndorf</t>
  </si>
  <si>
    <t>Wohlmannsgesees</t>
  </si>
  <si>
    <t>Baierberg</t>
  </si>
  <si>
    <t>Haupeltshofen</t>
  </si>
  <si>
    <t>Frammersbach</t>
  </si>
  <si>
    <t>Hohenwarth</t>
  </si>
  <si>
    <t>Langwaid</t>
  </si>
  <si>
    <t>Langenbacher Forst</t>
  </si>
  <si>
    <t>Gundlitz</t>
  </si>
  <si>
    <t>Ebersroith</t>
  </si>
  <si>
    <t>Aschau a.Inn</t>
  </si>
  <si>
    <t>Otterskirchen</t>
  </si>
  <si>
    <t>Edelbach</t>
  </si>
  <si>
    <t>Untermeitingen</t>
  </si>
  <si>
    <t>Aichen</t>
  </si>
  <si>
    <t>Beuerbach</t>
  </si>
  <si>
    <t>Herrenstetten</t>
  </si>
  <si>
    <t>Kleinschwarzenbach</t>
  </si>
  <si>
    <t>Eberstetten</t>
  </si>
  <si>
    <t>Sirchenried</t>
  </si>
  <si>
    <t>Hessenthal</t>
  </si>
  <si>
    <t>Reischach</t>
  </si>
  <si>
    <t>Freienried</t>
  </si>
  <si>
    <t>Salzforst</t>
  </si>
  <si>
    <t>Stubenberg</t>
  </si>
  <si>
    <t>Neusorg</t>
  </si>
  <si>
    <t>Zeyern</t>
  </si>
  <si>
    <t>Rieden a.Ammersee</t>
  </si>
  <si>
    <t>Bayersried</t>
  </si>
  <si>
    <t>Winterrieden</t>
  </si>
  <si>
    <t>Dietershofen b.Illertissen</t>
  </si>
  <si>
    <t>Willmatshofen</t>
  </si>
  <si>
    <t>Pliening</t>
  </si>
  <si>
    <t>Wallenfels</t>
  </si>
  <si>
    <t>Olching</t>
  </si>
  <si>
    <t>Pestenacker</t>
  </si>
  <si>
    <t>Zillenberg</t>
  </si>
  <si>
    <t>Sauerhof</t>
  </si>
  <si>
    <t>Filzingen</t>
  </si>
  <si>
    <t>Wilhelmsreut</t>
  </si>
  <si>
    <t>Unterneukirchen</t>
  </si>
  <si>
    <t>Nattenhausen</t>
  </si>
  <si>
    <t>Geiselbacher Forst</t>
  </si>
  <si>
    <t>Aretsried</t>
  </si>
  <si>
    <t>Oberngrub</t>
  </si>
  <si>
    <t>Weidensees</t>
  </si>
  <si>
    <t>Weiler b.Osterberg</t>
  </si>
  <si>
    <t>Hausen b.Hofhegnenberg</t>
  </si>
  <si>
    <t>Egling a.d.Paar</t>
  </si>
  <si>
    <t>Hasberg</t>
  </si>
  <si>
    <t>Althegnenberg</t>
  </si>
  <si>
    <t>Heinrichshofen</t>
  </si>
  <si>
    <t>Nordholz</t>
  </si>
  <si>
    <t>Fladungen</t>
  </si>
  <si>
    <t>Fellheim</t>
  </si>
  <si>
    <t>Oberneukirchen</t>
  </si>
  <si>
    <t>Schwarzenstein</t>
  </si>
  <si>
    <t>Ziegenburg</t>
  </si>
  <si>
    <t>Hofhegnenberg</t>
  </si>
  <si>
    <t>Steinwiesen</t>
  </si>
  <si>
    <t>Teuchatz</t>
  </si>
  <si>
    <t>Kirchheim i.Schw.</t>
  </si>
  <si>
    <t>Morschreuth</t>
  </si>
  <si>
    <t>Wasserknoden</t>
  </si>
  <si>
    <t>Obermeitingen</t>
  </si>
  <si>
    <t>Hohe Wart</t>
  </si>
  <si>
    <t>Rabenshof</t>
  </si>
  <si>
    <t>Osterberg</t>
  </si>
  <si>
    <t>Mottener Forst-West</t>
  </si>
  <si>
    <t>Streitau</t>
  </si>
  <si>
    <t>Engishausen</t>
  </si>
  <si>
    <t>Garching a.d.Alz</t>
  </si>
  <si>
    <t>Leoprechting</t>
  </si>
  <si>
    <t>Thyrnau</t>
  </si>
  <si>
    <t>Johanneck</t>
  </si>
  <si>
    <t>Degelsdorf</t>
  </si>
  <si>
    <t>Engelthaler Forst</t>
  </si>
  <si>
    <t>Zaiertshofen</t>
  </si>
  <si>
    <t>Aletshausen</t>
  </si>
  <si>
    <t>Thenried</t>
  </si>
  <si>
    <t>Partensteiner Forst</t>
  </si>
  <si>
    <t>Obersteben</t>
  </si>
  <si>
    <t>Lilling</t>
  </si>
  <si>
    <t>Stammbach</t>
  </si>
  <si>
    <t>Huckelheim</t>
  </si>
  <si>
    <t>Weibersbrunn</t>
  </si>
  <si>
    <t>Schossaritz</t>
  </si>
  <si>
    <t>Petzenhausen</t>
  </si>
  <si>
    <t>Rimlas</t>
  </si>
  <si>
    <t>Endlkirchen</t>
  </si>
  <si>
    <t>Purk</t>
  </si>
  <si>
    <t>Rudertshausen</t>
  </si>
  <si>
    <t>Oberalting-Seefeld</t>
  </si>
  <si>
    <t>Diepoltsdorf</t>
  </si>
  <si>
    <t>Arrach</t>
  </si>
  <si>
    <t>Osternohe</t>
  </si>
  <si>
    <t>Rogglfing</t>
  </si>
  <si>
    <t>Artelshofen</t>
  </si>
  <si>
    <t>Nordhalben</t>
  </si>
  <si>
    <t>Hattenhofen</t>
  </si>
  <si>
    <t>Pastetten</t>
  </si>
  <si>
    <t>Forstinning</t>
  </si>
  <si>
    <t>Niederraunau</t>
  </si>
  <si>
    <t>Oberdiendorf</t>
  </si>
  <si>
    <t>Klosterbeuren</t>
  </si>
  <si>
    <t>Grunertshofen</t>
  </si>
  <si>
    <t>Markt Schwaben</t>
  </si>
  <si>
    <t>Simbach a.Inn</t>
  </si>
  <si>
    <t>Unterrieden</t>
  </si>
  <si>
    <t>Regenthal</t>
  </si>
  <si>
    <t>Donauwetzdorf</t>
  </si>
  <si>
    <t>Vorderbuchberg</t>
  </si>
  <si>
    <t>Loppenhausen</t>
  </si>
  <si>
    <t>Falls</t>
  </si>
  <si>
    <t>Kirchenbirkig</t>
  </si>
  <si>
    <t>Konzell</t>
  </si>
  <si>
    <t>Walleshausen</t>
  </si>
  <si>
    <t>Enchenreuth</t>
  </si>
  <si>
    <t>Feldmoching</t>
  </si>
  <si>
    <t>Ottenhof</t>
  </si>
  <si>
    <t>Freimann</t>
  </si>
  <si>
    <t>Hettenshausen</t>
  </si>
  <si>
    <t>Rodecker Forst-Ost</t>
  </si>
  <si>
    <t>Mindelzell</t>
  </si>
  <si>
    <t>Hoher Bogen</t>
  </si>
  <si>
    <t>Schlockenau</t>
  </si>
  <si>
    <t>Hain i.Spessart</t>
  </si>
  <si>
    <t>Weil</t>
  </si>
  <si>
    <t>Viehhofen</t>
  </si>
  <si>
    <t>Engolling</t>
  </si>
  <si>
    <t>Kellberg</t>
  </si>
  <si>
    <t>Waldaschaffer Forst</t>
  </si>
  <si>
    <t>Reinhartshausen</t>
  </si>
  <si>
    <t>Heiligenstadt i.OFr.</t>
  </si>
  <si>
    <t>Langwied</t>
  </si>
  <si>
    <t>Maximilian</t>
  </si>
  <si>
    <t>Allach</t>
  </si>
  <si>
    <t>Premach</t>
  </si>
  <si>
    <t>Ebershausen</t>
  </si>
  <si>
    <t>Rohrbrunner Forst</t>
  </si>
  <si>
    <t>Greifenberg</t>
  </si>
  <si>
    <t>Krumbach (Schwaben)</t>
  </si>
  <si>
    <t>Ludwigsfeld</t>
  </si>
  <si>
    <t>Sparnecker Forst</t>
  </si>
  <si>
    <t>Obernried</t>
  </si>
  <si>
    <t>Rodecker Forst-West</t>
  </si>
  <si>
    <t>Kirchenpingarten</t>
  </si>
  <si>
    <t>Ruderting</t>
  </si>
  <si>
    <t>Babenhausen</t>
  </si>
  <si>
    <t>Prackenbach</t>
  </si>
  <si>
    <t>Hartenstein</t>
  </si>
  <si>
    <t>Schlackenreuth</t>
  </si>
  <si>
    <t>Luttenwang</t>
  </si>
  <si>
    <t>Herrsching a.Ammersee</t>
  </si>
  <si>
    <t>Eppishausen</t>
  </si>
  <si>
    <t>Altenstadt</t>
  </si>
  <si>
    <t>Watzling</t>
  </si>
  <si>
    <t>Egelhofen</t>
  </si>
  <si>
    <t>Bernstein a.Wald</t>
  </si>
  <si>
    <t>Pilgramsberg</t>
  </si>
  <si>
    <t>Wollmetshofen</t>
  </si>
  <si>
    <t>Unterroth</t>
  </si>
  <si>
    <t>Eresried</t>
  </si>
  <si>
    <t>Oberbach</t>
  </si>
  <si>
    <t>Eresing</t>
  </si>
  <si>
    <t>Rothenbuch</t>
  </si>
  <si>
    <t>Perlesreut</t>
  </si>
  <si>
    <t>Klostergars</t>
  </si>
  <si>
    <t>Oberwildflecken</t>
  </si>
  <si>
    <t>Nurn</t>
  </si>
  <si>
    <t>Birkenreuth</t>
  </si>
  <si>
    <t>Wiesthal</t>
  </si>
  <si>
    <t>Kettershausen</t>
  </si>
  <si>
    <t>Ebnath</t>
  </si>
  <si>
    <t>Plech</t>
  </si>
  <si>
    <t>Ulbering</t>
  </si>
  <si>
    <t>Entrischenbrunn</t>
  </si>
  <si>
    <t>Au a.Inn</t>
  </si>
  <si>
    <t>Prag</t>
  </si>
  <si>
    <t>Greimeltshofen</t>
  </si>
  <si>
    <t>Emmering</t>
  </si>
  <si>
    <t>Bebenhausen</t>
  </si>
  <si>
    <t>Posseck i.Bay.</t>
  </si>
  <si>
    <t>Boxbrunn i.Odenwald</t>
  </si>
  <si>
    <t>Hemsbach</t>
  </si>
  <si>
    <t>Hurlach</t>
  </si>
  <si>
    <t>Zoggendorf</t>
  </si>
  <si>
    <t>Waltenhausen</t>
  </si>
  <si>
    <t>Sophienthal</t>
  </si>
  <si>
    <t>Obergessertshausen</t>
  </si>
  <si>
    <t>Beuern</t>
  </si>
  <si>
    <t>Mohrenhausen</t>
  </si>
  <si>
    <t>Schwabhausen b.Landsberg</t>
  </si>
  <si>
    <t>Kirchhaslach</t>
  </si>
  <si>
    <t>Christertshofen</t>
  </si>
  <si>
    <t>Kaltenberg</t>
  </si>
  <si>
    <t>Olgishofen</t>
  </si>
  <si>
    <t>Hairenbuch</t>
  </si>
  <si>
    <t>Hohenraunau</t>
  </si>
  <si>
    <t>Zaisertshofen</t>
  </si>
  <si>
    <t>Tafertshofen</t>
  </si>
  <si>
    <t>Ringelai</t>
  </si>
  <si>
    <t>Siegersdorf</t>
  </si>
  <si>
    <t>Effelter</t>
  </si>
  <si>
    <t>Lengdorf</t>
  </si>
  <si>
    <t>Kleingesee</t>
  </si>
  <si>
    <t>Geretshausen</t>
  </si>
  <si>
    <t>Neukirchen a.d.Alz</t>
  </si>
  <si>
    <t>Grafenwald</t>
  </si>
  <si>
    <t>Hausen b.Geltendorf</t>
  </si>
  <si>
    <t>Seifertshofen</t>
  </si>
  <si>
    <t>Oberneufnach</t>
  </si>
  <si>
    <t>Langerringen</t>
  </si>
  <si>
    <t>Algersdorf</t>
  </si>
  <si>
    <t>Wilhelmsthal</t>
  </si>
  <si>
    <t>Habertsweiler</t>
  </si>
  <si>
    <t>Meierhof</t>
  </si>
  <si>
    <t>Aschheim</t>
  </si>
  <si>
    <t>Wald a.d.Alz</t>
  </si>
  <si>
    <t>Unterigling</t>
  </si>
  <si>
    <t>Untermenzing</t>
  </si>
  <si>
    <t>Kirchberg a.Inn</t>
  </si>
  <si>
    <t>Wartenfels</t>
  </si>
  <si>
    <t>Paunzhausen</t>
  </si>
  <si>
    <t>Weinried</t>
  </si>
  <si>
    <t>Wettzell</t>
  </si>
  <si>
    <t>Weiler b.Waltenhausen</t>
  </si>
  <si>
    <t>Landsberied</t>
  </si>
  <si>
    <t>Gumpersdorf</t>
  </si>
  <si>
    <t>Rathsmannsdorf</t>
  </si>
  <si>
    <t>Elsbeth</t>
  </si>
  <si>
    <t>Teuschnitz</t>
  </si>
  <si>
    <t>Hiltenfingen</t>
  </si>
  <si>
    <t>Geschwand</t>
  </si>
  <si>
    <t>Welitsch</t>
  </si>
  <si>
    <t>Wittibreut</t>
  </si>
  <si>
    <t>Schwarzenbach a.Wald</t>
  </si>
  <si>
    <t>Ettringen</t>
  </si>
  <si>
    <t>Sankt Wolfgang</t>
  </si>
  <si>
    <t>Nirsching</t>
  </si>
  <si>
    <t>Schiltern</t>
  </si>
  <si>
    <t>Randling</t>
  </si>
  <si>
    <t>Epfenhausen</t>
  </si>
  <si>
    <t>Mottener Forst-Nord</t>
  </si>
  <si>
    <t>Oberornau</t>
  </si>
  <si>
    <t>Wildenfels</t>
  </si>
  <si>
    <t>Eismerszell</t>
  </si>
  <si>
    <t>Zankenhausen</t>
  </si>
  <si>
    <t>Aicha vorm Wald</t>
  </si>
  <si>
    <t>Asten</t>
  </si>
  <si>
    <t>Obertrubach</t>
  </si>
  <si>
    <t>Brandholz</t>
  </si>
  <si>
    <t>Boos</t>
  </si>
  <si>
    <t>Kalteneggolsfeld</t>
  </si>
  <si>
    <t>Kaufering</t>
  </si>
  <si>
    <t>Lamerdingen</t>
  </si>
  <si>
    <t>Hiltpoltstein</t>
  </si>
  <si>
    <t>Gennach</t>
  </si>
  <si>
    <t>Iggensbach</t>
  </si>
  <si>
    <t>Geltendorf</t>
  </si>
  <si>
    <t>Oberbergen</t>
  </si>
  <si>
    <t>Taubenbach</t>
  </si>
  <si>
    <t>Hechendorf a.Pilsensee</t>
  </si>
  <si>
    <t>Schaching</t>
  </si>
  <si>
    <t>Inneberg</t>
  </si>
  <si>
    <t>Langenneufnach</t>
  </si>
  <si>
    <t>Eiting</t>
  </si>
  <si>
    <t>Zinzenzell</t>
  </si>
  <si>
    <t>Tussenhausen</t>
  </si>
  <si>
    <t>Kornbach</t>
  </si>
  <si>
    <t>Breitbrunn a.Ammersee</t>
  </si>
  <si>
    <t>Garham</t>
  </si>
  <si>
    <t>Reichertsheim</t>
  </si>
  <si>
    <t>Waidacher Forst</t>
  </si>
  <si>
    <t>Kleinkitzighofen</t>
  </si>
  <si>
    <t>Heimertingen</t>
  </si>
  <si>
    <t>Ritzisried</t>
  </si>
  <si>
    <t>Metzlersreuth</t>
  </si>
  <si>
    <t>Rodeck</t>
  </si>
  <si>
    <t>Puchheim</t>
  </si>
  <si>
    <t>Lengmoos</t>
  </si>
  <si>
    <t>Obermenzing</t>
  </si>
  <si>
    <t>Buch a.Ammersee</t>
  </si>
  <si>
    <t>Oberschondorf</t>
  </si>
  <si>
    <t>Anzing</t>
  </si>
  <si>
    <t>Rothenbucher Forst</t>
  </si>
  <si>
    <t>Reut</t>
  </si>
  <si>
    <t>Franken</t>
  </si>
  <si>
    <t>Metten</t>
  </si>
  <si>
    <t>Fischen a.Ammersee</t>
  </si>
  <si>
    <t>Aubing</t>
  </si>
  <si>
    <t>Poing</t>
  </si>
  <si>
    <t>Enzendorf</t>
  </si>
  <si>
    <t>Herretshofen</t>
  </si>
  <si>
    <t>Immelstetten</t>
  </si>
  <si>
    <t>Oberrieden</t>
  </si>
  <si>
    <t>Waldhausen</t>
  </si>
  <si>
    <t>Wildflecken</t>
  </si>
  <si>
    <t>Nassenbeuren</t>
  </si>
  <si>
    <t>Moosach</t>
  </si>
  <si>
    <t>Rappetenreuth</t>
  </si>
  <si>
    <t>Unterschondorf</t>
  </si>
  <si>
    <t>Meiling</t>
  </si>
  <si>
    <t>Niederperlesreut</t>
  </si>
  <si>
    <t>Holzhausen b.Buchloe</t>
  </si>
  <si>
    <t>Rengersbrunn</t>
  </si>
  <si>
    <t>Dettenhofen</t>
  </si>
  <si>
    <t>Unterrammingen</t>
  </si>
  <si>
    <t>Herrnwald</t>
  </si>
  <si>
    <t>Moorenweis</t>
  </si>
  <si>
    <t>Lenau</t>
  </si>
  <si>
    <t>Wallsdorf</t>
  </si>
  <si>
    <t>Frammersbacher Forst</t>
  </si>
  <si>
    <t>Haidling</t>
  </si>
  <si>
    <t>Ottenberg</t>
  </si>
  <si>
    <t>Ramsach</t>
  </si>
  <si>
    <t>Neukirchen vorm Wald</t>
  </si>
  <si>
    <t>Marktlberg</t>
  </si>
  <si>
    <t>Rechtenbach</t>
  </si>
  <si>
    <t>Markt Wald</t>
  </si>
  <si>
    <t>Mattsies</t>
  </si>
  <si>
    <t>Unterwindach</t>
  </si>
  <si>
    <t>Reinhartsmais</t>
  </si>
  <si>
    <t>Wickendorf</t>
  </si>
  <si>
    <t>Schnebes</t>
  </si>
  <si>
    <t>Kirchberg i.Wald</t>
  </si>
  <si>
    <t>Schwabing</t>
  </si>
  <si>
    <t>Escherlich</t>
  </si>
  <si>
    <t>Forst Schwarzenbach a.Wald</t>
  </si>
  <si>
    <t>Oberigling</t>
  </si>
  <si>
    <t>Buchberg</t>
  </si>
  <si>
    <t>Siebnach</t>
  </si>
  <si>
    <t>Eggstetten</t>
  </si>
  <si>
    <t>Grimoldsried</t>
  </si>
  <si>
    <t>Mittelneufnach</t>
  </si>
  <si>
    <t>Lauenhain</t>
  </si>
  <si>
    <t>Gerlaser Forst</t>
  </si>
  <si>
    <t>Bondorf</t>
  </si>
  <si>
    <t>Oberzeitlarn</t>
  </si>
  <si>
    <t>Edenhausen</t>
  </si>
  <si>
    <t>Leubach</t>
  </si>
  <si>
    <t>Kreuzanger</t>
  </si>
  <si>
    <t>Titlmoos</t>
  </si>
  <si>
    <t>Kasberg</t>
  </si>
  <si>
    <t>Wiesenfelden</t>
  </si>
  <si>
    <t>Tschirn</t>
  </si>
  <si>
    <t>Allmannsau</t>
  </si>
  <si>
    <t>Zeiling</t>
  </si>
  <si>
    <t>Dillishausen</t>
  </si>
  <si>
    <t>Nymphenburg</t>
  </si>
  <si>
    <t>Steinbach a.Wald</t>
  </si>
  <si>
    <t>Dachberg</t>
  </si>
  <si>
    <t>Milbertshofen</t>
  </si>
  <si>
    <t>Westernach</t>
  </si>
  <si>
    <t>Tann</t>
  </si>
  <si>
    <t>Jesenwang</t>
  </si>
  <si>
    <t>Oberrammingen</t>
  </si>
  <si>
    <t>Betzenstein</t>
  </si>
  <si>
    <t>Buch a.Buchrain</t>
  </si>
  <si>
    <t>Oberroggenburger Wald</t>
  </si>
  <si>
    <t>Hormersdorf</t>
  </si>
  <si>
    <t>Amendingen</t>
  </si>
  <si>
    <t>Jahrdorf</t>
  </si>
  <si>
    <t>Perasdorf</t>
  </si>
  <si>
    <t>Abtschlag</t>
  </si>
  <si>
    <t>Forst Hain i.Spessart</t>
  </si>
  <si>
    <t>Pasing</t>
  </si>
  <si>
    <t>Winsing</t>
  </si>
  <si>
    <t>Traunried</t>
  </si>
  <si>
    <t>Egger Wald</t>
  </si>
  <si>
    <t>Scherstetten</t>
  </si>
  <si>
    <t>Bedernau</t>
  </si>
  <si>
    <t>Maisenberg</t>
  </si>
  <si>
    <t>Daglfing</t>
  </si>
  <si>
    <t>Geiersthal</t>
  </si>
  <si>
    <t>Konradshofen</t>
  </si>
  <si>
    <t>Rechtmehring</t>
  </si>
  <si>
    <t>Lauben</t>
  </si>
  <si>
    <t>Geuser</t>
  </si>
  <si>
    <t>Schildthurn</t>
  </si>
  <si>
    <t>Oberwindach</t>
  </si>
  <si>
    <t>Anzinger Forst</t>
  </si>
  <si>
    <t>Ginolfs</t>
  </si>
  <si>
    <t>Kumreut</t>
  </si>
  <si>
    <t>Deggenau</t>
  </si>
  <si>
    <t>Presseck</t>
  </si>
  <si>
    <t>Taiding</t>
  </si>
  <si>
    <t>Heimstetten</t>
  </si>
  <si>
    <t>Dietershofen b.Babenhausen</t>
  </si>
  <si>
    <t>Oberelsbach</t>
  </si>
  <si>
    <t>Vordorf</t>
  </si>
  <si>
    <t>Germering</t>
  </si>
  <si>
    <t>Reichau</t>
  </si>
  <si>
    <t>Kleintettau</t>
  </si>
  <si>
    <t>Laim</t>
  </si>
  <si>
    <t>Eggenried</t>
  </si>
  <si>
    <t>Bogenhausen</t>
  </si>
  <si>
    <t>Habichsthal</t>
  </si>
  <si>
    <t>Penzing</t>
  </si>
  <si>
    <t>Windpassing</t>
  </si>
  <si>
    <t>Hechenwang</t>
  </si>
  <si>
    <t>Langenau</t>
  </si>
  <si>
    <t>Nagel</t>
  </si>
  <si>
    <t>Alling</t>
  </si>
  <si>
    <t>Niederrieden</t>
  </si>
  <si>
    <t>Reinhartshofen</t>
  </si>
  <si>
    <t>Leienfels</t>
  </si>
  <si>
    <t>Forstern</t>
  </si>
  <si>
    <t>Marienroth</t>
  </si>
  <si>
    <t>Spies</t>
  </si>
  <si>
    <t>Obernzell</t>
  </si>
  <si>
    <t>Treuf</t>
  </si>
  <si>
    <t>Siegertshofen</t>
  </si>
  <si>
    <t>Babensham</t>
  </si>
  <si>
    <t>Altenfeld</t>
  </si>
  <si>
    <t>Atzlern</t>
  </si>
  <si>
    <t>Honsolgen</t>
  </si>
  <si>
    <t>Kolmstein</t>
  </si>
  <si>
    <t>Eging a.See</t>
  </si>
  <si>
    <t>Hauzenberg</t>
  </si>
  <si>
    <t>Kirchweidach</t>
  </si>
  <si>
    <t>Unering</t>
  </si>
  <si>
    <t>Landasberg</t>
  </si>
  <si>
    <t>Arlesried</t>
  </si>
  <si>
    <t>Inning a.Ammersee</t>
  </si>
  <si>
    <t>Pressig</t>
  </si>
  <si>
    <t>Ederlsdorf</t>
  </si>
  <si>
    <t>Neuwildflecken</t>
  </si>
  <si>
    <t>Utzmannsbach</t>
  </si>
  <si>
    <t>Unterkammlach</t>
  </si>
  <si>
    <t>Seebach</t>
  </si>
  <si>
    <t>Schwabegg</t>
  </si>
  <si>
    <t>Voitsumra</t>
  </si>
  <si>
    <t>Klimmach</t>
  </si>
  <si>
    <t>Buchloe</t>
  </si>
  <si>
    <t>Entraching</t>
  </si>
  <si>
    <t>Traidersdorf</t>
  </si>
  <si>
    <t>Trudering</t>
  </si>
  <si>
    <t>Wotzdorf</t>
  </si>
  <si>
    <t>Kottgeisering</t>
  </si>
  <si>
    <t>Schlag</t>
  </si>
  <si>
    <t>Sailaufer Forst</t>
  </si>
  <si>
    <t>Stierberg</t>
  </si>
  <si>
    <t>Lappach</t>
  </si>
  <si>
    <t>Tittmoning</t>
  </si>
  <si>
    <t>Schleefeld</t>
  </si>
  <si>
    <t>Erkheim</t>
  </si>
  <si>
    <t>Haag i.OB</t>
  </si>
  <si>
    <t>Freyung</t>
  </si>
  <si>
    <t>Buxach</t>
  </si>
  <si>
    <t>Kronberg</t>
  </si>
  <si>
    <t>Leupoldstein</t>
  </si>
  <si>
    <t>Wiedergeltingen</t>
  </si>
  <si>
    <t>Oberauerbach</t>
  </si>
  <si>
    <t>Westerheim</t>
  </si>
  <si>
    <t>Weisbach</t>
  </si>
  <si>
    <t>Geraszell</t>
  </si>
  <si>
    <t>Loibersdorf</t>
  </si>
  <si>
    <t>Brauersdorf</t>
  </si>
  <si>
    <t>Berg am Laim</t>
  </si>
  <si>
    <t>Erpfting</t>
  </si>
  <si>
    <t>Dornstetten</t>
  </si>
  <si>
    <t>Schiefweg</t>
  </si>
  <si>
    <t>Mindelheim</t>
  </si>
  <si>
    <t>Oberkammlach</t>
  </si>
  <si>
    <t>Unterpfaffenhofen</t>
  </si>
  <si>
    <t>Seestall</t>
  </si>
  <si>
    <t>Pietling</t>
  </si>
  <si>
    <t>Waldenreut</t>
  </si>
  <si>
    <t>Gilching</t>
  </si>
  <si>
    <t>Gernstall</t>
  </si>
  <si>
    <t>Hartmannsreit</t>
  </si>
  <si>
    <t>Tettau</t>
  </si>
  <si>
    <t>Feichten a.d.Alz</t>
  </si>
  <si>
    <t>Haurain</t>
  </si>
  <si>
    <t>Heimenegg</t>
  </si>
  <si>
    <t>Reichertsried</t>
  </si>
  <si>
    <t>Oberfinning</t>
  </si>
  <si>
    <t>Buchsee</t>
  </si>
  <si>
    <t>Schwifting</t>
  </si>
  <si>
    <t>Dettenschwang</t>
  </si>
  <si>
    <t>Etterschlag</t>
  </si>
  <si>
    <t>Widdersberg</t>
  </si>
  <si>
    <t>Oberpfaffenhofen</t>
  </si>
  <si>
    <t>Schwaighausen</t>
  </si>
  <si>
    <t>Sankt Georgen</t>
  </si>
  <si>
    <t>Mickhausen</t>
  </si>
  <si>
    <t>Isen</t>
  </si>
  <si>
    <t>Unterfinning</t>
  </si>
  <si>
    <t>Soyen</t>
  </si>
  <si>
    <t>Raisting</t>
  </si>
  <si>
    <t>Weinhausen</t>
  </si>
  <si>
    <t>Kirchaitnach</t>
  </si>
  <si>
    <t>Ungerhausen</t>
  </si>
  <si>
    <t>Karlsbach</t>
  </si>
  <si>
    <t>Parsdorf</t>
  </si>
  <si>
    <t>Obermitterdorf</t>
  </si>
  <si>
    <t>Lindenberg</t>
  </si>
  <si>
    <t>Weicht</t>
  </si>
  <si>
    <t>Westach</t>
  </si>
  <si>
    <t>Kling</t>
  </si>
  <si>
    <t>Trunkelsberg</t>
  </si>
  <si>
    <t>Ketterschwang</t>
  </si>
  <si>
    <t>Ellighofen</t>
  </si>
  <si>
    <t>Argelsried</t>
  </si>
  <si>
    <t>Schlegelsberg</t>
  </si>
  <si>
    <t>Friedersdorf</t>
  </si>
  <si>
    <t>Memmingerberg</t>
  </si>
  <si>
    <t>Oberneumais</t>
  </si>
  <si>
    <t>Schlingen</t>
  </si>
  <si>
    <t>Mehlmeisel</t>
  </si>
  <si>
    <t>Haus i.Wald</t>
  </si>
  <si>
    <t>Mitternach</t>
  </si>
  <si>
    <t>Schaibing</t>
  </si>
  <si>
    <t>Rinchnach</t>
  </si>
  <si>
    <t>Gottsdorf</t>
  </si>
  <si>
    <t>Springlbach</t>
  </si>
  <si>
    <t>Eberhardsreuth</t>
  </si>
  <si>
    <t>Wildenroth</t>
  </si>
  <si>
    <t>Wiesener Forst</t>
  </si>
  <si>
    <t>Utzenbichl</t>
  </si>
  <si>
    <t>Rothenkirchen</t>
  </si>
  <si>
    <t>Hunding</t>
  </si>
  <si>
    <t>Gatterberg</t>
  </si>
  <si>
    <t>Jengen</t>
  </si>
  <si>
    <t>Kehlbach</t>
  </si>
  <si>
    <t>Teisnach</t>
  </si>
  <si>
    <t>Perlach</t>
  </si>
  <si>
    <t>Reisch</t>
  </si>
  <si>
    <t>Eurishofen</t>
  </si>
  <si>
    <t>Hochstadt</t>
  </si>
  <si>
    <t>Benningen</t>
  </si>
  <si>
    <t>Eisenburg</t>
  </si>
  <si>
    <t>Albaching</t>
  </si>
  <si>
    <t>Gutenberg</t>
  </si>
  <si>
    <t>Ebersberger Forst</t>
  </si>
  <si>
    <t>Sollacher Forst</t>
  </si>
  <si>
    <t>Ungerhauser Wald</t>
  </si>
  <si>
    <t>Apfeltrach</t>
  </si>
  <si>
    <t>Krailling</t>
  </si>
  <si>
    <t>Pfaffing</t>
  </si>
  <si>
    <t>Attel</t>
  </si>
  <si>
    <t>Ramerberg</t>
  </si>
  <si>
    <t>Thaining</t>
  </si>
  <si>
    <t>Kay</t>
  </si>
  <si>
    <t>Emertsham</t>
  </si>
  <si>
    <t>Stadl</t>
  </si>
  <si>
    <t>Heinrichsthaler Forst</t>
  </si>
  <si>
    <t>Nettelkofen</t>
  </si>
  <si>
    <t>Heinrichsthal</t>
  </si>
  <si>
    <t>Albertsried</t>
  </si>
  <si>
    <t>Pflugdorf</t>
  </si>
  <si>
    <t>Ummenhofen</t>
  </si>
  <si>
    <t>Tyrlaching</t>
  </si>
  <si>
    <t>Grattersdorf</t>
  </si>
  <si>
    <t>Jakobsthal</t>
  </si>
  <si>
    <t>Tacherting</t>
  </si>
  <si>
    <t>Ferthofen</t>
  </si>
  <si>
    <t>Beckstetten</t>
  </si>
  <si>
    <t>Frankenheim</t>
  </si>
  <si>
    <t>Ansdorf</t>
  </si>
  <si>
    <t>Unterbiberg</t>
  </si>
  <si>
    <t>Putzbrunn</t>
  </si>
  <si>
    <t>Planegg</t>
  </si>
  <si>
    <t>Hohenlinden</t>
  </si>
  <si>
    <t>Oexing</t>
  </si>
  <si>
    <t>Thurmansbang</t>
  </si>
  <si>
    <t>Edling</t>
  </si>
  <si>
    <t>Stoffen</t>
  </si>
  <si>
    <t>Thalkirchen</t>
  </si>
  <si>
    <t>Mindelau</t>
  </si>
  <si>
    <t>Unterostendorf</t>
  </si>
  <si>
    <t>Tittling</t>
  </si>
  <si>
    <t>Kolbing</t>
  </si>
  <si>
    <t>Innernzell</t>
  </si>
  <si>
    <t>Kollnburg</t>
  </si>
  <si>
    <t>Frohnloh</t>
  </si>
  <si>
    <t>Hagenheim</t>
  </si>
  <si>
    <t>Patersdorf</t>
  </si>
  <si>
    <t>Emmenhausen</t>
  </si>
  <si>
    <t>Ingenried</t>
  </si>
  <si>
    <t>Ort</t>
  </si>
  <si>
    <t>Nendlnach</t>
  </si>
  <si>
    <t>Egg</t>
  </si>
  <si>
    <t>Ratzing</t>
  </si>
  <si>
    <t>Volkratshofen</t>
  </si>
  <si>
    <t>Pyramoos</t>
  </si>
  <si>
    <t>Pforzen</t>
  </si>
  <si>
    <t>Kirchensur</t>
  </si>
  <si>
    <t>Evenhausen</t>
  </si>
  <si>
    <t>Wasserburg a.Inn</t>
  </si>
  <si>
    <t>Bachmehring</t>
  </si>
  <si>
    <t>Ranfels</t>
  </si>
  <si>
    <t>Forstenried</t>
  </si>
  <si>
    <t>Altensteig</t>
  </si>
  <si>
    <t>Waalhaupten</t>
  </si>
  <si>
    <t>Issing</t>
  </si>
  <si>
    <t>Elkofen</t>
  </si>
  <si>
    <t>Eglhartinger Forst</t>
  </si>
  <si>
    <t>Kirchdorf i.Wald</t>
  </si>
  <si>
    <t>Helchenried</t>
  </si>
  <si>
    <t>Fridolfing</t>
  </si>
  <si>
    <t>Innach</t>
  </si>
  <si>
    <t>Wasching</t>
  </si>
  <si>
    <t>Hohenau</t>
  </si>
  <si>
    <t>Gsenget</t>
  </si>
  <si>
    <t>Kreuzberg</t>
  </si>
  <si>
    <t>Dorschhausen</t>
  </si>
  <si>
    <t>Hawangen</t>
  </si>
  <si>
    <t>Oberehesberg</t>
  </si>
  <si>
    <t>Erisried</t>
  </si>
  <si>
    <t>Grafenau</t>
  </si>
  <si>
    <t>Unterhaching</t>
  </si>
  <si>
    <t>Urlading</t>
  </si>
  <si>
    <t>Farrach</t>
  </si>
  <si>
    <t>Baiern</t>
  </si>
  <si>
    <t>Gauting</t>
  </si>
  <si>
    <t>Schnaitsee</t>
  </si>
  <si>
    <t>Breitenberg</t>
  </si>
  <si>
    <t>Heinrichsreit</t>
  </si>
  <si>
    <t>Neuried</t>
  </si>
  <si>
    <t>Mundraching</t>
  </si>
  <si>
    <t>Unteralting</t>
  </si>
  <si>
    <t>Waldkirchen</t>
  </si>
  <si>
    <t>Perlacher Forst</t>
  </si>
  <si>
    <t>Erling-Andechs</t>
  </si>
  <si>
    <t>Untergermaringen</t>
  </si>
  <si>
    <t>Ummendorf</t>
  </si>
  <si>
    <t>Oberostendorf</t>
  </si>
  <si>
    <t>Grasbrunn</t>
  </si>
  <si>
    <t>Saldenburg</t>
  </si>
  <si>
    <t>Rott a.Inn</t>
  </si>
  <si>
    <t>Asch</t>
  </si>
  <si>
    <t>Hohenthann</t>
  </si>
  <si>
    <t>Schonstett</t>
  </si>
  <si>
    <t>Eppenschlag</t>
  </si>
  <si>
    <t>Frieding</t>
  </si>
  <si>
    <t>Heindlschlag</t>
  </si>
  <si>
    <t>Dirlewang</t>
  </si>
  <si>
    <t>Germannsdorf</t>
  </si>
  <si>
    <t>Sankt Christoph</t>
  </si>
  <si>
    <t>Freiham</t>
  </si>
  <si>
    <t>Jandelsbrunn</t>
  </si>
  <si>
    <t>Hohenbrunn</t>
  </si>
  <si>
    <t>Dickenreishausen</t>
  </si>
  <si>
    <t>Frechenrieden</t>
  </si>
  <si>
    <t>Zwiesel</t>
  </si>
  <si>
    <t>Beyharting</t>
  </si>
  <si>
    <t>Kronau</t>
  </si>
  <si>
    <t>Mittbach</t>
  </si>
  <si>
    <t>Trostberg</t>
  </si>
  <si>
    <t>Nabin</t>
  </si>
  <si>
    <t>Saulengrain</t>
  </si>
  <si>
    <t>Tuntenhausen</t>
  </si>
  <si>
    <t>Zillham</t>
  </si>
  <si>
    <t>Hinterschmiding</t>
  </si>
  <si>
    <t>Solln</t>
  </si>
  <si>
    <t>Wolfstein</t>
  </si>
  <si>
    <t>Mussenhausen</t>
  </si>
  <si>
    <t>Frauenneuharting</t>
  </si>
  <si>
    <t>Lalling</t>
  </si>
  <si>
    <t>Vogtareuth</t>
  </si>
  <si>
    <t>Loitersdorf</t>
  </si>
  <si>
    <t>Gegenbach</t>
  </si>
  <si>
    <t>Holzham</t>
  </si>
  <si>
    <t>Tengling</t>
  </si>
  <si>
    <t>Kardorf</t>
  </si>
  <si>
    <t>Lauchdorf</t>
  </si>
  <si>
    <t>Gottenau</t>
  </si>
  <si>
    <t>Siegertsbrunn</t>
  </si>
  <si>
    <t>Lampferding</t>
  </si>
  <si>
    <t>Ludenhausen</t>
  </si>
  <si>
    <t>Rechertsried</t>
  </si>
  <si>
    <t>Thonbach</t>
  </si>
  <si>
    <t>Oderding</t>
  </si>
  <si>
    <t>Allhartsmais</t>
  </si>
  <si>
    <t>Oberneureuth</t>
  </si>
  <si>
    <t>Rotter Forst-Nord</t>
  </si>
  <si>
    <t>Rosenau</t>
  </si>
  <si>
    <t>Ruhmannsfelden</t>
  </si>
  <si>
    <t>Wielenbach</t>
  </si>
  <si>
    <t>Arnbruck</t>
  </si>
  <si>
    <t>Waginger See</t>
  </si>
  <si>
    <t>Oberkreuzberg</t>
  </si>
  <si>
    <t>Lachen</t>
  </si>
  <si>
    <t>Tettenhausen</t>
  </si>
  <si>
    <t>Schnaupping</t>
  </si>
  <si>
    <t>Willing</t>
  </si>
  <si>
    <t>Ottobeuren</t>
  </si>
  <si>
    <t>Sophienthaler Forst</t>
  </si>
  <si>
    <t>Oberfrauenwald</t>
  </si>
  <si>
    <t>Hadorf</t>
  </si>
  <si>
    <t>Leeder</t>
  </si>
  <si>
    <t>Kirchseeon</t>
  </si>
  <si>
    <t>Zenting</t>
  </si>
  <si>
    <t>Mietraching</t>
  </si>
  <si>
    <t>Woringen</t>
  </si>
  <si>
    <t>Weilheim i.OB</t>
  </si>
  <si>
    <t>Wildenranna</t>
  </si>
  <si>
    <t>Elisabethszell</t>
  </si>
  <si>
    <t>Vordorfer Forst</t>
  </si>
  <si>
    <t>Hintereben</t>
  </si>
  <si>
    <t>Wiedmais</t>
  </si>
  <si>
    <t>Unterratting</t>
  </si>
  <si>
    <t>Sonnen</t>
  </si>
  <si>
    <t>Maitenbeth</t>
  </si>
  <si>
    <t>Baisweil</t>
  </si>
  <si>
    <t>Rehberg</t>
  </si>
  <si>
    <t>Bad Aibling</t>
  </si>
  <si>
    <t>Madau</t>
  </si>
  <si>
    <t>Epfach</t>
  </si>
  <si>
    <t>Freutsmoos</t>
  </si>
  <si>
    <t>Pullach i.Isartal</t>
  </si>
  <si>
    <t>Marienberg</t>
  </si>
  <si>
    <t>Kolbermoor</t>
  </si>
  <si>
    <t>Lampoding</t>
  </si>
  <si>
    <t>Oberfeldkirchen</t>
  </si>
  <si>
    <t>Kienberg</t>
  </si>
  <si>
    <t>Eidenberg</t>
  </si>
  <si>
    <t>Gollnerberg</t>
  </si>
  <si>
    <t>Fichtelberg</t>
  </si>
  <si>
    <t>Aschering</t>
  </si>
  <si>
    <t>Wessobrunn</t>
  </si>
  <si>
    <t>Brunnthal</t>
  </si>
  <si>
    <t>Blonhofen</t>
  </si>
  <si>
    <t>Obergermaringen</t>
  </si>
  <si>
    <t>Guggenberg</t>
  </si>
  <si>
    <t>March</t>
  </si>
  <si>
    <t>Rott</t>
  </si>
  <si>
    <t>Langdorf</t>
  </si>
  <si>
    <t>Zorneding</t>
  </si>
  <si>
    <t>Solla</t>
  </si>
  <si>
    <t>Liebersberg</t>
  </si>
  <si>
    <t>Egmating</t>
  </si>
  <si>
    <t>Waging a.See</t>
  </si>
  <si>
    <t>Warmensteinach</t>
  </si>
  <si>
    <t>Eutenhausen</t>
  </si>
  <si>
    <t>Denklingen</t>
  </si>
  <si>
    <t>Reichling</t>
  </si>
  <si>
    <t>Tattenhausen</t>
  </si>
  <si>
    <t>Kinsau</t>
  </si>
  <si>
    <t>Hilgenreith</t>
  </si>
  <si>
    <t>Ellmosen</t>
  </si>
  <si>
    <t>Forstenrieder Park</t>
  </si>
  <si>
    <t>Amerang</t>
  </si>
  <si>
    <t>Goldkronacher Forst</t>
  </si>
  <si>
    <t>Oberhaching</t>
  </si>
  <si>
    <t>Taching a.See</t>
  </si>
  <si>
    <t>Perchting</t>
  </si>
  <si>
    <t>Markt Rettenbach</t>
  </si>
  <si>
    <t>Dietratried</t>
  </si>
  <si>
    <t>Hanfeld</t>
  </si>
  <si>
    <t>Halfing</t>
  </si>
  <si>
    <t>Riggerding</t>
  </si>
  <si>
    <t>Maising</t>
  </si>
  <si>
    <t>Birkland</t>
  </si>
  <si>
    <t>Zachenberg</t>
  </si>
  <si>
    <t>Triebenbach</t>
  </si>
  <si>
    <t>Kronburg</t>
  </si>
  <si>
    <t>Oberwarmensteinach</t>
  </si>
  <si>
    <t>Westerndorf St.Peter</t>
  </si>
  <si>
    <t>Oberpframmern</t>
  </si>
  <si>
    <t>Landstetten</t>
  </si>
  <si>
    <t>Apfeldorf</t>
  </si>
  <si>
    <t>Feldafing</t>
  </si>
  <si>
    <t>Au b.Bad Aibling</t>
  </si>
  <si>
    <t>Laufen</t>
  </si>
  <si>
    <t>Warmisried</t>
  </si>
  <si>
    <t>Warmensteinacher Forst-Nord</t>
  </si>
  <si>
    <t>Aufkirch</t>
  </si>
  <si>
    <t>Unteregg</t>
  </si>
  <si>
    <t>Kingholz</t>
  </si>
  <si>
    <t>Starnberger See</t>
  </si>
  <si>
    <t>Leutstetten</t>
  </si>
  <si>
    <t>Lannenberg</t>
  </si>
  <si>
    <t>Pang</t>
  </si>
  <si>
    <t>Schongau</t>
  </si>
  <si>
    <t>Baierbrunn</t>
  </si>
  <si>
    <t>Haitzen</t>
  </si>
  <si>
    <t>Machtlfing</t>
  </si>
  <si>
    <t>Irsee</t>
  </si>
  <si>
    <t>Haunshofen</t>
  </si>
  <si>
    <t>Hohenfurch</t>
  </si>
  <si>
    <t>Mauth</t>
  </si>
  <si>
    <t>Tutzing</t>
  </si>
  <si>
    <t>Kleinholzhausen</t>
  </si>
  <si>
    <t>Albertaich</t>
  </si>
  <si>
    <t>Lautrach</t>
  </si>
  <si>
    <t>Hirschzell</t>
  </si>
  <si>
    <t>Traubing</t>
  </si>
  <si>
    <t>Palling</t>
  </si>
  <si>
    <t>Gaden</t>
  </si>
  <si>
    <t>Bernried am Starnberger See</t>
  </si>
  <si>
    <t>Maria Steinbach</t>
  </si>
  <si>
    <t>Betzisried</t>
  </si>
  <si>
    <t>Percha</t>
  </si>
  <si>
    <t>Wegscheid</t>
  </si>
  <si>
    <t>Leobendorf</t>
  </si>
  <si>
    <t>Oberaign</t>
  </si>
  <si>
    <t>Thalhofen a.d.Gennach</t>
  </si>
  <si>
    <t>Hofolding</t>
  </si>
  <si>
    <t>Schwabbruck</t>
  </si>
  <si>
    <t>Nonnenhorn</t>
  </si>
  <si>
    <t>Sauerlach</t>
  </si>
  <si>
    <t>Rabenden</t>
  </si>
  <si>
    <t>Kempfenhausen</t>
  </si>
  <si>
    <t>Dienhausen</t>
  </si>
  <si>
    <t>Klautzenbach</t>
  </si>
  <si>
    <t>Altenmarkt a.d.Alz</t>
  </si>
  <si>
    <t>Herzogsreut</t>
  </si>
  <si>
    <t>Stein a.d.Traun</t>
  </si>
  <si>
    <t>Lam</t>
  </si>
  <si>
    <t>Osterzell</t>
  </si>
  <si>
    <t>Niederdorf</t>
  </si>
  <si>
    <t>Vagen</t>
  </si>
  <si>
    <t>Schwabniederhofen</t>
  </si>
  <si>
    <t>Peiting</t>
  </si>
  <si>
    <t>Mauerstetten</t>
  </si>
  <si>
    <t>Neubauer Forst-Nord</t>
  </si>
  <si>
    <t>ObereggMN</t>
  </si>
  <si>
    <t>Vorderfreundorf</t>
  </si>
  <si>
    <t>Wolfertschwenden</t>
  </si>
  <si>
    <t>Frankenried</t>
  </si>
  <si>
    <t>Thalberg</t>
  </si>
  <si>
    <t>Klingenbrunn</t>
  </si>
  <si>
    <t>Obing</t>
  </si>
  <si>
    <t>Drachselsried</t>
  </si>
  <si>
    <t>Thurnreuth</t>
  </si>
  <si>
    <t>Rittsteig</t>
  </si>
  <si>
    <t>Altreichenau</t>
  </si>
  <si>
    <t>Aising</t>
  </si>
  <si>
    <t>Ebenhofen</t>
  </si>
  <si>
    <t>Engetried</t>
  </si>
  <si>
    <t>Kleinkemnat</t>
  </si>
  <si>
    <t>Edenstetten</t>
  </si>
  <si>
    <t>Helfendorf</t>
  </si>
  <si>
    <t>Oberbeuren</t>
  </si>
  <si>
    <t>Brandten</t>
  </si>
  <si>
    <t>Frauenau</t>
  </si>
  <si>
    <t>Happing</t>
  </si>
  <si>
    <t>Oberbiberg</t>
  </si>
  <si>
    <t>Burggen</t>
  </si>
  <si>
    <t>Schwabsoien</t>
  </si>
  <si>
    <t>Eggenthal</t>
  </si>
  <si>
    <t>Schaufling</t>
  </si>
  <si>
    <t>Pittenhart</t>
  </si>
  <si>
    <t>Rieder</t>
  </si>
  <si>
    <t>Bischofsmais</t>
  </si>
  <si>
    <t>Bernbeuren</t>
  </si>
  <si>
    <t>Sankt Oswald</t>
  </si>
  <si>
    <t>Bidingen</t>
  </si>
  <si>
    <t>Wolfratshausen</t>
  </si>
  <si>
    <t>Bad Feilnbach</t>
  </si>
  <si>
    <t>Bernbach</t>
  </si>
  <si>
    <t>Deutenhausen</t>
  </si>
  <si>
    <t>Wineden</t>
  </si>
  <si>
    <t>Traunreut</t>
  </si>
  <si>
    <t>Seeon</t>
  </si>
  <si>
    <t>Annathal</t>
  </si>
  <si>
    <t>Bertoldshofen</t>
  </si>
  <si>
    <t>Remnatsried</t>
  </si>
  <si>
    <t>Petting</t>
  </si>
  <si>
    <t>Pierling</t>
  </si>
  <si>
    <t>Reischenhart</t>
  </si>
  <si>
    <t>Legau</t>
  </si>
  <si>
    <t>Prutting</t>
  </si>
  <si>
    <t>Surheim</t>
  </si>
  <si>
    <t>Apfeltrang</t>
  </si>
  <si>
    <t>Sulzschneid</t>
  </si>
  <si>
    <t>Auerberg</t>
  </si>
  <si>
    <t>Saaldorf</t>
  </si>
  <si>
    <t>Philippsreut</t>
  </si>
  <si>
    <t>Ergertshausen</t>
  </si>
  <si>
    <t>Dingharting</t>
  </si>
  <si>
    <t>Ollarzried</t>
  </si>
  <si>
    <t>Truchtlaching</t>
  </si>
  <si>
    <t>Hege</t>
  </si>
  <si>
    <t>Sachsenried</t>
  </si>
  <si>
    <t>Neubeuern</t>
  </si>
  <si>
    <t>Magnetsried</t>
  </si>
  <si>
    <t>Raubling</t>
  </si>
  <si>
    <t>Hirnsberg</t>
  </si>
  <si>
    <t>Wasserburg (Bodensee)</t>
  </si>
  <si>
    <t>Traunwalchen</t>
  </si>
  <si>
    <t>Neureichenau</t>
  </si>
  <si>
    <t>Grainet</t>
  </si>
  <si>
    <t>Friesenried</t>
  </si>
  <si>
    <t>Tannenberg</t>
  </si>
  <si>
    <t>Arget</t>
  </si>
  <si>
    <t>Echerschwang</t>
  </si>
  <si>
    <t>Wiechs</t>
  </si>
  <si>
    <t>Bad Endorf</t>
  </si>
  <si>
    <t>Egling</t>
  </si>
  <si>
    <t>Lohberg</t>
  </si>
  <si>
    <t>Holzerwald</t>
  </si>
  <si>
    <t>Huglfing</t>
  </si>
  <si>
    <t>Icking</t>
  </si>
  <si>
    <t>Stephanskirchen</t>
  </si>
  <si>
    <t>Sankt Englmar</t>
  </si>
  <si>
    <t>Ruderatshofen</t>
  </si>
  <si>
    <t>Holzhausen a.Starnberger See</t>
  </si>
  <si>
    <t>Wenglingen</t>
  </si>
  <si>
    <t>Bischofsreut</t>
  </si>
  <si>
    <t>Wolfratshauser Forst</t>
  </si>
  <si>
    <t>Seebruck</t>
  </si>
  <si>
    <t>Marktoberdorf</t>
  </si>
  <si>
    <t>Matzing</t>
  </si>
  <si>
    <t>Ronsberg</t>
  </si>
  <si>
    <t>Hemhof</t>
  </si>
  <si>
    <t>Ainring</t>
  </si>
  <si>
    <t>Rabenstein</t>
  </si>
  <si>
    <t>Thalhofen a.d.Wertach</t>
  </si>
  <si>
    <t>Lechbruck am See</t>
  </si>
  <si>
    <t>Mauerkirchen i.Chiemgau</t>
  </si>
  <si>
    <t>Bergern</t>
  </si>
  <si>
    <t>Mauther Forst</t>
  </si>
  <si>
    <t>Eberfing</t>
  </si>
  <si>
    <t>Rettenbach a.Auerberg</t>
  </si>
  <si>
    <t>Ringham</t>
  </si>
  <si>
    <t>Freilassing</t>
  </si>
  <si>
    <t>Irschenberg</t>
  </si>
  <si>
    <t>Weildorf</t>
  </si>
  <si>
    <t>Nirnharting</t>
  </si>
  <si>
    <t>Schrattenbach</t>
  </si>
  <si>
    <t>Dietmannsried</t>
  </si>
  <si>
    <t>Reicholzried</t>
  </si>
  <si>
    <t>Geretsried</t>
  </si>
  <si>
    <t>Urspring</t>
  </si>
  <si>
    <t>Ascholding</t>
  </si>
  <si>
    <t>Litzldorf</t>
  </si>
  <si>
    <t>Herrnhausen</t>
  </si>
  <si>
    <t>Holzolling</t>
  </si>
  <si>
    <t>Ising</t>
  </si>
  <si>
    <t>Thanning</t>
  </si>
  <si>
    <t>Zwieslerwaldhaus</t>
  </si>
  <si>
    <t>Otterfing</t>
  </si>
  <si>
    <t>Krugzell</t>
  </si>
  <si>
    <t>Bodolz</t>
  </si>
  <si>
    <t>Rottenbuch</t>
  </si>
  <si>
    <t>Seeg</t>
  </si>
  <si>
    <t>Aitrang</t>
  </si>
  <si>
    <t>Degerndorf a.Inn</t>
  </si>
  <si>
    <t>Osterwald</t>
  </si>
  <si>
    <t>Huttenwang</t>
  </si>
  <si>
    <t>Neufahrn</t>
  </si>
  <si>
    <t>Unterreitnau</t>
  </si>
  <si>
    <t>Bodenmais</t>
  </si>
  <si>
    <t>Geisenried</t>
  </si>
  <si>
    <t>Eglfing</t>
  </si>
  <si>
    <t>Rohrdorf</t>
  </si>
  <si>
    <t>Gstadt a.Chiemsee</t>
  </si>
  <si>
    <t>Chiemsee (See)</t>
  </si>
  <si>
    <t>Endlhausen</t>
  </si>
  <si>
    <t>Lindberg</t>
  </si>
  <si>
    <t>Gotteszell</t>
  </si>
  <si>
    <t>Seeshaupt</t>
  </si>
  <si>
    <t>Willofs</t>
  </si>
  <si>
    <t>Uffing a.Staffelsee</t>
  </si>
  <si>
    <t>Achslach</t>
  </si>
  <si>
    <t>Lengenwang</t>
  </si>
  <si>
    <t>Hopferbach</t>
  </si>
  <si>
    <t>Teisendorf</t>
  </si>
  <si>
    <t>Breitbrunn a.Chiemsee</t>
  </si>
  <si>
    <t>Rimsting</t>
  </si>
  <si>
    <t>Eschach</t>
  </si>
  <si>
    <t>Altenbeuern</t>
  </si>
  <si>
    <t>Leuterschach</t>
  </si>
  <si>
    <t>Valley</t>
  </si>
  <si>
    <t>Habischried</t>
  </si>
  <si>
    <t>Hopfen am See</t>
  </si>
  <si>
    <t>Arnried</t>
  </si>
  <si>
    <t>Holzhausen b.Teisendorf</t>
  </si>
  <si>
    <t>Iffeldorf</t>
  </si>
  <si>
    <t>Chiemsee</t>
  </si>
  <si>
    <t>Langegg</t>
  </si>
  <si>
    <t>Altusried</t>
  </si>
  <si>
    <t>Beuerberg</t>
  </si>
  <si>
    <t>Hopferau</t>
  </si>
  <si>
    <t>Prem</t>
  </si>
  <si>
    <t>Enzenstetten</t>
  </si>
  <si>
    <t>Hoyren</t>
  </si>
  <si>
    <t>Bayerisch Eisenstein</t>
  </si>
  <si>
    <t>Wonneberg</t>
  </si>
  <si>
    <t>Kammer</t>
  </si>
  <si>
    <t>Sondermoning</t>
  </si>
  <si>
    <t>Chieming</t>
  </si>
  <si>
    <t>Pietzing</t>
  </si>
  <si>
    <t>Probstried</t>
  </si>
  <si>
    <t>Riedering</t>
  </si>
  <si>
    <t>Alberting</t>
  </si>
  <si>
    <t>Sankt Mang</t>
  </si>
  <si>
    <t>Neukirchen a.Simssee</t>
  </si>
  <si>
    <t>Greimharting</t>
  </si>
  <si>
    <t>Schwarzacher Hochwald</t>
  </si>
  <si>
    <t>Frauenrain</t>
  </si>
  <si>
    <t>Baiernrain</t>
  </si>
  <si>
    <t>Antdorf</t>
  </si>
  <si>
    <t>Rieden am Forggensee</t>
  </si>
  <si>
    <t>Sankt Lorenz</t>
  </si>
  <si>
    <t>Reinhardsried</t>
  </si>
  <si>
    <t>Seehausen a.Staffelsee</t>
  </si>
  <si>
    <t>Hechendorf</t>
  </si>
  <si>
    <t>Prien a.Chiemsee</t>
  </si>
  <si>
    <t>Penzberg</t>
  </si>
  <si>
    <t>Murnau a.Staffelsee</t>
  </si>
  <si>
    <t>Untrasried</t>
  </si>
  <si>
    <t>Wattersdorf</t>
  </si>
  <si>
    <t>Greising</t>
  </si>
  <si>
    <t>Oberreitnau</t>
  </si>
  <si>
    <t>Hack</t>
  </si>
  <si>
    <t>Senkelewald</t>
  </si>
  <si>
    <t>Eisenberg</t>
  </si>
  <si>
    <t>Unterthingau</t>
  </si>
  <si>
    <t>Niklasreuth</t>
  </si>
  <si>
    <t>Oberteisendorf</t>
  </si>
  <si>
    <t>Spatzenhausen</t>
  </si>
  <si>
    <t>Wildpoldsried</t>
  </si>
  <si>
    <t>Marzoll</t>
  </si>
  <si>
    <t>Aeschach</t>
  </si>
  <si>
    <t>Durach</t>
  </si>
  <si>
    <t>Muthmannshofen</t>
  </si>
  <si>
    <t>Manhartshofen</t>
  </si>
  <si>
    <t>Weindorf</t>
  </si>
  <si>
    <t>Zwieselberg</t>
  </si>
  <si>
    <t>Bad Bayersoien</t>
  </si>
  <si>
    <t>Niederaudorf</t>
  </si>
  <si>
    <t>Hartpenning</t>
  </si>
  <si>
    <t>Hechenberg</t>
  </si>
  <si>
    <t>Oberbuchen</t>
  </si>
  <si>
    <t>Warngau</t>
  </si>
  <si>
    <t>Oberthingau</t>
  </si>
  <si>
    <t>Gotzing</t>
  </si>
  <si>
    <t>Betzigau</t>
  </si>
  <si>
    <t>Kraftisried</t>
  </si>
  <si>
    <t>Fronreiten</t>
  </si>
  <si>
    <t>Habach</t>
  </si>
  <si>
    <t>Kimratshofen</t>
  </si>
  <si>
    <t>Riegsee</t>
  </si>
  <si>
    <t>Oberaudorf</t>
  </si>
  <si>
    <t>Sindelsdorf</t>
  </si>
  <si>
    <t>Dietramszell</t>
  </si>
  <si>
    <t>Reutin</t>
  </si>
  <si>
    <t>Wildenwart</t>
  </si>
  <si>
    <t>Unterfischbach</t>
  </si>
  <si>
    <t>Waltenhofen</t>
  </si>
  <si>
    <t>Sulzberg</t>
  </si>
  <si>
    <t>Sankt Zeno</t>
  </si>
  <si>
    <t>Wies</t>
  </si>
  <si>
    <t>Hittenkirchen</t>
  </si>
  <si>
    <t>Piding</t>
  </si>
  <si>
    <t>Flintsbach a.Inn</t>
  </si>
  <si>
    <t>Wohmbrechts</t>
  </si>
  <si>
    <t>Bernau a.Chiemsee</t>
  </si>
  <si>
    <t>Hergensweiler</t>
  </si>
  <si>
    <t>Wall</t>
  </si>
  <si>
    <t>Surberg</t>
  </si>
  <si>
    <t>Aidling</t>
  </si>
  <si>
    <t>Hundham</t>
  </si>
  <si>
    <t>Sachsenkam</t>
  </si>
  <si>
    <t>Kirchbichl</t>
  </si>
  <si>
    <t>Sigmarszell</t>
  </si>
  <si>
    <t>Kempter Wald</t>
  </si>
  <si>
    <t>Schneidbach</t>
  </si>
  <si>
    <t>Berchtesgaden</t>
  </si>
  <si>
    <t>Bodelsberg</t>
  </si>
  <si>
    <t>Schaftlach</t>
  </si>
  <si>
    <t>Vachendorf</t>
  </si>
  <si>
    <t>Reichersbeuern</t>
  </si>
  <si>
    <t>Kleinweil</t>
  </si>
  <si>
    <t>Ottacker</t>
  </si>
  <si>
    <t>Kiefersfelden</t>
  </si>
  <si>
    <t>Umrathshausen</t>
  </si>
  <si>
    <t>Bad Kohlgrub</t>
  </si>
  <si>
    <t>Maria-Thann</t>
  </si>
  <si>
    <t>Grainbach</t>
  </si>
  <si>
    <t>Anger</t>
  </si>
  <si>
    <t>Wiggensbach</t>
  </si>
  <si>
    <t>Opfenbach</t>
  </si>
  <si>
    <t>Brannenburg</t>
  </si>
  <si>
    <t>Greiling</t>
  </si>
  <si>
    <t>Eckarts</t>
  </si>
  <si>
    <t>Hohentanner Wald</t>
  </si>
  <si>
    <t>Bergpfronten</t>
  </si>
  <si>
    <t>Niederstaufen</t>
  </si>
  <si>
    <t>Grassau</t>
  </si>
  <si>
    <t>Vogling</t>
  </si>
  <si>
    <t>Petersthal</t>
  </si>
  <si>
    <t>Wildsteig</t>
  </si>
  <si>
    <t>Freidling</t>
  </si>
  <si>
    <t>Nesselwang</t>
  </si>
  <si>
    <t>Untermaiselstein</t>
  </si>
  <si>
    <t>Bad Reichenhall</t>
  </si>
  <si>
    <t>Neukirchen a.Teisenberg</t>
  </si>
  <si>
    <t>Bad Heilbrunn</t>
  </si>
  <si>
    <t>Oberfischbach</t>
  </si>
  <si>
    <t>Hochberg</t>
  </si>
  <si>
    <t>Vorderburg</t>
  </si>
  <si>
    <t>Bichl</t>
  </si>
  <si>
    <t>Schwangau</t>
  </si>
  <si>
    <t>Saulgrub</t>
  </si>
  <si>
    <t>Frasdorf</t>
  </si>
  <si>
    <t>Ristfeucht</t>
  </si>
  <si>
    <t>Waakirchen</t>
  </si>
  <si>
    <t>Untersiegsdorf</t>
  </si>
  <si>
    <t>Fronreitener Forst</t>
  </si>
  <si>
    <t>Ohlstadt</t>
  </si>
  <si>
    <t>Fischbachau</t>
  </si>
  <si>
    <t>Gmund a.Tegernsee</t>
  </si>
  <si>
    <t>Gestratz</t>
  </si>
  <si>
    <t>Heimenkirch</t>
  </si>
  <si>
    <t>Buchenberg</t>
  </si>
  <si>
    <t>Jettenberg</t>
  </si>
  <si>
    <t>Grainau</t>
  </si>
  <si>
    <t>Obersiegsdorf</t>
  </si>
  <si>
    <t>Bayerisch Gmain</t>
  </si>
  <si>
    <t>Schlehdorf</t>
  </si>
  <si>
    <t>Farchant</t>
  </si>
  <si>
    <t>Schwaigen</t>
  </si>
  <si>
    <t>Hausham</t>
  </si>
  <si>
    <t>Niedersonthofen</t>
  </si>
  <si>
    <t>Schleching</t>
  </si>
  <si>
    <t>Akams</t>
  </si>
  <si>
    <t>Forst Taubensee</t>
  </si>
  <si>
    <t>Partenkirchen</t>
  </si>
  <si>
    <t>Scheffau</t>
  </si>
  <si>
    <t>Kreuzthal</t>
  </si>
  <si>
    <t>Bischofswiesen</t>
  </si>
  <si>
    <t>Buching</t>
  </si>
  <si>
    <t>Trauchgau</t>
  </si>
  <si>
    <t>Rottau</t>
  </si>
  <si>
    <t>Rechtis</t>
  </si>
  <si>
    <t>Ramsau b.Berchtesgaden</t>
  </si>
  <si>
    <t>Tegernsee</t>
  </si>
  <si>
    <t>Staudach-Egerndach</t>
  </si>
  <si>
    <t>Hammer</t>
  </si>
  <si>
    <t>Ettal</t>
  </si>
  <si>
    <t>Salzberg</t>
  </si>
  <si>
    <t>Marquartstein</t>
  </si>
  <si>
    <t>Rauhenzell</t>
  </si>
  <si>
    <t>Oberammergau</t>
  </si>
  <si>
    <t>Ellhofen</t>
  </si>
  <si>
    <t>Wertach</t>
  </si>
  <si>
    <t>Niederaschau i.Chiemgau</t>
  </si>
  <si>
    <t>Bayrischzell</t>
  </si>
  <si>
    <t>Garmisch</t>
  </si>
  <si>
    <t>Weitnau</t>
  </si>
  <si>
    <t>Steinachpfronten</t>
  </si>
  <si>
    <t>Eschenlohe</t>
  </si>
  <si>
    <t>Sonthofen</t>
  </si>
  <si>
    <t>Unterammergau</t>
  </si>
  <si>
    <t>Oberau</t>
  </si>
  <si>
    <t>Rettenberg</t>
  </si>
  <si>
    <t>Benediktbeuern</t>
  </si>
  <si>
    <t>Ebratshofen</t>
  </si>
  <si>
    <t>Ofterschwang</t>
  </si>
  <si>
    <t>Simmerberg</t>
  </si>
  <si>
    <t>Waltrams</t>
  </si>
  <si>
    <t>Scheidegg</t>
  </si>
  <si>
    <t>Diepolz</t>
  </si>
  <si>
    <t>Unterjoch</t>
  </si>
  <si>
    <t>Harbatshofen</t>
  </si>
  <si>
    <t>Wackersberg</t>
  </si>
  <si>
    <t>Reit im Winkl</t>
  </si>
  <si>
    <t>Staufenecker Forst</t>
  </si>
  <si>
    <t>Kochel a.See</t>
  </si>
  <si>
    <t>Inzell</t>
  </si>
  <si>
    <t>Unterammergauer Forst</t>
  </si>
  <si>
    <t>Wallgau</t>
  </si>
  <si>
    <t>Jettenberger Forst</t>
  </si>
  <si>
    <t>Stiefenhofen</t>
  </si>
  <si>
    <t>Karlsteiner Forst</t>
  </si>
  <si>
    <t>Oberreute</t>
  </si>
  <si>
    <t>Jachenau</t>
  </si>
  <si>
    <t>Missen</t>
  </si>
  <si>
    <t>Bergener Forst</t>
  </si>
  <si>
    <t>Zeller Forst</t>
  </si>
  <si>
    <t>Maria Gern</t>
  </si>
  <si>
    <t>Forst Sankt Zeno</t>
  </si>
  <si>
    <t>Blaichach</t>
  </si>
  <si>
    <t>Eck</t>
  </si>
  <si>
    <t>Mittenwald</t>
  </si>
  <si>
    <t>Bischofswiesener Forst</t>
  </si>
  <si>
    <t>Oberstaufen</t>
  </si>
  <si>
    <t>Lenggries</t>
  </si>
  <si>
    <t>Wilhams</t>
  </si>
  <si>
    <t>Ettaler Forst</t>
  </si>
  <si>
    <t>Schliersee</t>
  </si>
  <si>
    <t>Thalkirchdorf</t>
  </si>
  <si>
    <t>Bolsterlang</t>
  </si>
  <si>
    <t>Bad Wiessee</t>
  </si>
  <si>
    <t>Schlechinger Forst</t>
  </si>
  <si>
    <t>Landschellenberg</t>
  </si>
  <si>
    <t>Hohenaschau i.Chiemgau</t>
  </si>
  <si>
    <t>Vachenau</t>
  </si>
  <si>
    <t>Forst Reit im Winkl</t>
  </si>
  <si>
    <t>Marktschellenberg</t>
  </si>
  <si>
    <t>Ruhpolding</t>
  </si>
  <si>
    <t>Forst Hintersee</t>
  </si>
  <si>
    <t>Rottach-Egern</t>
  </si>
  <si>
    <t>Ettenberg</t>
  </si>
  <si>
    <t>Gunzesried</t>
  </si>
  <si>
    <t>Ramsauer Forst</t>
  </si>
  <si>
    <t>Seehauser Forst</t>
  </si>
  <si>
    <t>Obermaiselstein</t>
  </si>
  <si>
    <t>Sachrang</t>
  </si>
  <si>
    <t>Bad Hindelang</t>
  </si>
  <si>
    <t>Urschlauer Forst</t>
  </si>
  <si>
    <t>Schellenberger Forst</t>
  </si>
  <si>
    <t>Oberstdorf</t>
  </si>
  <si>
    <t>Tiefenbach b.Oberstdorf</t>
  </si>
  <si>
    <t>Balderschwang</t>
  </si>
  <si>
    <t>Bad Griesbach i.Rottal</t>
  </si>
  <si>
    <t>Eching am Ammersee</t>
  </si>
  <si>
    <t>Utting am Ammersee</t>
  </si>
  <si>
    <t>Aach i.Allgäu</t>
  </si>
  <si>
    <t>Altstädten</t>
  </si>
  <si>
    <t>Burgberg i.Allgäu</t>
  </si>
  <si>
    <t>Thalmässing</t>
  </si>
  <si>
    <t>Münchsteinach</t>
  </si>
  <si>
    <t>Gaukönigshofen</t>
  </si>
  <si>
    <t>Gemünden a.Main</t>
  </si>
  <si>
    <t>Ahornöd</t>
  </si>
  <si>
    <t>Hörgertshausen</t>
  </si>
  <si>
    <t>Immenstadt i.Allgäu</t>
  </si>
  <si>
    <t>Waldmünchen</t>
  </si>
  <si>
    <t>Schöfweg</t>
  </si>
  <si>
    <t>Altdorf b.Nürnberg</t>
  </si>
  <si>
    <t>Altdürnbuch</t>
  </si>
  <si>
    <t>Mörnsheim</t>
  </si>
  <si>
    <t>Ostheim v.d.Rhön</t>
  </si>
  <si>
    <t>Fürstenzell</t>
  </si>
  <si>
    <t>Altenmünster</t>
  </si>
  <si>
    <t>Altenschönbach</t>
  </si>
  <si>
    <t>Bodenwöhr</t>
  </si>
  <si>
    <t>Altenstadt b.Vohenstrauß</t>
  </si>
  <si>
    <t>Vohenstrauß</t>
  </si>
  <si>
    <t>Altentrüdingen</t>
  </si>
  <si>
    <t>Wassertrüdingen</t>
  </si>
  <si>
    <t>Königsberg i.Bay.</t>
  </si>
  <si>
    <t>Bad Königshofen i.Grabfeld</t>
  </si>
  <si>
    <t>Münnerstadt</t>
  </si>
  <si>
    <t>Altmühldorf</t>
  </si>
  <si>
    <t>Altmühlmünster</t>
  </si>
  <si>
    <t>Altomünster</t>
  </si>
  <si>
    <t>Altöttinger Forst</t>
  </si>
  <si>
    <t>Neuötting</t>
  </si>
  <si>
    <t>Ammerhöfe</t>
  </si>
  <si>
    <t>Peißenberg</t>
  </si>
  <si>
    <t>Möttingen</t>
  </si>
  <si>
    <t>Bad Kötzting</t>
  </si>
  <si>
    <t>Dietfurt a.d.Altmühl</t>
  </si>
  <si>
    <t>Rotthalmünster</t>
  </si>
  <si>
    <t>Asbach-Bäumenheim</t>
  </si>
  <si>
    <t>Schlüsselfeld</t>
  </si>
  <si>
    <t>Pöcking</t>
  </si>
  <si>
    <t>Eußenheim</t>
  </si>
  <si>
    <t>Schönberg</t>
  </si>
  <si>
    <t>Aßling</t>
  </si>
  <si>
    <t>Aßlschwang</t>
  </si>
  <si>
    <t>Weißenhorn</t>
  </si>
  <si>
    <t>Küps</t>
  </si>
  <si>
    <t>Donauwörth</t>
  </si>
  <si>
    <t>Aufseß</t>
  </si>
  <si>
    <t>Röttingen</t>
  </si>
  <si>
    <t>Haßfurt</t>
  </si>
  <si>
    <t>Büchenbach</t>
  </si>
  <si>
    <t>Außernbrünst</t>
  </si>
  <si>
    <t>Röhrnbach</t>
  </si>
  <si>
    <t>Außernzell</t>
  </si>
  <si>
    <t>Schöllnach</t>
  </si>
  <si>
    <t>Autengrün</t>
  </si>
  <si>
    <t>Seßlach</t>
  </si>
  <si>
    <t>Mühlhausen</t>
  </si>
  <si>
    <t>Bächingen a.d.Brenz</t>
  </si>
  <si>
    <t>Bad Brückenau</t>
  </si>
  <si>
    <t>Bad Gögging</t>
  </si>
  <si>
    <t>Bad Grönenbach</t>
  </si>
  <si>
    <t>Bad Höhenstadt</t>
  </si>
  <si>
    <t>Bad Tölz</t>
  </si>
  <si>
    <t>Bad Wörishofen</t>
  </si>
  <si>
    <t>Baiergrün</t>
  </si>
  <si>
    <t>Nördlingen</t>
  </si>
  <si>
    <t>Bärnau</t>
  </si>
  <si>
    <t>Bärndorf</t>
  </si>
  <si>
    <t>Bärnhöhe</t>
  </si>
  <si>
    <t>Bärnreuth</t>
  </si>
  <si>
    <t>Bärnstein</t>
  </si>
  <si>
    <t>Bärnzell</t>
  </si>
  <si>
    <t>Bayerdießen</t>
  </si>
  <si>
    <t>Dießen am Ammersee</t>
  </si>
  <si>
    <t>Schwaig b.Nürnberg</t>
  </si>
  <si>
    <t>Behringersmühle</t>
  </si>
  <si>
    <t>Gößweinstein</t>
  </si>
  <si>
    <t>Plößberg</t>
  </si>
  <si>
    <t>Mödingen</t>
  </si>
  <si>
    <t>Floß</t>
  </si>
  <si>
    <t>Rötz</t>
  </si>
  <si>
    <t>Kösching</t>
  </si>
  <si>
    <t>Betzenmühle</t>
  </si>
  <si>
    <t>Röhrmoos</t>
  </si>
  <si>
    <t>Höchstadt a.d.Aisch</t>
  </si>
  <si>
    <t>Bildhausen-Südwest</t>
  </si>
  <si>
    <t>Schwabmünchen</t>
  </si>
  <si>
    <t>Birkenbühl</t>
  </si>
  <si>
    <t>Bischofsgrün</t>
  </si>
  <si>
    <t>Bischofsgrüner Forst</t>
  </si>
  <si>
    <t>Bischofsheim a.d.Rhön</t>
  </si>
  <si>
    <t>Bischofsheimer Forst-Südwest</t>
  </si>
  <si>
    <t>Blöcktach</t>
  </si>
  <si>
    <t>Bobengrün</t>
  </si>
  <si>
    <t>Böbing</t>
  </si>
  <si>
    <t>Böbrach</t>
  </si>
  <si>
    <t>Creußen</t>
  </si>
  <si>
    <t>Bodenwöhrer Forst</t>
  </si>
  <si>
    <t>Bödlas</t>
  </si>
  <si>
    <t>Böhen</t>
  </si>
  <si>
    <t>Böhmfeld</t>
  </si>
  <si>
    <t>Böhming</t>
  </si>
  <si>
    <t>Böhmischbruck</t>
  </si>
  <si>
    <t>Böhmzwiesel</t>
  </si>
  <si>
    <t>Bösenreutin</t>
  </si>
  <si>
    <t>Böttigheim</t>
  </si>
  <si>
    <t>Bräuersdorf</t>
  </si>
  <si>
    <t>Hagenbüchach</t>
  </si>
  <si>
    <t>Breitengüßbach</t>
  </si>
  <si>
    <t>Breitengüßbacher Forst</t>
  </si>
  <si>
    <t>Wörth a.d.Donau</t>
  </si>
  <si>
    <t>Brüchs</t>
  </si>
  <si>
    <t>Brück</t>
  </si>
  <si>
    <t>Brücklein</t>
  </si>
  <si>
    <t>Bruckmühl</t>
  </si>
  <si>
    <t>Brünn</t>
  </si>
  <si>
    <t>Brünnau</t>
  </si>
  <si>
    <t>Köditz</t>
  </si>
  <si>
    <t>Brünnstadt</t>
  </si>
  <si>
    <t>Brünsee</t>
  </si>
  <si>
    <t>Brünst</t>
  </si>
  <si>
    <t>Brüx</t>
  </si>
  <si>
    <t>Brüxer Forst</t>
  </si>
  <si>
    <t>Schönwald</t>
  </si>
  <si>
    <t>Büchelberg</t>
  </si>
  <si>
    <t>Buchenhüll</t>
  </si>
  <si>
    <t>Großheirath</t>
  </si>
  <si>
    <t>Büchheim</t>
  </si>
  <si>
    <t>Büchold</t>
  </si>
  <si>
    <t>Roßtal</t>
  </si>
  <si>
    <t>Weißdorf</t>
  </si>
  <si>
    <t>Büg</t>
  </si>
  <si>
    <t>Bühl</t>
  </si>
  <si>
    <t>Bühl a.Alpsee</t>
  </si>
  <si>
    <t>Bühl i.Ries</t>
  </si>
  <si>
    <t>Bühler</t>
  </si>
  <si>
    <t>Obergünzburg</t>
  </si>
  <si>
    <t>Scheßlitz</t>
  </si>
  <si>
    <t>Burghöchstadt</t>
  </si>
  <si>
    <t>Burgjoß</t>
  </si>
  <si>
    <t>Bürglein</t>
  </si>
  <si>
    <t>Bürgstadt</t>
  </si>
  <si>
    <t>Schönau a.d.Brend</t>
  </si>
  <si>
    <t>Büttelbronn</t>
  </si>
  <si>
    <t>Bütthard</t>
  </si>
  <si>
    <t>Carlsgrün</t>
  </si>
  <si>
    <t>Chammünster</t>
  </si>
  <si>
    <t>Coburger Forst-Südost</t>
  </si>
  <si>
    <t>Kallmünz</t>
  </si>
  <si>
    <t>Daßwang</t>
  </si>
  <si>
    <t>Mömbris</t>
  </si>
  <si>
    <t>Großhabersdorf</t>
  </si>
  <si>
    <t>Münsing</t>
  </si>
  <si>
    <t>Höchstädt a.d.Donau</t>
  </si>
  <si>
    <t>Demantsfürth</t>
  </si>
  <si>
    <t>Großmehring</t>
  </si>
  <si>
    <t>Mötzing</t>
  </si>
  <si>
    <t>Weißenburg i.Bay.</t>
  </si>
  <si>
    <t>Mönchsroth</t>
  </si>
  <si>
    <t>Dießfurt</t>
  </si>
  <si>
    <t>Kröning</t>
  </si>
  <si>
    <t>Schönsee</t>
  </si>
  <si>
    <t>Oberschönegg</t>
  </si>
  <si>
    <t>Dinkelsbühl</t>
  </si>
  <si>
    <t>Mähring</t>
  </si>
  <si>
    <t>Döbra</t>
  </si>
  <si>
    <t>Döckingen</t>
  </si>
  <si>
    <t>Döfering</t>
  </si>
  <si>
    <t>Schönthal</t>
  </si>
  <si>
    <t>Döhlau</t>
  </si>
  <si>
    <t>Döllnitz</t>
  </si>
  <si>
    <t>Tännesberg</t>
  </si>
  <si>
    <t>Döllwang</t>
  </si>
  <si>
    <t>Döltsch</t>
  </si>
  <si>
    <t>Dombühl</t>
  </si>
  <si>
    <t>Döpshofen</t>
  </si>
  <si>
    <t>Dorfgütingen</t>
  </si>
  <si>
    <t>Dörflas</t>
  </si>
  <si>
    <t>Dörflas b.Kirchenlamitz</t>
  </si>
  <si>
    <t>Dörfleins</t>
  </si>
  <si>
    <t>Dörfles</t>
  </si>
  <si>
    <t>Dörfles b.Coburg</t>
  </si>
  <si>
    <t>Dörflis</t>
  </si>
  <si>
    <t>Döringstadt</t>
  </si>
  <si>
    <t>Dörlbach</t>
  </si>
  <si>
    <t>Dörnach</t>
  </si>
  <si>
    <t>Dörndorf</t>
  </si>
  <si>
    <t>Dörnsteinbach</t>
  </si>
  <si>
    <t>Unterdießen</t>
  </si>
  <si>
    <t>Dörnthal</t>
  </si>
  <si>
    <t>Dörrmorsbach</t>
  </si>
  <si>
    <t>Dörrnwasserlos</t>
  </si>
  <si>
    <t>Dösingen</t>
  </si>
  <si>
    <t>Drosendorf a.d.Aufseß</t>
  </si>
  <si>
    <t>Drößling</t>
  </si>
  <si>
    <t>Drügendorf</t>
  </si>
  <si>
    <t>Dühren</t>
  </si>
  <si>
    <t>Düllstadt</t>
  </si>
  <si>
    <t>Dünzelbach</t>
  </si>
  <si>
    <t>Dünzing</t>
  </si>
  <si>
    <t>Dünzlau</t>
  </si>
  <si>
    <t>Dünzling</t>
  </si>
  <si>
    <t>Dürn</t>
  </si>
  <si>
    <t>Dürnbach</t>
  </si>
  <si>
    <t>Dürnberg</t>
  </si>
  <si>
    <t>Dürnbucher Forst</t>
  </si>
  <si>
    <t>Dürnersdorf</t>
  </si>
  <si>
    <t>Dürnhaindlfing</t>
  </si>
  <si>
    <t>Dürnsricht</t>
  </si>
  <si>
    <t>Dürnzhausen</t>
  </si>
  <si>
    <t>Dürrbrunn</t>
  </si>
  <si>
    <t>Dürrenmungenau</t>
  </si>
  <si>
    <t>Dürrenried</t>
  </si>
  <si>
    <t>Dürrenwaid</t>
  </si>
  <si>
    <t>Geroldsgrün</t>
  </si>
  <si>
    <t>Dürrenzimmern</t>
  </si>
  <si>
    <t>Dürrfeld</t>
  </si>
  <si>
    <t>Dürrlauingen</t>
  </si>
  <si>
    <t>Dürrnbuch</t>
  </si>
  <si>
    <t>Dürrnhof</t>
  </si>
  <si>
    <t>Dürrwangen</t>
  </si>
  <si>
    <t>Pöttmes</t>
  </si>
  <si>
    <t>Üchtelhausen</t>
  </si>
  <si>
    <t>Grünenbach</t>
  </si>
  <si>
    <t>Eckersmühlen</t>
  </si>
  <si>
    <t>Egg a.d.Günz</t>
  </si>
  <si>
    <t>Winhöring</t>
  </si>
  <si>
    <t>Eggstätt</t>
  </si>
  <si>
    <t>Eichenbühl</t>
  </si>
  <si>
    <t>Weißenbrunn</t>
  </si>
  <si>
    <t>Wülfershausen a.d.Saale</t>
  </si>
  <si>
    <t>Einmuß</t>
  </si>
  <si>
    <t>Eisenärzt</t>
  </si>
  <si>
    <t>Eisenbühl</t>
  </si>
  <si>
    <t>Grafing b.München</t>
  </si>
  <si>
    <t>Schmidmühlen</t>
  </si>
  <si>
    <t>Engelbrechtsmünster</t>
  </si>
  <si>
    <t>Engelshütt</t>
  </si>
  <si>
    <t>Püchersreuth</t>
  </si>
  <si>
    <t>Erlstätt</t>
  </si>
  <si>
    <t>Grabenstätt</t>
  </si>
  <si>
    <t>Wörnitz</t>
  </si>
  <si>
    <t>Erzhäuser</t>
  </si>
  <si>
    <t>Füssen</t>
  </si>
  <si>
    <t>Eßfeld</t>
  </si>
  <si>
    <t>Eßleben</t>
  </si>
  <si>
    <t>Eßlingen</t>
  </si>
  <si>
    <t>Pförring</t>
  </si>
  <si>
    <t>Eußenhausen</t>
  </si>
  <si>
    <t>Eysölden</t>
  </si>
  <si>
    <t>Faßmannsreuth</t>
  </si>
  <si>
    <t>Schillingsfürst</t>
  </si>
  <si>
    <t>Hösbach</t>
  </si>
  <si>
    <t>Fernabrünst</t>
  </si>
  <si>
    <t>Höttingen</t>
  </si>
  <si>
    <t>Fischbach b.Nürnberg</t>
  </si>
  <si>
    <t>Pähl</t>
  </si>
  <si>
    <t>Fischen i.Allgäu</t>
  </si>
  <si>
    <t>Flossenbürg</t>
  </si>
  <si>
    <t>Föching</t>
  </si>
  <si>
    <t>Föggenbeuern</t>
  </si>
  <si>
    <t>Föhrenreuth</t>
  </si>
  <si>
    <t>Förbau</t>
  </si>
  <si>
    <t>Förnbach</t>
  </si>
  <si>
    <t>Förrenbach</t>
  </si>
  <si>
    <t>Forst Detter-Süd</t>
  </si>
  <si>
    <t>Forst Königssee</t>
  </si>
  <si>
    <t>Forst Lohrerstraße</t>
  </si>
  <si>
    <t>Neuhütten</t>
  </si>
  <si>
    <t>Forst Neustädtlein a.Forst</t>
  </si>
  <si>
    <t>Forst Ostheim v.d.Rhön</t>
  </si>
  <si>
    <t>Forst Sankt Bartholomä</t>
  </si>
  <si>
    <t>Forst Schmalwasser-Süd</t>
  </si>
  <si>
    <t>Förstenreuth</t>
  </si>
  <si>
    <t>Künzing</t>
  </si>
  <si>
    <t>Forstmühler Forst</t>
  </si>
  <si>
    <t>Forstöd</t>
  </si>
  <si>
    <t>Förtschendorf</t>
  </si>
  <si>
    <t>Weißenstadt</t>
  </si>
  <si>
    <t>Freiröttenbach</t>
  </si>
  <si>
    <t>Frickenhöchstadt</t>
  </si>
  <si>
    <t>Friedrichshäng</t>
  </si>
  <si>
    <t>Fröhstockheim</t>
  </si>
  <si>
    <t>Rödelsee</t>
  </si>
  <si>
    <t>Froschgrün</t>
  </si>
  <si>
    <t>Fuchsmühl</t>
  </si>
  <si>
    <t>Fünfbronn</t>
  </si>
  <si>
    <t>Fünfleiten</t>
  </si>
  <si>
    <t>Fünfstetten</t>
  </si>
  <si>
    <t>Fürholz</t>
  </si>
  <si>
    <t>Fürholzen</t>
  </si>
  <si>
    <t>Fürnbach</t>
  </si>
  <si>
    <t>Fürnheim</t>
  </si>
  <si>
    <t>Fürnried</t>
  </si>
  <si>
    <t>Fürsteneck</t>
  </si>
  <si>
    <t>Fürstenforst</t>
  </si>
  <si>
    <t>Fürstenstein</t>
  </si>
  <si>
    <t>Fürstl.Löwenstein'scher Park</t>
  </si>
  <si>
    <t>Fürth a.Berg</t>
  </si>
  <si>
    <t>Fürther Stadtwald</t>
  </si>
  <si>
    <t>Füttersee</t>
  </si>
  <si>
    <t>Gaden b.Pförring</t>
  </si>
  <si>
    <t>Gädheim</t>
  </si>
  <si>
    <t>Gaißach</t>
  </si>
  <si>
    <t>Königstein</t>
  </si>
  <si>
    <t>Postmünster</t>
  </si>
  <si>
    <t>Gänheim</t>
  </si>
  <si>
    <t>Garching b.München</t>
  </si>
  <si>
    <t>Gärmersdorf</t>
  </si>
  <si>
    <t>Gärten b.Wöhrd</t>
  </si>
  <si>
    <t>Gärten h.d.Veste</t>
  </si>
  <si>
    <t>Gärtenroth</t>
  </si>
  <si>
    <t>Gaubüttelbrunn</t>
  </si>
  <si>
    <t>Gefäll</t>
  </si>
  <si>
    <t>Gehülz</t>
  </si>
  <si>
    <t>Geiselhöring</t>
  </si>
  <si>
    <t>Geißlingen</t>
  </si>
  <si>
    <t>Gemünda i.OFr.</t>
  </si>
  <si>
    <t>Georgensgmünd</t>
  </si>
  <si>
    <t>Geroldsgrüner Forst</t>
  </si>
  <si>
    <t>Glashütten</t>
  </si>
  <si>
    <t>Glashüttener Forst</t>
  </si>
  <si>
    <t>Gleißenberg</t>
  </si>
  <si>
    <t>Gleißhammer</t>
  </si>
  <si>
    <t>Gleußen</t>
  </si>
  <si>
    <t>Glött</t>
  </si>
  <si>
    <t>Glöttweng</t>
  </si>
  <si>
    <t>Gmünd</t>
  </si>
  <si>
    <t>Grafenwöhr</t>
  </si>
  <si>
    <t>Gnötzheim</t>
  </si>
  <si>
    <t>Göggelsbuch</t>
  </si>
  <si>
    <t>Göggingen</t>
  </si>
  <si>
    <t>Gögglbach</t>
  </si>
  <si>
    <t>Göhren</t>
  </si>
  <si>
    <t>Goldmühl</t>
  </si>
  <si>
    <t>Göllingen</t>
  </si>
  <si>
    <t>Höchheim</t>
  </si>
  <si>
    <t>Göppenbach</t>
  </si>
  <si>
    <t>Görisried</t>
  </si>
  <si>
    <t>Görschnitz</t>
  </si>
  <si>
    <t>Gösen</t>
  </si>
  <si>
    <t>Gösmes</t>
  </si>
  <si>
    <t>Gösseldorf</t>
  </si>
  <si>
    <t>Gösselsdorf</t>
  </si>
  <si>
    <t>Gössenheim</t>
  </si>
  <si>
    <t>Gössenreuth</t>
  </si>
  <si>
    <t>Gössersdorf</t>
  </si>
  <si>
    <t>Goßmannsdorf</t>
  </si>
  <si>
    <t>Goßmannsdorf a.Main</t>
  </si>
  <si>
    <t>Goßmannsdorfer Forst</t>
  </si>
  <si>
    <t>Götteldorf</t>
  </si>
  <si>
    <t>Göttelhöf</t>
  </si>
  <si>
    <t>Göttersdorf</t>
  </si>
  <si>
    <t>Götting</t>
  </si>
  <si>
    <t>Gottsmannsgrün</t>
  </si>
  <si>
    <t>Götzdorf</t>
  </si>
  <si>
    <t>Götzendorf</t>
  </si>
  <si>
    <t>Gräfelfing</t>
  </si>
  <si>
    <t>Gräfenberg</t>
  </si>
  <si>
    <t>Gräfenbuch</t>
  </si>
  <si>
    <t>Gräfendorf</t>
  </si>
  <si>
    <t>Gräfenhäusling</t>
  </si>
  <si>
    <t>Gräfenneuses</t>
  </si>
  <si>
    <t>Gräfensteinberg</t>
  </si>
  <si>
    <t>Straßkirchen</t>
  </si>
  <si>
    <t>Graß</t>
  </si>
  <si>
    <t>Graßlfing</t>
  </si>
  <si>
    <t>Gressenwöhr</t>
  </si>
  <si>
    <t>Greßhausen</t>
  </si>
  <si>
    <t>Greßthal</t>
  </si>
  <si>
    <t>Greußenheim</t>
  </si>
  <si>
    <t>Grießenbach</t>
  </si>
  <si>
    <t>Griesstätt</t>
  </si>
  <si>
    <t>Gröbenstädt</t>
  </si>
  <si>
    <t>Gröbenzell</t>
  </si>
  <si>
    <t>Grönhart</t>
  </si>
  <si>
    <t>Groschlattengrün</t>
  </si>
  <si>
    <t>Grösdorf</t>
  </si>
  <si>
    <t>Großaign</t>
  </si>
  <si>
    <t>Großaitingen</t>
  </si>
  <si>
    <t>Großalbershof</t>
  </si>
  <si>
    <t>Großalfalterbach</t>
  </si>
  <si>
    <t>Großanhausen</t>
  </si>
  <si>
    <t>Großarmschlag</t>
  </si>
  <si>
    <t>Grössau</t>
  </si>
  <si>
    <t>Großbardorf</t>
  </si>
  <si>
    <t>Großbellhofen</t>
  </si>
  <si>
    <t>Großberg</t>
  </si>
  <si>
    <t>Großberghausen</t>
  </si>
  <si>
    <t>Großberghofen</t>
  </si>
  <si>
    <t>Großbirkach</t>
  </si>
  <si>
    <t>Großbissendorf</t>
  </si>
  <si>
    <t>Großblankenbach</t>
  </si>
  <si>
    <t>Großbrannenberg</t>
  </si>
  <si>
    <t>Großbreitenbronn</t>
  </si>
  <si>
    <t>Großdechsendorf</t>
  </si>
  <si>
    <t>Großeibstadt</t>
  </si>
  <si>
    <t>Großenbrach</t>
  </si>
  <si>
    <t>Großenbuch</t>
  </si>
  <si>
    <t>Großengsee</t>
  </si>
  <si>
    <t>Großenpinning</t>
  </si>
  <si>
    <t>Großenried</t>
  </si>
  <si>
    <t>Großenschwand</t>
  </si>
  <si>
    <t>Großenseebach</t>
  </si>
  <si>
    <t>Großensees</t>
  </si>
  <si>
    <t>Großensterz</t>
  </si>
  <si>
    <t>Großenzenried</t>
  </si>
  <si>
    <t>Großer Auersberg</t>
  </si>
  <si>
    <t>Großetzenberg</t>
  </si>
  <si>
    <t>Großgarnstadt</t>
  </si>
  <si>
    <t>Großgeschaidt</t>
  </si>
  <si>
    <t>Großgressingen</t>
  </si>
  <si>
    <t>Großgründlach</t>
  </si>
  <si>
    <t>Großgundertshausen</t>
  </si>
  <si>
    <t>Großhaager Forst</t>
  </si>
  <si>
    <t>Großhadern</t>
  </si>
  <si>
    <t>Großharbach</t>
  </si>
  <si>
    <t>Großhaslach</t>
  </si>
  <si>
    <t>Großheubach</t>
  </si>
  <si>
    <t>Großhöbing</t>
  </si>
  <si>
    <t>Großholzhausen</t>
  </si>
  <si>
    <t>Großinzemoos</t>
  </si>
  <si>
    <t>Großkahl</t>
  </si>
  <si>
    <t>Großkarolinenfeld</t>
  </si>
  <si>
    <t>Großkissendorf</t>
  </si>
  <si>
    <t>Großkitzighofen</t>
  </si>
  <si>
    <t>Großklenau</t>
  </si>
  <si>
    <t>Großköllnbach</t>
  </si>
  <si>
    <t>Großkonreuth</t>
  </si>
  <si>
    <t>Großkötz</t>
  </si>
  <si>
    <t>Großlangheim</t>
  </si>
  <si>
    <t>Großlaudenbach</t>
  </si>
  <si>
    <t>Großlellenfeld</t>
  </si>
  <si>
    <t>Großmisselberg</t>
  </si>
  <si>
    <t>Großmuß</t>
  </si>
  <si>
    <t>Großnöbach</t>
  </si>
  <si>
    <t>Großnottersdorf</t>
  </si>
  <si>
    <t>Großostheim</t>
  </si>
  <si>
    <t>Großprüfening</t>
  </si>
  <si>
    <t>Großreuth b.Schweinau</t>
  </si>
  <si>
    <t>Großreuth h.d.Veste</t>
  </si>
  <si>
    <t>Großschönbrunn</t>
  </si>
  <si>
    <t>Großschwarzenlohe</t>
  </si>
  <si>
    <t>Großsorheim</t>
  </si>
  <si>
    <t>Großvichtach</t>
  </si>
  <si>
    <t>Großwalbur</t>
  </si>
  <si>
    <t>Großwallstadt</t>
  </si>
  <si>
    <t>Großweil</t>
  </si>
  <si>
    <t>Großweingarten</t>
  </si>
  <si>
    <t>Großweismannsdorf</t>
  </si>
  <si>
    <t>Großwelzheim</t>
  </si>
  <si>
    <t>Großwendern</t>
  </si>
  <si>
    <t>Großwenkheim</t>
  </si>
  <si>
    <t>Großziegenfeld</t>
  </si>
  <si>
    <t>Schönbrunn i.Steigerwald</t>
  </si>
  <si>
    <t>Grün</t>
  </si>
  <si>
    <t>Grünbach</t>
  </si>
  <si>
    <t>Grünberg</t>
  </si>
  <si>
    <t>Grünenbaindt</t>
  </si>
  <si>
    <t>Grünlas</t>
  </si>
  <si>
    <t>Grünmorsbach</t>
  </si>
  <si>
    <t>Grünreuth</t>
  </si>
  <si>
    <t>Grünsberg</t>
  </si>
  <si>
    <t>Grünstein</t>
  </si>
  <si>
    <t>Grüntegernbach</t>
  </si>
  <si>
    <t>Grünthal</t>
  </si>
  <si>
    <t>Grünthal I</t>
  </si>
  <si>
    <t>Grünthal II</t>
  </si>
  <si>
    <t>Grünwald</t>
  </si>
  <si>
    <t>Grünwalder Forst</t>
  </si>
  <si>
    <t>Gückelhirn</t>
  </si>
  <si>
    <t>Gülchsheim</t>
  </si>
  <si>
    <t>Günching</t>
  </si>
  <si>
    <t>Gundelsheim a.d.Altmühl</t>
  </si>
  <si>
    <t>Günding</t>
  </si>
  <si>
    <t>Gündlkofen</t>
  </si>
  <si>
    <t>Güntersleben</t>
  </si>
  <si>
    <t>Günthersbühl</t>
  </si>
  <si>
    <t>Günthersbühler Forst</t>
  </si>
  <si>
    <t>Günz</t>
  </si>
  <si>
    <t>Günzach</t>
  </si>
  <si>
    <t>Günzenhausen</t>
  </si>
  <si>
    <t>Günzersreuth</t>
  </si>
  <si>
    <t>Günzlhofen</t>
  </si>
  <si>
    <t>Gützingen</t>
  </si>
  <si>
    <t>Haarbrücken</t>
  </si>
  <si>
    <t>Nüdlingen</t>
  </si>
  <si>
    <t>Häder</t>
  </si>
  <si>
    <t>Hadermannsgrün</t>
  </si>
  <si>
    <t>Münsterhausen</t>
  </si>
  <si>
    <t>Hähnles</t>
  </si>
  <si>
    <t>Haibühl</t>
  </si>
  <si>
    <t>Haidengrün</t>
  </si>
  <si>
    <t>Sünching</t>
  </si>
  <si>
    <t>Röthenbach a.d.Pegnitz</t>
  </si>
  <si>
    <t>Haingrün</t>
  </si>
  <si>
    <t>Neusäß</t>
  </si>
  <si>
    <t>Hallersteiner Forst-Süd</t>
  </si>
  <si>
    <t>Hambühl</t>
  </si>
  <si>
    <t>Heßdorf</t>
  </si>
  <si>
    <t>Hannersgrün</t>
  </si>
  <si>
    <t>Haselbach i.d.Rhön</t>
  </si>
  <si>
    <t>Kühbach</t>
  </si>
  <si>
    <t>Haßlach</t>
  </si>
  <si>
    <t>Haßlach b.Kronach</t>
  </si>
  <si>
    <t>Haßmoning</t>
  </si>
  <si>
    <t>Haßwald-Nord</t>
  </si>
  <si>
    <t>Haßwald-Süd</t>
  </si>
  <si>
    <t>Haunzenbergersöll</t>
  </si>
  <si>
    <t>Häuselstein</t>
  </si>
  <si>
    <t>Häuslarn</t>
  </si>
  <si>
    <t>Röthlein</t>
  </si>
  <si>
    <t>Heigenbrücken</t>
  </si>
  <si>
    <t>Kirchheim b.München</t>
  </si>
  <si>
    <t>Heppstädt</t>
  </si>
  <si>
    <t>Heßbach</t>
  </si>
  <si>
    <t>Heßlar</t>
  </si>
  <si>
    <t>Höchberg</t>
  </si>
  <si>
    <t>Höchensee</t>
  </si>
  <si>
    <t>Weßling</t>
  </si>
  <si>
    <t>Höchstädt i.Fichtelgebirge</t>
  </si>
  <si>
    <t>Hochstätt</t>
  </si>
  <si>
    <t>Höcking</t>
  </si>
  <si>
    <t>Höfa</t>
  </si>
  <si>
    <t>Höfen</t>
  </si>
  <si>
    <t>Höfen b.Rattelsdorf</t>
  </si>
  <si>
    <t>Höferänger</t>
  </si>
  <si>
    <t>Höflas</t>
  </si>
  <si>
    <t>Höfles</t>
  </si>
  <si>
    <t>Hofstädten</t>
  </si>
  <si>
    <t>Schöllkrippen</t>
  </si>
  <si>
    <t>Höfstetten</t>
  </si>
  <si>
    <t>Hög</t>
  </si>
  <si>
    <t>Högl</t>
  </si>
  <si>
    <t>Högling</t>
  </si>
  <si>
    <t>Höglwald</t>
  </si>
  <si>
    <t>Höhenberg</t>
  </si>
  <si>
    <t>Hohengüßbach</t>
  </si>
  <si>
    <t>Hohenhäusling</t>
  </si>
  <si>
    <t>Höhenkirchen</t>
  </si>
  <si>
    <t>Höhenmoos</t>
  </si>
  <si>
    <t>Hohenpeißenberg</t>
  </si>
  <si>
    <t>Hohenpölz</t>
  </si>
  <si>
    <t>Höhenrain</t>
  </si>
  <si>
    <t>Hohentrüdingen</t>
  </si>
  <si>
    <t>Höhn</t>
  </si>
  <si>
    <t>Höll</t>
  </si>
  <si>
    <t>Höll u.Haid</t>
  </si>
  <si>
    <t>Höllrich</t>
  </si>
  <si>
    <t>Hölsbrunn</t>
  </si>
  <si>
    <t>Holzgünz</t>
  </si>
  <si>
    <t>Horb b.Fürth a.Berg</t>
  </si>
  <si>
    <t>Hörbach</t>
  </si>
  <si>
    <t>Hörbering</t>
  </si>
  <si>
    <t>Hörblach</t>
  </si>
  <si>
    <t>Hörlbach</t>
  </si>
  <si>
    <t>Hörmannsberg</t>
  </si>
  <si>
    <t>Hörmannsdorf</t>
  </si>
  <si>
    <t>Hörstein</t>
  </si>
  <si>
    <t>Hörzhausen</t>
  </si>
  <si>
    <t>Höslwang</t>
  </si>
  <si>
    <t>Hötzing</t>
  </si>
  <si>
    <t>Kößlarn</t>
  </si>
  <si>
    <t>Königsfeld</t>
  </si>
  <si>
    <t>Hürben</t>
  </si>
  <si>
    <t>Hürnheim</t>
  </si>
  <si>
    <t>Hüssingen</t>
  </si>
  <si>
    <t>Hütten</t>
  </si>
  <si>
    <t>Hüttenbach</t>
  </si>
  <si>
    <t>Hüttendorf</t>
  </si>
  <si>
    <t>Hüttenhausen</t>
  </si>
  <si>
    <t>Hüttenheim i.Bay.</t>
  </si>
  <si>
    <t>Hüttenkofen</t>
  </si>
  <si>
    <t>Hütting</t>
  </si>
  <si>
    <t>Vöhringen</t>
  </si>
  <si>
    <t>Ilmmünster</t>
  </si>
  <si>
    <t>Irlahüll</t>
  </si>
  <si>
    <t>Türkheim</t>
  </si>
  <si>
    <t>Töpen</t>
  </si>
  <si>
    <t>Jägerndorf</t>
  </si>
  <si>
    <t>Järkendorf</t>
  </si>
  <si>
    <t>Jeßling</t>
  </si>
  <si>
    <t>Käferhölzlein u.Eichelberg</t>
  </si>
  <si>
    <t>Kälberau</t>
  </si>
  <si>
    <t>Karmensölden</t>
  </si>
  <si>
    <t>Kästel</t>
  </si>
  <si>
    <t>Ködnitz</t>
  </si>
  <si>
    <t>Kehlmünz</t>
  </si>
  <si>
    <t>Kellmünz a.d.Iller</t>
  </si>
  <si>
    <t>Kettenhöfstetten</t>
  </si>
  <si>
    <t>Kevenhüll</t>
  </si>
  <si>
    <t>Kirchanschöring</t>
  </si>
  <si>
    <t>Kirchröttenbach</t>
  </si>
  <si>
    <t>Kirchschönbach</t>
  </si>
  <si>
    <t>Kirchstätt</t>
  </si>
  <si>
    <t>Klafferstraß</t>
  </si>
  <si>
    <t>Klauswald-Süd</t>
  </si>
  <si>
    <t>Kleindöbra</t>
  </si>
  <si>
    <t>Kleinhöbing</t>
  </si>
  <si>
    <t>Kleinkötz</t>
  </si>
  <si>
    <t>Kleinmünster</t>
  </si>
  <si>
    <t>Kleinprüfening</t>
  </si>
  <si>
    <t>Möhrendorf</t>
  </si>
  <si>
    <t>Kleinweidenmühle</t>
  </si>
  <si>
    <t>Köfering</t>
  </si>
  <si>
    <t>Köhler</t>
  </si>
  <si>
    <t>Kölburg</t>
  </si>
  <si>
    <t>Köllnholz</t>
  </si>
  <si>
    <t>Köngetried</t>
  </si>
  <si>
    <t>Könghausen</t>
  </si>
  <si>
    <t>Königbach</t>
  </si>
  <si>
    <t>Königsbrunn</t>
  </si>
  <si>
    <t>Königsdorf</t>
  </si>
  <si>
    <t>Königshofen a.d.Heide</t>
  </si>
  <si>
    <t>Königshofen a.d.Kahl</t>
  </si>
  <si>
    <t>Königssee</t>
  </si>
  <si>
    <t>Körbeldorf</t>
  </si>
  <si>
    <t>Kornhöfstadt</t>
  </si>
  <si>
    <t>Körzendorf</t>
  </si>
  <si>
    <t>Kösfeld</t>
  </si>
  <si>
    <t>Köslau</t>
  </si>
  <si>
    <t>Kössain</t>
  </si>
  <si>
    <t>Kößnach</t>
  </si>
  <si>
    <t>Kösten</t>
  </si>
  <si>
    <t>Köstenberg</t>
  </si>
  <si>
    <t>Kötsch</t>
  </si>
  <si>
    <t>Köttel</t>
  </si>
  <si>
    <t>Kottingwörth</t>
  </si>
  <si>
    <t>Köttweinsdorf</t>
  </si>
  <si>
    <t>Kötzersdorf</t>
  </si>
  <si>
    <t>Kötzersricht</t>
  </si>
  <si>
    <t>Kröblitz</t>
  </si>
  <si>
    <t>Krögelstein</t>
  </si>
  <si>
    <t>Kröttenbach</t>
  </si>
  <si>
    <t>Krün</t>
  </si>
  <si>
    <t>Kühlenfels</t>
  </si>
  <si>
    <t>Kühlenthal</t>
  </si>
  <si>
    <t>Kühnham</t>
  </si>
  <si>
    <t>Kühnhausen</t>
  </si>
  <si>
    <t>Kühschwitz</t>
  </si>
  <si>
    <t>Külsheim</t>
  </si>
  <si>
    <t>Kümmel</t>
  </si>
  <si>
    <t>Kürmreuth</t>
  </si>
  <si>
    <t>Kürn</t>
  </si>
  <si>
    <t>Kürnach</t>
  </si>
  <si>
    <t>Kürnacher u.Buchenberger Wald</t>
  </si>
  <si>
    <t>Kützberg</t>
  </si>
  <si>
    <t>Lackenhäuser</t>
  </si>
  <si>
    <t>Lämersdorf</t>
  </si>
  <si>
    <t>Lämmersdorf</t>
  </si>
  <si>
    <t>Längenau</t>
  </si>
  <si>
    <t>Störnstein</t>
  </si>
  <si>
    <t>Lehengütingen</t>
  </si>
  <si>
    <t>Leiten u.Schottenbühl</t>
  </si>
  <si>
    <t>Pürgen</t>
  </si>
  <si>
    <t>Lengenfeld b.Groschlattengrün</t>
  </si>
  <si>
    <t>Maxhütte-Haidhof</t>
  </si>
  <si>
    <t>Leupoldsgrün</t>
  </si>
  <si>
    <t>Stöttwang</t>
  </si>
  <si>
    <t>Lindenberg i.Allgäu</t>
  </si>
  <si>
    <t>Lippertsgrün</t>
  </si>
  <si>
    <t>Löffelsterz</t>
  </si>
  <si>
    <t>Löhlitz</t>
  </si>
  <si>
    <t>Löhlitzer Wald</t>
  </si>
  <si>
    <t>Löhmar</t>
  </si>
  <si>
    <t>Löhrieth</t>
  </si>
  <si>
    <t>Löpsingen</t>
  </si>
  <si>
    <t>Lösau</t>
  </si>
  <si>
    <t>Löschwitz</t>
  </si>
  <si>
    <t>Lülsfeld</t>
  </si>
  <si>
    <t>Lußberg</t>
  </si>
  <si>
    <t>Lußberger Forst</t>
  </si>
  <si>
    <t>Lützelbuch</t>
  </si>
  <si>
    <t>Lützelburg</t>
  </si>
  <si>
    <t>Lützelsdorf</t>
  </si>
  <si>
    <t>Lützenreuth</t>
  </si>
  <si>
    <t>Mäbenberg</t>
  </si>
  <si>
    <t>Mährenhausen</t>
  </si>
  <si>
    <t>Maierhöfen</t>
  </si>
  <si>
    <t>Maingründel</t>
  </si>
  <si>
    <t>Margetshöchheim</t>
  </si>
  <si>
    <t>Münchberg</t>
  </si>
  <si>
    <t>Martinlamitzer Forst-Süd</t>
  </si>
  <si>
    <t>Obersüßbach</t>
  </si>
  <si>
    <t>Martinszell i.Allgäu</t>
  </si>
  <si>
    <t>Marxgrün</t>
  </si>
  <si>
    <t>Maßbach</t>
  </si>
  <si>
    <t>Maßberg</t>
  </si>
  <si>
    <t>Meierhof b.Münchberg</t>
  </si>
  <si>
    <t>Meierhöfer Seite</t>
  </si>
  <si>
    <t>Meißenberg</t>
  </si>
  <si>
    <t>Memhölz</t>
  </si>
  <si>
    <t>Mensengesäß</t>
  </si>
  <si>
    <t>Mönchsdeggingen</t>
  </si>
  <si>
    <t>Meßhofen</t>
  </si>
  <si>
    <t>Meßnerschlag</t>
  </si>
  <si>
    <t>Möckenlohe</t>
  </si>
  <si>
    <t>Mödlitz</t>
  </si>
  <si>
    <t>Mögeldorf</t>
  </si>
  <si>
    <t>Mögendorf</t>
  </si>
  <si>
    <t>Möhren</t>
  </si>
  <si>
    <t>Mömlingen</t>
  </si>
  <si>
    <t>Mönau</t>
  </si>
  <si>
    <t>Mönchberg</t>
  </si>
  <si>
    <t>Mönchherrnsdorf</t>
  </si>
  <si>
    <t>Mönchkröttendorf</t>
  </si>
  <si>
    <t>Mönchröden</t>
  </si>
  <si>
    <t>Mönchrödener Forst</t>
  </si>
  <si>
    <t>Mönchsambach</t>
  </si>
  <si>
    <t>Mönchsberg</t>
  </si>
  <si>
    <t>Mönchsondheim</t>
  </si>
  <si>
    <t>Mönchstockheim</t>
  </si>
  <si>
    <t>Möning</t>
  </si>
  <si>
    <t>Mönstetten</t>
  </si>
  <si>
    <t>Mörgen</t>
  </si>
  <si>
    <t>Mörlach</t>
  </si>
  <si>
    <t>Mörlbach</t>
  </si>
  <si>
    <t>Mörmoosen</t>
  </si>
  <si>
    <t>Tüßling</t>
  </si>
  <si>
    <t>Mörsach</t>
  </si>
  <si>
    <t>Mörsdorf</t>
  </si>
  <si>
    <t>Mörslingen</t>
  </si>
  <si>
    <t>Möslberg</t>
  </si>
  <si>
    <t>Mößling</t>
  </si>
  <si>
    <t>Mottener Forst-Süd</t>
  </si>
  <si>
    <t>Müdesheim</t>
  </si>
  <si>
    <t>Mühlbach</t>
  </si>
  <si>
    <t>Mühldorfer Hart</t>
  </si>
  <si>
    <t>Mühlen</t>
  </si>
  <si>
    <t>Mühlendorf</t>
  </si>
  <si>
    <t>Mühlfeld</t>
  </si>
  <si>
    <t>Mühlheim</t>
  </si>
  <si>
    <t>Mühlhof</t>
  </si>
  <si>
    <t>Mühlried</t>
  </si>
  <si>
    <t>Mühlstetten</t>
  </si>
  <si>
    <t>Röttenbach</t>
  </si>
  <si>
    <t>Münchaurach</t>
  </si>
  <si>
    <t>München 1</t>
  </si>
  <si>
    <t>München, S.2</t>
  </si>
  <si>
    <t>München, S.3</t>
  </si>
  <si>
    <t>München, S.4</t>
  </si>
  <si>
    <t>München, S.5</t>
  </si>
  <si>
    <t>München, S.6</t>
  </si>
  <si>
    <t>München, S.7</t>
  </si>
  <si>
    <t>München, S.8</t>
  </si>
  <si>
    <t>München, S.9</t>
  </si>
  <si>
    <t>Münchenreuth</t>
  </si>
  <si>
    <t>Müncherlbach</t>
  </si>
  <si>
    <t>Münchham</t>
  </si>
  <si>
    <t>Münchnerau</t>
  </si>
  <si>
    <t>Münchsdorf</t>
  </si>
  <si>
    <t>Roßbach</t>
  </si>
  <si>
    <t>Münchshofen</t>
  </si>
  <si>
    <t>Münchsmünster</t>
  </si>
  <si>
    <t>Mündling</t>
  </si>
  <si>
    <t>Münster</t>
  </si>
  <si>
    <t>Münsterschwarzach</t>
  </si>
  <si>
    <t>Mürnsee</t>
  </si>
  <si>
    <t>Mürsbach</t>
  </si>
  <si>
    <t>Tröstau</t>
  </si>
  <si>
    <t>Nähermemmingen</t>
  </si>
  <si>
    <t>Neßlbach</t>
  </si>
  <si>
    <t>Neubäu</t>
  </si>
  <si>
    <t>Neubauer Forst-Süd</t>
  </si>
  <si>
    <t>Neudorf b.Scheßlitz</t>
  </si>
  <si>
    <t>Neuengrün</t>
  </si>
  <si>
    <t>Neugrün</t>
  </si>
  <si>
    <t>Neuköslarn</t>
  </si>
  <si>
    <t>Neumünster</t>
  </si>
  <si>
    <t>Neunußberg</t>
  </si>
  <si>
    <t>Neuschönau</t>
  </si>
  <si>
    <t>Neustädtlein</t>
  </si>
  <si>
    <t>Neustädtlein a.Forst</t>
  </si>
  <si>
    <t>Neustädtles</t>
  </si>
  <si>
    <t>Nordheim v.d.Rhön</t>
  </si>
  <si>
    <t>Neuziegenrück</t>
  </si>
  <si>
    <t>Niederfüllbach</t>
  </si>
  <si>
    <t>Niedermünchsdorf</t>
  </si>
  <si>
    <t>Niederpöring</t>
  </si>
  <si>
    <t>Oberpöring</t>
  </si>
  <si>
    <t>Nöham</t>
  </si>
  <si>
    <t>Nößwartling</t>
  </si>
  <si>
    <t>Nötting</t>
  </si>
  <si>
    <t>Nürnberg-Lorenz</t>
  </si>
  <si>
    <t>Nürnberg-Sebald</t>
  </si>
  <si>
    <t>Nußbühl</t>
  </si>
  <si>
    <t>Nußdorf</t>
  </si>
  <si>
    <t>Nußdorf a.Inn</t>
  </si>
  <si>
    <t>Oberdießen</t>
  </si>
  <si>
    <t>Oberdürrbach</t>
  </si>
  <si>
    <t>Veitshöchheim</t>
  </si>
  <si>
    <t>Obereichstätt</t>
  </si>
  <si>
    <t>Obereßfeld</t>
  </si>
  <si>
    <t>Oberföhring</t>
  </si>
  <si>
    <t>Oberfüllbach</t>
  </si>
  <si>
    <t>Obergoßzell</t>
  </si>
  <si>
    <t>Oberhöchstädt</t>
  </si>
  <si>
    <t>Oberhochstätt</t>
  </si>
  <si>
    <t>Oberköblitz</t>
  </si>
  <si>
    <t>Oberköllnbach</t>
  </si>
  <si>
    <t>Oberköst</t>
  </si>
  <si>
    <t>Oberküps</t>
  </si>
  <si>
    <t>Obermässing</t>
  </si>
  <si>
    <t>Obermögersheim</t>
  </si>
  <si>
    <t>Obermühlbach</t>
  </si>
  <si>
    <t>Obermühlhausen</t>
  </si>
  <si>
    <t>Obermünchen</t>
  </si>
  <si>
    <t>Oberölsbach</t>
  </si>
  <si>
    <t>Oberötzdorf</t>
  </si>
  <si>
    <t>Oberröslau</t>
  </si>
  <si>
    <t>Oberroßbach</t>
  </si>
  <si>
    <t>Oberschleißheim</t>
  </si>
  <si>
    <t>Oberschöllenbach</t>
  </si>
  <si>
    <t>Oberschönbach</t>
  </si>
  <si>
    <t>Oberschönbronn</t>
  </si>
  <si>
    <t>Oberschöneberg</t>
  </si>
  <si>
    <t>Oberschwärzenbach</t>
  </si>
  <si>
    <t>Obersöchering</t>
  </si>
  <si>
    <t>Obersteinbach ob Gmünd</t>
  </si>
  <si>
    <t>Oberthürheim</t>
  </si>
  <si>
    <t>Obertrübenbach</t>
  </si>
  <si>
    <t>Obertürken</t>
  </si>
  <si>
    <t>Oberwappenöst</t>
  </si>
  <si>
    <t>Oberweißenbach</t>
  </si>
  <si>
    <t>Oberweißenbrunn</t>
  </si>
  <si>
    <t>Oberwöhr</t>
  </si>
  <si>
    <t>Oberwössen</t>
  </si>
  <si>
    <t>Unterwössen</t>
  </si>
  <si>
    <t>Öd</t>
  </si>
  <si>
    <t>Österberg</t>
  </si>
  <si>
    <t>Ottengrün</t>
  </si>
  <si>
    <t>Peiß</t>
  </si>
  <si>
    <t>Peppenhöchstädt</t>
  </si>
  <si>
    <t>Petersgmünd</t>
  </si>
  <si>
    <t>Peterswörth</t>
  </si>
  <si>
    <t>Pfäfflingen</t>
  </si>
  <si>
    <t>Pfändhausen</t>
  </si>
  <si>
    <t>Pfünz</t>
  </si>
  <si>
    <t>Pleß</t>
  </si>
  <si>
    <t>Pleußen</t>
  </si>
  <si>
    <t>Plörnbach</t>
  </si>
  <si>
    <t>Plösen</t>
  </si>
  <si>
    <t>Plössen</t>
  </si>
  <si>
    <t>Pöbenhausen</t>
  </si>
  <si>
    <t>Pödeldorf</t>
  </si>
  <si>
    <t>Pölling</t>
  </si>
  <si>
    <t>Pönning</t>
  </si>
  <si>
    <t>Pöring</t>
  </si>
  <si>
    <t>Pörnbach</t>
  </si>
  <si>
    <t>Pörndorf</t>
  </si>
  <si>
    <t>Pösing</t>
  </si>
  <si>
    <t>Pötzmes</t>
  </si>
  <si>
    <t>Prächting</t>
  </si>
  <si>
    <t>Praßreut</t>
  </si>
  <si>
    <t>Preißach</t>
  </si>
  <si>
    <t>Prölsdorf</t>
  </si>
  <si>
    <t>Prönsdorf</t>
  </si>
  <si>
    <t>Proß</t>
  </si>
  <si>
    <t>Prühl</t>
  </si>
  <si>
    <t>Prüll</t>
  </si>
  <si>
    <t>Prünst</t>
  </si>
  <si>
    <t>Prünstfehlburg</t>
  </si>
  <si>
    <t>Prüßberg</t>
  </si>
  <si>
    <t>Pühlheim</t>
  </si>
  <si>
    <t>Pürten</t>
  </si>
  <si>
    <t>Püscheldorf</t>
  </si>
  <si>
    <t>Püssensheim</t>
  </si>
  <si>
    <t>Püttlach</t>
  </si>
  <si>
    <t>Ränkam</t>
  </si>
  <si>
    <t>Rappoltengrün</t>
  </si>
  <si>
    <t>Raßberg</t>
  </si>
  <si>
    <t>Raßreuth</t>
  </si>
  <si>
    <t>Raumetengrün</t>
  </si>
  <si>
    <t>Räumlas</t>
  </si>
  <si>
    <t>Reicholdsgrün</t>
  </si>
  <si>
    <t>Reißing</t>
  </si>
  <si>
    <t>Stötten a.Auerberg</t>
  </si>
  <si>
    <t>Rieden a.d.Kötz</t>
  </si>
  <si>
    <t>Riedhausen b.Günzburg</t>
  </si>
  <si>
    <t>Rinchnachmündt</t>
  </si>
  <si>
    <t>Röbersdorf</t>
  </si>
  <si>
    <t>Röckenhof</t>
  </si>
  <si>
    <t>Röckenhofen</t>
  </si>
  <si>
    <t>Röckenricht</t>
  </si>
  <si>
    <t>Röckersbühl</t>
  </si>
  <si>
    <t>Röckingen</t>
  </si>
  <si>
    <t>Rödelmaier</t>
  </si>
  <si>
    <t>Rodesgrün</t>
  </si>
  <si>
    <t>Rödlas</t>
  </si>
  <si>
    <t>Rödles</t>
  </si>
  <si>
    <t>Röfingen</t>
  </si>
  <si>
    <t>Rögen</t>
  </si>
  <si>
    <t>Rögling</t>
  </si>
  <si>
    <t>Röllbach</t>
  </si>
  <si>
    <t>Röllfeld</t>
  </si>
  <si>
    <t>Römershag</t>
  </si>
  <si>
    <t>Römershager Forst-Nord</t>
  </si>
  <si>
    <t>Römershager Forst-Ost</t>
  </si>
  <si>
    <t>Römershager Forst-Süd</t>
  </si>
  <si>
    <t>Römershager Forst-West</t>
  </si>
  <si>
    <t>Römershofen</t>
  </si>
  <si>
    <t>Roßbacher Forst</t>
  </si>
  <si>
    <t>Roßbrunn</t>
  </si>
  <si>
    <t>Waldbüttelbrunn</t>
  </si>
  <si>
    <t>Roßdorf</t>
  </si>
  <si>
    <t>Roßdorf a.Forst</t>
  </si>
  <si>
    <t>Roßendorf</t>
  </si>
  <si>
    <t>Roßfeld</t>
  </si>
  <si>
    <t>Roßhaupten</t>
  </si>
  <si>
    <t>Roßholzen</t>
  </si>
  <si>
    <t>Roßlach</t>
  </si>
  <si>
    <t>Roßrieth</t>
  </si>
  <si>
    <t>Roßstadt</t>
  </si>
  <si>
    <t>Röthenbach</t>
  </si>
  <si>
    <t>Röthenbach (Allgäu)</t>
  </si>
  <si>
    <t>Röthenbach a.Steinwald</t>
  </si>
  <si>
    <t>Röthenbach b.Altdorf</t>
  </si>
  <si>
    <t>Röthenbach b.Sankt Wolfgang</t>
  </si>
  <si>
    <t>Röthenbach b.Schweinau</t>
  </si>
  <si>
    <t>Rothenbügl</t>
  </si>
  <si>
    <t>Rothenwörth</t>
  </si>
  <si>
    <t>Röttbach</t>
  </si>
  <si>
    <t>Rotter Forst-Süd</t>
  </si>
  <si>
    <t>Rück</t>
  </si>
  <si>
    <t>Rückersbach</t>
  </si>
  <si>
    <t>Rückersdorf</t>
  </si>
  <si>
    <t>Rückersdorfer Forst</t>
  </si>
  <si>
    <t>Rückersrieth</t>
  </si>
  <si>
    <t>Rückholz</t>
  </si>
  <si>
    <t>Rückstetten</t>
  </si>
  <si>
    <t>Rüdenau</t>
  </si>
  <si>
    <t>Rüdenhausen</t>
  </si>
  <si>
    <t>Rüdenschwinden</t>
  </si>
  <si>
    <t>Rüdern</t>
  </si>
  <si>
    <t>Rüdisbronn</t>
  </si>
  <si>
    <t>Rügheim</t>
  </si>
  <si>
    <t>Rügland</t>
  </si>
  <si>
    <t>Rügshofen</t>
  </si>
  <si>
    <t>Rühlingstetten</t>
  </si>
  <si>
    <t>Ruppertshütten</t>
  </si>
  <si>
    <t>Ruppertshüttener Forst</t>
  </si>
  <si>
    <t>Rüsselbach</t>
  </si>
  <si>
    <t>Rüssenbach</t>
  </si>
  <si>
    <t>Rütschenhausen</t>
  </si>
  <si>
    <t>Rüttmannsdorf</t>
  </si>
  <si>
    <t>Sächsenheim</t>
  </si>
  <si>
    <t>Steinhöring</t>
  </si>
  <si>
    <t>Schäferei</t>
  </si>
  <si>
    <t>Schäfstall</t>
  </si>
  <si>
    <t>Schäftlarn</t>
  </si>
  <si>
    <t>Schießen</t>
  </si>
  <si>
    <t>Schloß Frankenberg</t>
  </si>
  <si>
    <t>Schloßberg</t>
  </si>
  <si>
    <t>Schmähingen</t>
  </si>
  <si>
    <t>Schmölz</t>
  </si>
  <si>
    <t>Schnabelwaider Kütschenrain</t>
  </si>
  <si>
    <t>Schöffau</t>
  </si>
  <si>
    <t>Schöffelding</t>
  </si>
  <si>
    <t>Schöfthal</t>
  </si>
  <si>
    <t>Schöllang</t>
  </si>
  <si>
    <t>Schöllkrippener Forst</t>
  </si>
  <si>
    <t>Schönach</t>
  </si>
  <si>
    <t>Schönaich</t>
  </si>
  <si>
    <t>Schönau</t>
  </si>
  <si>
    <t>Schönbach</t>
  </si>
  <si>
    <t>Schönbrunn</t>
  </si>
  <si>
    <t>Schönbrunn a.Lusen</t>
  </si>
  <si>
    <t>Schönderling</t>
  </si>
  <si>
    <t>Schönebach</t>
  </si>
  <si>
    <t>Schöneberg</t>
  </si>
  <si>
    <t>Schönenberg</t>
  </si>
  <si>
    <t>Schönesberg</t>
  </si>
  <si>
    <t>Schönfeld</t>
  </si>
  <si>
    <t>Schönficht</t>
  </si>
  <si>
    <t>Schöngeising</t>
  </si>
  <si>
    <t>Schöngras</t>
  </si>
  <si>
    <t>Schönhaid</t>
  </si>
  <si>
    <t>Schönhofen</t>
  </si>
  <si>
    <t>Schönkirch</t>
  </si>
  <si>
    <t>Schönleiten</t>
  </si>
  <si>
    <t>Schönrain</t>
  </si>
  <si>
    <t>Schönramer Filz</t>
  </si>
  <si>
    <t>Schönreuth</t>
  </si>
  <si>
    <t>Schönstädt</t>
  </si>
  <si>
    <t>Schönstein</t>
  </si>
  <si>
    <t>Schützing</t>
  </si>
  <si>
    <t>Schwabmühlhausen</t>
  </si>
  <si>
    <t>Schwand b.Nürnberg</t>
  </si>
  <si>
    <t>Schwärzdorf</t>
  </si>
  <si>
    <t>Schwärzelbach</t>
  </si>
  <si>
    <t>Schwörsheim</t>
  </si>
  <si>
    <t>Schwürbitz</t>
  </si>
  <si>
    <t>Selb-Plößberg</t>
  </si>
  <si>
    <t>Sengenbühl</t>
  </si>
  <si>
    <t>Seußen</t>
  </si>
  <si>
    <t>Seußling</t>
  </si>
  <si>
    <t>Söchtenau</t>
  </si>
  <si>
    <t>Söcking</t>
  </si>
  <si>
    <t>Söldenau</t>
  </si>
  <si>
    <t>Söllhuben</t>
  </si>
  <si>
    <t>Söllitz</t>
  </si>
  <si>
    <t>Sömmersdorf</t>
  </si>
  <si>
    <t>Sondheim v.d.Rhön</t>
  </si>
  <si>
    <t>Sonnefelder Forst-Süd</t>
  </si>
  <si>
    <t>Sornhüll</t>
  </si>
  <si>
    <t>Spöck</t>
  </si>
  <si>
    <t>Stätzling</t>
  </si>
  <si>
    <t>Stein i.Allgäu</t>
  </si>
  <si>
    <t>Steinach bei Merching</t>
  </si>
  <si>
    <t>Steinbach b.Geroldsgrün</t>
  </si>
  <si>
    <t>Steinbühl</t>
  </si>
  <si>
    <t>Steinebach a.Wörthsee</t>
  </si>
  <si>
    <t>Stierhöfstetten</t>
  </si>
  <si>
    <t>Stöckach</t>
  </si>
  <si>
    <t>Stöckelsberg</t>
  </si>
  <si>
    <t>Stockmühle</t>
  </si>
  <si>
    <t>Stöppach</t>
  </si>
  <si>
    <t>Straß</t>
  </si>
  <si>
    <t>Straßberg</t>
  </si>
  <si>
    <t>Straßbessenbach</t>
  </si>
  <si>
    <t>Straßdorf</t>
  </si>
  <si>
    <t>Straßgiech</t>
  </si>
  <si>
    <t>Straßlach</t>
  </si>
  <si>
    <t>Straußdorf</t>
  </si>
  <si>
    <t>Strössendorf</t>
  </si>
  <si>
    <t>Strüth</t>
  </si>
  <si>
    <t>Stübach</t>
  </si>
  <si>
    <t>Stübig</t>
  </si>
  <si>
    <t>Stücht</t>
  </si>
  <si>
    <t>Sulzbürg</t>
  </si>
  <si>
    <t>Sülzfeld</t>
  </si>
  <si>
    <t>Sündersbühl</t>
  </si>
  <si>
    <t>Sünzhausen</t>
  </si>
  <si>
    <t>Süß</t>
  </si>
  <si>
    <t>Süssenbach</t>
  </si>
  <si>
    <t>Täfertingen</t>
  </si>
  <si>
    <t>Taxöldern</t>
  </si>
  <si>
    <t>Thansüß</t>
  </si>
  <si>
    <t>Theißing</t>
  </si>
  <si>
    <t>Thölau</t>
  </si>
  <si>
    <t>Thüngen</t>
  </si>
  <si>
    <t>Thüngersheim</t>
  </si>
  <si>
    <t>Thüngfeld</t>
  </si>
  <si>
    <t>Thürnhofen</t>
  </si>
  <si>
    <t>Thürnthenning</t>
  </si>
  <si>
    <t>Tiefengrün</t>
  </si>
  <si>
    <t>Tiefenhöchstadt</t>
  </si>
  <si>
    <t>Tiefenpölz</t>
  </si>
  <si>
    <t>Tiefenstürmig</t>
  </si>
  <si>
    <t>Tödtenried</t>
  </si>
  <si>
    <t>Töging</t>
  </si>
  <si>
    <t>Töging a.Inn</t>
  </si>
  <si>
    <t>Törring</t>
  </si>
  <si>
    <t>Törwang</t>
  </si>
  <si>
    <t>Tragelhöchstädt</t>
  </si>
  <si>
    <t>Traishöchstädt</t>
  </si>
  <si>
    <t>Traßlberg</t>
  </si>
  <si>
    <t>Tröbes</t>
  </si>
  <si>
    <t>Tröstauer Forst-Ost</t>
  </si>
  <si>
    <t>Tröstauer Forst-West</t>
  </si>
  <si>
    <t>Trübenbach</t>
  </si>
  <si>
    <t>Tüchersfeld</t>
  </si>
  <si>
    <t>Tückelhausen</t>
  </si>
  <si>
    <t>Tüntenhausen</t>
  </si>
  <si>
    <t>Tünzhausen</t>
  </si>
  <si>
    <t>Türkenfeld</t>
  </si>
  <si>
    <t>Tüschnitz</t>
  </si>
  <si>
    <t>Tütschengereuth</t>
  </si>
  <si>
    <t>Überacker</t>
  </si>
  <si>
    <t>Überbach</t>
  </si>
  <si>
    <t>Übermatzhofen</t>
  </si>
  <si>
    <t>Übersee</t>
  </si>
  <si>
    <t>Ulrichsgrün</t>
  </si>
  <si>
    <t>Unterbürg</t>
  </si>
  <si>
    <t>Unterdürrbach</t>
  </si>
  <si>
    <t>Untereßfeld</t>
  </si>
  <si>
    <t>Unterföhring</t>
  </si>
  <si>
    <t>Unterhöft</t>
  </si>
  <si>
    <t>Unterhöhenstetten</t>
  </si>
  <si>
    <t>Untermässing</t>
  </si>
  <si>
    <t>Untermühlhausen</t>
  </si>
  <si>
    <t>Unterrödel</t>
  </si>
  <si>
    <t>Unterschleißheim</t>
  </si>
  <si>
    <t>Unterschöllenbach</t>
  </si>
  <si>
    <t>Unterschöneberg</t>
  </si>
  <si>
    <t>Unterstürmig</t>
  </si>
  <si>
    <t>Unterthürheim</t>
  </si>
  <si>
    <t>Unterweißenbach</t>
  </si>
  <si>
    <t>Unterweißenbrunn</t>
  </si>
  <si>
    <t>Vasbühl</t>
  </si>
  <si>
    <t>Vögnitz</t>
  </si>
  <si>
    <t>Völkershausen</t>
  </si>
  <si>
    <t>Völkersleier</t>
  </si>
  <si>
    <t>Volkmannsgrün</t>
  </si>
  <si>
    <t>Vorderthürn</t>
  </si>
  <si>
    <t>Vötting</t>
  </si>
  <si>
    <t>Wächtering</t>
  </si>
  <si>
    <t>Wadlhauser Gräben</t>
  </si>
  <si>
    <t>Walberngrün</t>
  </si>
  <si>
    <t>Wald b.Winhöring</t>
  </si>
  <si>
    <t>Waldhäuslein</t>
  </si>
  <si>
    <t>Warmensteinacher Forst-Süd</t>
  </si>
  <si>
    <t>Wässerndorf</t>
  </si>
  <si>
    <t>Weickersgrüben</t>
  </si>
  <si>
    <t>Weidesgrün</t>
  </si>
  <si>
    <t>Weihmörting</t>
  </si>
  <si>
    <t>Weiler i.Allgäu</t>
  </si>
  <si>
    <t>Weißbach a.d.Alpenstraße</t>
  </si>
  <si>
    <t>Weißbacher Forst</t>
  </si>
  <si>
    <t>Weißenbach</t>
  </si>
  <si>
    <t>Weißenberg</t>
  </si>
  <si>
    <t>Weißenbronn</t>
  </si>
  <si>
    <t>Weißenbrunn a.Forst</t>
  </si>
  <si>
    <t>Weißenbrunn vorm Wald</t>
  </si>
  <si>
    <t>Weißenohe</t>
  </si>
  <si>
    <t>Weißenregen</t>
  </si>
  <si>
    <t>Weißensberg</t>
  </si>
  <si>
    <t>Weißensee</t>
  </si>
  <si>
    <t>Weißenstadter Forst-Nord</t>
  </si>
  <si>
    <t>Weißenstadter Forst-Süd</t>
  </si>
  <si>
    <t>Weißenstein</t>
  </si>
  <si>
    <t>Wenighösbach</t>
  </si>
  <si>
    <t>Wenigmünchen</t>
  </si>
  <si>
    <t>Windheim/Münnerstadt</t>
  </si>
  <si>
    <t>Windischengrün</t>
  </si>
  <si>
    <t>Wohlmuthshüll</t>
  </si>
  <si>
    <t>Wöhrd</t>
  </si>
  <si>
    <t>Wölbattendorf</t>
  </si>
  <si>
    <t>Wolfersgrün</t>
  </si>
  <si>
    <t>Wolfsmünster</t>
  </si>
  <si>
    <t>Wölkendorf</t>
  </si>
  <si>
    <t>Wölsau</t>
  </si>
  <si>
    <t>Wölsauerhammer</t>
  </si>
  <si>
    <t>Wörleschwang</t>
  </si>
  <si>
    <t>Wörlsdorf</t>
  </si>
  <si>
    <t>Wörnitzhofen</t>
  </si>
  <si>
    <t>Wörnitzostheim</t>
  </si>
  <si>
    <t>Wörnitzstein</t>
  </si>
  <si>
    <t>Wörnsmühl</t>
  </si>
  <si>
    <t>Wörth</t>
  </si>
  <si>
    <t>Wörth a.d.Isar</t>
  </si>
  <si>
    <t>Wörth a.Main</t>
  </si>
  <si>
    <t>Wötzelsdorf</t>
  </si>
  <si>
    <t>Wülfershausen</t>
  </si>
  <si>
    <t>Wülfersreuth</t>
  </si>
  <si>
    <t>Wülflingen</t>
  </si>
  <si>
    <t>Wülzburg</t>
  </si>
  <si>
    <t>Würding</t>
  </si>
  <si>
    <t>Würgau</t>
  </si>
  <si>
    <t>Wüstenahorn</t>
  </si>
  <si>
    <t>Wüstendorf</t>
  </si>
  <si>
    <t>Wüstenfelden</t>
  </si>
  <si>
    <t>Wüstenselbitz</t>
  </si>
  <si>
    <t>Wüstenstein</t>
  </si>
  <si>
    <t>Wüstenwelsberg</t>
  </si>
  <si>
    <t>Wüstenzell</t>
  </si>
  <si>
    <t>Ziegelhüttener Forst</t>
  </si>
  <si>
    <t>Zöschingen</t>
  </si>
  <si>
    <t>Zückshut</t>
  </si>
  <si>
    <t>Zückshuter Forst</t>
  </si>
  <si>
    <t>Zwerchstraß</t>
  </si>
  <si>
    <t>Mittlerer Jahresniederschlag je Gemarkung</t>
  </si>
  <si>
    <t>Ausscheidung</t>
  </si>
  <si>
    <t>Nutzung durch Weide in % des Aufwuchses</t>
  </si>
  <si>
    <t>Hier können eigene Notizen gemacht werden:</t>
  </si>
  <si>
    <t>Nährstoffanfall Weide</t>
  </si>
  <si>
    <t>Hinweis</t>
  </si>
  <si>
    <t xml:space="preserve">Beleg über </t>
  </si>
  <si>
    <t>Fütterungsverfahren</t>
  </si>
  <si>
    <t>1=ja</t>
  </si>
  <si>
    <t>Hinweis über</t>
  </si>
  <si>
    <t>Beleg Fütterung</t>
  </si>
  <si>
    <t>notwendig</t>
  </si>
  <si>
    <t xml:space="preserve">  Mastschweine (750 g TZ), stark N-/P-reduziert *</t>
  </si>
  <si>
    <t xml:space="preserve">  Mastschweine (850 g TZ), stark N-/P-reduziert *</t>
  </si>
  <si>
    <t xml:space="preserve">      * Fütterungsverfahren muss belegt werden!</t>
  </si>
  <si>
    <t>Fresseraufzucht (80-210 kg), Standardfutter</t>
  </si>
  <si>
    <t>Fresseraufzucht (80-210 kg), N-/P-reduziert</t>
  </si>
  <si>
    <t xml:space="preserve">  Fresseraufzucht (80-210 kg), Standardfutter</t>
  </si>
  <si>
    <t xml:space="preserve">  Fresseraufzucht (80-210 kg), N-/P-reduziert</t>
  </si>
  <si>
    <r>
      <t>Notwendiger Lagerraum 2022</t>
    </r>
    <r>
      <rPr>
        <sz val="12"/>
        <rFont val="Arial"/>
        <family val="2"/>
      </rPr>
      <t xml:space="preserve"> (</t>
    </r>
    <r>
      <rPr>
        <sz val="10"/>
        <rFont val="Arial"/>
        <family val="2"/>
      </rPr>
      <t>bei den angegebenen Tieren und Flächen</t>
    </r>
    <r>
      <rPr>
        <vertAlign val="superscript"/>
        <sz val="10"/>
        <rFont val="Arial"/>
        <family val="2"/>
      </rPr>
      <t>2)</t>
    </r>
    <r>
      <rPr>
        <sz val="10"/>
        <rFont val="Arial"/>
        <family val="2"/>
      </rPr>
      <t xml:space="preserve">) </t>
    </r>
  </si>
  <si>
    <t>Ferkel</t>
  </si>
  <si>
    <t>Zuchtsau</t>
  </si>
  <si>
    <t>Einstallgewicht kg</t>
  </si>
  <si>
    <t>Ausstallgewicht kg</t>
  </si>
  <si>
    <t>tägliche Zunahme g</t>
  </si>
  <si>
    <t>Verkaufsgewicht</t>
  </si>
  <si>
    <t>Gewicht</t>
  </si>
  <si>
    <t>Tägl. Zunahmen // über alle Fütterungsverfahren // abhängig von tägl. Zunahme</t>
  </si>
  <si>
    <t>GV // über alle Fütterungsverfahren // abhängig von tägl. Zunahme</t>
  </si>
  <si>
    <t>Gülleanfall // über alle Fütterungsverfahren // abhängig von tägl. Zunahme</t>
  </si>
  <si>
    <t>Jaucheanfall hoch// über alle Fütterungsverfahren // abhängig von tägl. Zunahme</t>
  </si>
  <si>
    <t>Universalmast</t>
  </si>
  <si>
    <t>2-Phasen-Mast, N- und P-reduziert</t>
  </si>
  <si>
    <t>3-Phasen-Mast, stark N- und P-reduziert</t>
  </si>
  <si>
    <t>3-Phasen-Mast, sehr stark N- und P-reduziert</t>
  </si>
  <si>
    <t>Ferkel, Universalmast</t>
  </si>
  <si>
    <t>Ferkel, N- und P-reduziert</t>
  </si>
  <si>
    <t>Ferkel, stark N- und P-reduziert</t>
  </si>
  <si>
    <t>Ferkel, sehr stark N- und P-reduziert</t>
  </si>
  <si>
    <t>TS MIST</t>
  </si>
  <si>
    <t>700 g TZ</t>
  </si>
  <si>
    <t>750 g TZ</t>
  </si>
  <si>
    <t>850 g TZ</t>
  </si>
  <si>
    <t>950 g TZ</t>
  </si>
  <si>
    <t>1050 g TZ</t>
  </si>
  <si>
    <t>450 g TZ</t>
  </si>
  <si>
    <t>500 g TZ</t>
  </si>
  <si>
    <t>Basisdaten auch kleiner</t>
  </si>
  <si>
    <t>1050g TZ</t>
  </si>
  <si>
    <t xml:space="preserve">450 g TZ </t>
  </si>
  <si>
    <t>500g TZ</t>
  </si>
  <si>
    <t>Mastschwein</t>
  </si>
  <si>
    <t>TS Geringe Einstreu</t>
  </si>
  <si>
    <t>TS mittlere Einstreu</t>
  </si>
  <si>
    <t>TS Hohe Einstreu</t>
  </si>
  <si>
    <t>kg LM</t>
  </si>
  <si>
    <t>tägl. Zunahmen</t>
  </si>
  <si>
    <t>Tage</t>
  </si>
  <si>
    <t>N-Ausscheidung kg</t>
  </si>
  <si>
    <t>P2O5-Ausscheidung kg</t>
  </si>
  <si>
    <t>K2O-Ausscheidung kg</t>
  </si>
  <si>
    <t>geringe Einstreu</t>
  </si>
  <si>
    <t>mittlere Einstreu</t>
  </si>
  <si>
    <t>hohe Einstreu</t>
  </si>
  <si>
    <t>TZ Mastschwein g</t>
  </si>
  <si>
    <t>TZ korrigiert nach EG/AG</t>
  </si>
  <si>
    <t>N nach DüV neu</t>
  </si>
  <si>
    <t>P nach DüV neu</t>
  </si>
  <si>
    <t>K nach DüV neu</t>
  </si>
  <si>
    <t>Jauche hoch</t>
  </si>
  <si>
    <t>Mist gering</t>
  </si>
  <si>
    <t>Mist mittel</t>
  </si>
  <si>
    <t>Mist hoch</t>
  </si>
  <si>
    <t>Tage &lt; 28 kg</t>
  </si>
  <si>
    <t>Tage &gt; 28 kg</t>
  </si>
  <si>
    <t>TZ</t>
  </si>
  <si>
    <t>&lt;28 kg</t>
  </si>
  <si>
    <t>&gt; 28 kg</t>
  </si>
  <si>
    <r>
      <t xml:space="preserve">Ausscheidung </t>
    </r>
    <r>
      <rPr>
        <sz val="10"/>
        <color theme="1"/>
        <rFont val="Calibri"/>
        <family val="2"/>
        <scheme val="minor"/>
      </rPr>
      <t>kg / mittlerer Jahresbestand</t>
    </r>
  </si>
  <si>
    <r>
      <t>Mistanfall</t>
    </r>
    <r>
      <rPr>
        <sz val="10"/>
        <rFont val="Arial"/>
        <family val="2"/>
      </rPr>
      <t xml:space="preserve"> </t>
    </r>
    <r>
      <rPr>
        <sz val="10"/>
        <color theme="1"/>
        <rFont val="Calibri"/>
        <family val="2"/>
        <scheme val="minor"/>
      </rPr>
      <t>t/mittlerer Jahresbest.</t>
    </r>
  </si>
  <si>
    <r>
      <t>TS-Gehalt</t>
    </r>
    <r>
      <rPr>
        <sz val="12"/>
        <color theme="1"/>
        <rFont val="Calibri"/>
        <family val="2"/>
        <scheme val="minor"/>
      </rPr>
      <t xml:space="preserve"> (%)</t>
    </r>
  </si>
  <si>
    <r>
      <t xml:space="preserve">Einstreumenge </t>
    </r>
    <r>
      <rPr>
        <sz val="10"/>
        <color theme="1"/>
        <rFont val="Calibri"/>
        <family val="2"/>
        <scheme val="minor"/>
      </rPr>
      <t>kg/GV und Tag</t>
    </r>
  </si>
  <si>
    <t>Verfahren</t>
  </si>
  <si>
    <t xml:space="preserve">Ausstallgewicht kg </t>
  </si>
  <si>
    <r>
      <t>P</t>
    </r>
    <r>
      <rPr>
        <b/>
        <vertAlign val="subscript"/>
        <sz val="12"/>
        <color theme="1"/>
        <rFont val="Calibri"/>
        <family val="2"/>
        <scheme val="minor"/>
      </rPr>
      <t>2</t>
    </r>
    <r>
      <rPr>
        <b/>
        <sz val="12"/>
        <color theme="1"/>
        <rFont val="Calibri"/>
        <family val="2"/>
        <scheme val="minor"/>
      </rPr>
      <t>O</t>
    </r>
    <r>
      <rPr>
        <b/>
        <vertAlign val="subscript"/>
        <sz val="12"/>
        <color theme="1"/>
        <rFont val="Calibri"/>
        <family val="2"/>
        <scheme val="minor"/>
      </rPr>
      <t>5</t>
    </r>
  </si>
  <si>
    <r>
      <t>K</t>
    </r>
    <r>
      <rPr>
        <b/>
        <vertAlign val="subscript"/>
        <sz val="12"/>
        <color theme="1"/>
        <rFont val="Calibri"/>
        <family val="2"/>
        <scheme val="minor"/>
      </rPr>
      <t>2</t>
    </r>
    <r>
      <rPr>
        <b/>
        <sz val="12"/>
        <color theme="1"/>
        <rFont val="Calibri"/>
        <family val="2"/>
        <scheme val="minor"/>
      </rPr>
      <t>O</t>
    </r>
  </si>
  <si>
    <t>m³/mittl. Jahresbest.</t>
  </si>
  <si>
    <t xml:space="preserve">mittel </t>
  </si>
  <si>
    <t>Eingabemöglichkeit zwischen 20-150 kg LM</t>
  </si>
  <si>
    <t>TZ Ferkel g</t>
  </si>
  <si>
    <t>800 g TZ</t>
  </si>
  <si>
    <t>Eingabemöglichkeit zwischen 8-35 kg LM</t>
  </si>
  <si>
    <t>--</t>
  </si>
  <si>
    <t>Mastschwein und Ferkel</t>
  </si>
  <si>
    <t>Zuchtsau mit Ferkeln bis 8 kg</t>
  </si>
  <si>
    <t>Tage je Ferkel</t>
  </si>
  <si>
    <t>Ferkelanzahl für Sau korrigiert</t>
  </si>
  <si>
    <t>N-Ausscheidung</t>
  </si>
  <si>
    <t>P2O5-Ausscheidung</t>
  </si>
  <si>
    <t>K2O-Ausscheidung</t>
  </si>
  <si>
    <t>Anzahl Ferkel</t>
  </si>
  <si>
    <t>Universal</t>
  </si>
  <si>
    <t>NP red</t>
  </si>
  <si>
    <t>stark NP red</t>
  </si>
  <si>
    <t>sehr stark NP red</t>
  </si>
  <si>
    <t>Sau</t>
  </si>
  <si>
    <t>mittl. Jahresbestand Ferkel</t>
  </si>
  <si>
    <t>Ferkel Tage &lt; 28 kg</t>
  </si>
  <si>
    <t>Ferkel Tage &gt; 28 kg</t>
  </si>
  <si>
    <t>Ferkelanzahl</t>
  </si>
  <si>
    <t>stark N- und P-reduziert</t>
  </si>
  <si>
    <t>Universalfutter</t>
  </si>
  <si>
    <t>N- und P- reduziert</t>
  </si>
  <si>
    <t>sehr stark N- und P-reduziert</t>
  </si>
  <si>
    <t>Landkreis</t>
  </si>
  <si>
    <t>Neustadt/Aisch-Bad Windsheim</t>
  </si>
  <si>
    <t>Landsberg a.Lech</t>
  </si>
  <si>
    <t>Tierart Basisdaten</t>
  </si>
  <si>
    <t>Eigene Zahlen müssen bei einer Kontrolle belegt werden. Es dürfen nur Zahlen verwendet werden, die die zuständige Stelle genehmigt hat.</t>
  </si>
  <si>
    <t>Nährstoffanfall im Betrieb nach § 6 der DüV (Grenze 170 kg N/ha)</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</si>
  <si>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</si>
  <si>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</si>
  <si>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kg P2O5</t>
  </si>
  <si>
    <t>kg K2O</t>
  </si>
  <si>
    <t>N gehalt</t>
  </si>
  <si>
    <t>P Gehalt</t>
  </si>
  <si>
    <t>K Gehalt</t>
  </si>
  <si>
    <t>im Betrieb</t>
  </si>
  <si>
    <t xml:space="preserve">kg P2O5 </t>
  </si>
  <si>
    <t>min. Gewicht</t>
  </si>
  <si>
    <t>max Gewicht</t>
  </si>
  <si>
    <t>Daten für Mastschweine</t>
  </si>
  <si>
    <t>Daten für Ferkel</t>
  </si>
  <si>
    <t>Daten für Zuchtsau</t>
  </si>
  <si>
    <t>kg / Tag</t>
  </si>
  <si>
    <r>
      <t xml:space="preserve">Einstreumenge </t>
    </r>
    <r>
      <rPr>
        <sz val="10"/>
        <color theme="1"/>
        <rFont val="Calibri"/>
        <family val="2"/>
        <scheme val="minor"/>
      </rPr>
      <t>kg/ Tag</t>
    </r>
  </si>
  <si>
    <t>Zu/ Abgang</t>
  </si>
  <si>
    <t xml:space="preserve">Durchschnittliche organische Düngung pro Jahr (kg/ha): </t>
  </si>
  <si>
    <t>Farbl. Überprüfung</t>
  </si>
  <si>
    <t>Werte innerhalb eines Verfahrens über die TZ Gruppen unplausibel</t>
  </si>
  <si>
    <t>Werte innerhalb einer TZ Gruppe über die Fütterungsverfahren unplausibel</t>
  </si>
  <si>
    <t>Futtermenge</t>
  </si>
  <si>
    <t>N-Gehalt</t>
  </si>
  <si>
    <t>P2O5-Gehalt</t>
  </si>
  <si>
    <t>Berechnung Nährstoffausscheidung in Abhängigkeit von der täglichen Zunahme, Ein-/Ausstallgewicht und Fütterungsverfahren</t>
  </si>
  <si>
    <r>
      <t xml:space="preserve">Nährstoffausscheidung </t>
    </r>
    <r>
      <rPr>
        <b/>
        <sz val="14"/>
        <color rgb="FFFF0000"/>
        <rFont val="Calibri"/>
        <family val="2"/>
        <scheme val="minor"/>
      </rPr>
      <t>Mastschweine</t>
    </r>
    <r>
      <rPr>
        <b/>
        <sz val="14"/>
        <color theme="1"/>
        <rFont val="Calibri"/>
        <family val="2"/>
        <scheme val="minor"/>
      </rPr>
      <t xml:space="preserve"> </t>
    </r>
  </si>
  <si>
    <t>Einstreumenge je Tag</t>
  </si>
  <si>
    <t>Einstreumenge je GV und Tag</t>
  </si>
  <si>
    <t>Ø N-Gehalt</t>
  </si>
  <si>
    <t>Futteraufnahme</t>
  </si>
  <si>
    <t>Ø P2O5-Gehalt</t>
  </si>
  <si>
    <t>M1</t>
  </si>
  <si>
    <t>M2</t>
  </si>
  <si>
    <t>M3</t>
  </si>
  <si>
    <t>M4</t>
  </si>
  <si>
    <t>M5</t>
  </si>
  <si>
    <t>F1</t>
  </si>
  <si>
    <t>F2</t>
  </si>
  <si>
    <t>F3</t>
  </si>
  <si>
    <t>F4</t>
  </si>
  <si>
    <t>F5</t>
  </si>
  <si>
    <t>Z1</t>
  </si>
  <si>
    <t>Z2</t>
  </si>
  <si>
    <r>
      <t>TS-Gehalt Mist</t>
    </r>
    <r>
      <rPr>
        <sz val="12"/>
        <color theme="1"/>
        <rFont val="Calibri"/>
        <family val="2"/>
        <scheme val="minor"/>
      </rPr>
      <t xml:space="preserve"> (%)</t>
    </r>
  </si>
  <si>
    <t>Ø gesamte Mast</t>
  </si>
  <si>
    <t>Beginn Mast</t>
  </si>
  <si>
    <t>Ende Mast</t>
  </si>
  <si>
    <r>
      <t>N-Gehalt</t>
    </r>
    <r>
      <rPr>
        <sz val="12"/>
        <color theme="1"/>
        <rFont val="Calibri"/>
        <family val="2"/>
        <scheme val="minor"/>
      </rPr>
      <t xml:space="preserve"> g N/kg Futter 88 % TM</t>
    </r>
  </si>
  <si>
    <t>Rohproteingehalt</t>
  </si>
  <si>
    <r>
      <t>Futteraufnahme</t>
    </r>
    <r>
      <rPr>
        <sz val="12"/>
        <color theme="1"/>
        <rFont val="Calibri"/>
        <family val="2"/>
        <scheme val="minor"/>
      </rPr>
      <t xml:space="preserve"> kg FM 88 % TM</t>
    </r>
  </si>
  <si>
    <t>P-Gehalt</t>
  </si>
  <si>
    <r>
      <t>P2O5-Gehalt</t>
    </r>
    <r>
      <rPr>
        <sz val="12"/>
        <color theme="1"/>
        <rFont val="Calibri"/>
        <family val="2"/>
        <scheme val="minor"/>
      </rPr>
      <t xml:space="preserve"> g N/kg Futter 88 % TM</t>
    </r>
  </si>
  <si>
    <r>
      <t>P-Gehalt</t>
    </r>
    <r>
      <rPr>
        <sz val="12"/>
        <color theme="1"/>
        <rFont val="Calibri"/>
        <family val="2"/>
        <scheme val="minor"/>
      </rPr>
      <t xml:space="preserve"> g N/kg Futter 88 % TM</t>
    </r>
  </si>
  <si>
    <r>
      <t xml:space="preserve">P-Gehalt </t>
    </r>
    <r>
      <rPr>
        <sz val="12"/>
        <color theme="1"/>
        <rFont val="Calibri"/>
        <family val="2"/>
        <scheme val="minor"/>
      </rPr>
      <t>g N/kg Futter 88 % TM</t>
    </r>
  </si>
  <si>
    <r>
      <t>Nährstoffausscheidung</t>
    </r>
    <r>
      <rPr>
        <b/>
        <sz val="14"/>
        <color rgb="FFFF0000"/>
        <rFont val="Calibri"/>
        <family val="2"/>
        <scheme val="minor"/>
      </rPr>
      <t xml:space="preserve"> Ferkel</t>
    </r>
    <r>
      <rPr>
        <b/>
        <sz val="14"/>
        <color theme="1"/>
        <rFont val="Calibri"/>
        <family val="2"/>
        <scheme val="minor"/>
      </rPr>
      <t xml:space="preserve"> </t>
    </r>
  </si>
  <si>
    <r>
      <t xml:space="preserve">Nährstoffausscheidung </t>
    </r>
    <r>
      <rPr>
        <b/>
        <sz val="14"/>
        <color rgb="FFFF0000"/>
        <rFont val="Calibri"/>
        <family val="2"/>
        <scheme val="minor"/>
      </rPr>
      <t>Zuchtsau</t>
    </r>
    <r>
      <rPr>
        <b/>
        <sz val="14"/>
        <color theme="1"/>
        <rFont val="Calibri"/>
        <family val="2"/>
        <scheme val="minor"/>
      </rPr>
      <t xml:space="preserve"> mit Ferkelerzeugung</t>
    </r>
  </si>
  <si>
    <t>Mastschwein/ Ferkel</t>
  </si>
  <si>
    <t>Nährstoffgehalte g/kg Futter*</t>
  </si>
  <si>
    <t>XP</t>
  </si>
  <si>
    <t>XP = Rohprotein</t>
  </si>
  <si>
    <t>Ø Mast</t>
  </si>
  <si>
    <t>Kälber (Zucht/Mast) bis 6 Monate</t>
  </si>
  <si>
    <t>Männliche Rinder über 2 Jahre, Zuchtbullen</t>
  </si>
  <si>
    <t>Weibliche Rinder über 6 Monate bis 1 Jahr</t>
  </si>
  <si>
    <t>einstreu_mit_gv_mjb</t>
  </si>
  <si>
    <t>einstreu_ho_gv_mjb</t>
  </si>
  <si>
    <t>einstreu_mittel_duev</t>
  </si>
  <si>
    <t>einstreu_hoch_duev</t>
  </si>
  <si>
    <t>bas_kurz_tier</t>
  </si>
  <si>
    <t>tierart</t>
  </si>
  <si>
    <t>gv_duv</t>
  </si>
  <si>
    <t>auss_n_mjb</t>
  </si>
  <si>
    <t>auss_p2o5_mjb</t>
  </si>
  <si>
    <t>auss_k2o_mjb</t>
  </si>
  <si>
    <t>gulleanf_mjb</t>
  </si>
  <si>
    <t>tm_gulle_duv</t>
  </si>
  <si>
    <t>einstreu_ger_gv_mjb</t>
  </si>
  <si>
    <t>einstreu_ger_duv</t>
  </si>
  <si>
    <t>einstreu_mit_duv</t>
  </si>
  <si>
    <t>einstreu_ho_duv</t>
  </si>
  <si>
    <t>festmistanf_ger_mjb_duv</t>
  </si>
  <si>
    <t>festmistanf_mit_mjb_duv</t>
  </si>
  <si>
    <t>festmistanf_ho_mjb_duv</t>
  </si>
  <si>
    <t>tm_festmistanf_ger_duev</t>
  </si>
  <si>
    <t>tm_festmistanf_mit_duev</t>
  </si>
  <si>
    <t>tm_festmistanf_ho_duev</t>
  </si>
  <si>
    <t>jaucheanf_mjb_duv</t>
  </si>
  <si>
    <t>tm_jauche_duv</t>
  </si>
  <si>
    <t>stallagerverl_gulle</t>
  </si>
  <si>
    <t>stallagerverl_festmist_jauche</t>
  </si>
  <si>
    <t>Mastschweine (950 g TZ), Standard</t>
  </si>
  <si>
    <t>Mastschweine (950 g TZ), N-/P-reduziert</t>
  </si>
  <si>
    <t>Lama</t>
  </si>
  <si>
    <t xml:space="preserve">Zuchtsauen mit 25 Ferkel bis 8 kg, Standard </t>
  </si>
  <si>
    <t xml:space="preserve">Zuchtsauen mit 25 Ferkel bis 8 kg, N-/P-reduziert  </t>
  </si>
  <si>
    <t xml:space="preserve">Zuchtsauen mit 28 Ferkel bis 8 kg, Standard </t>
  </si>
  <si>
    <t xml:space="preserve">Zuchtsauen mit 28 Ferkel bis 8 kg, N-/P-reduziert </t>
  </si>
  <si>
    <t>Zuchtsauen mit 28 Ferkel bis 28 kg, stark N-/P-red.*</t>
  </si>
  <si>
    <t>Zuchtsauen mit 25 Ferkel bis 28 kg, stark N-/P-red.*</t>
  </si>
  <si>
    <t>Zuchtsauen mit 28 Ferkel bis 8 kg, stark N-/P-red.*</t>
  </si>
  <si>
    <t>Zuchtsauen mit 25 Ferkel bis 8 kg, stark N-/P-red.*</t>
  </si>
  <si>
    <t>Ferkel von 8 bis 28 kg, stark N-/P-red.*</t>
  </si>
  <si>
    <t>Mastschweine (750 g TZ), stark N-/P-red.*</t>
  </si>
  <si>
    <t>Mastschweine (750 g TZ), sehr stark N-/P-red.*</t>
  </si>
  <si>
    <t>Mastschweine (850 g TZ), stark N-/P-red.*</t>
  </si>
  <si>
    <t>Mastschweine (850 g TZ), sehr stark N-/P-red.*</t>
  </si>
  <si>
    <t>Mastschweine (950 g TZ), stark N-/P-red.*</t>
  </si>
  <si>
    <t>Mastschweine (950 g TZ), sehr stark N-/P-red.*</t>
  </si>
  <si>
    <t>Stickstoffausscheidungen in kg im Betrieb</t>
  </si>
  <si>
    <t>1. Stickstoffanfall der eigenen Tierhaltung</t>
  </si>
  <si>
    <r>
      <t>m</t>
    </r>
    <r>
      <rPr>
        <vertAlign val="superscript"/>
        <sz val="10"/>
        <color theme="1"/>
        <rFont val="Arial"/>
        <family val="2"/>
      </rPr>
      <t>3</t>
    </r>
  </si>
  <si>
    <r>
      <t>m</t>
    </r>
    <r>
      <rPr>
        <vertAlign val="superscript"/>
        <sz val="10"/>
        <color theme="1"/>
        <rFont val="Arial"/>
        <family val="2"/>
      </rPr>
      <t>3</t>
    </r>
    <r>
      <rPr>
        <sz val="10"/>
        <rFont val="Arial"/>
        <family val="2"/>
      </rPr>
      <t/>
    </r>
  </si>
  <si>
    <r>
      <t xml:space="preserve">Zuchtsauengülle (5 % TM), N-/P-red. Fütterung </t>
    </r>
    <r>
      <rPr>
        <vertAlign val="superscript"/>
        <sz val="10"/>
        <rFont val="Arial"/>
        <family val="2"/>
      </rPr>
      <t>5)</t>
    </r>
  </si>
  <si>
    <t xml:space="preserve">  Mastschweine (850 g TZ), sehr stark N-/P-red.*</t>
  </si>
  <si>
    <t xml:space="preserve">  Mastschweine (950 g TZ), Standard</t>
  </si>
  <si>
    <t xml:space="preserve">  Mastschweine (950 g TZ), N-/P-reduziert</t>
  </si>
  <si>
    <t xml:space="preserve">  Mastschweine (950 g TZ), stark N-/P-red.*</t>
  </si>
  <si>
    <t xml:space="preserve">  Mastschweine (950 g TZ), sehr stark N-/P-red.*</t>
  </si>
  <si>
    <t xml:space="preserve">  Mastschweine (750 g TZ), sehr stark N-/P-red.*</t>
  </si>
  <si>
    <t xml:space="preserve">  Zuchtsauen mit 28 Ferkel bis 28 kg, stark N-/P-red.*</t>
  </si>
  <si>
    <t xml:space="preserve">  Zuchtsauen mit 25 Ferkel bis 8 kg, stark N-/P-red.*</t>
  </si>
  <si>
    <t xml:space="preserve">  Zuchtsauen mit 28 Ferkel bis 8 kg, stark N-/P-red.*</t>
  </si>
  <si>
    <t xml:space="preserve">  Zuchtsauen mit 25 Ferkel bis 28 kg, stark N-/P-red.*</t>
  </si>
  <si>
    <t xml:space="preserve">  Ferkel von 8 bis 28 kg, stark N-/P-red.*</t>
  </si>
  <si>
    <t xml:space="preserve">                  (Stand: Mai 2022)</t>
  </si>
  <si>
    <t xml:space="preserve">                     (Stand: Mai 2022)</t>
  </si>
  <si>
    <t>Univ.</t>
  </si>
  <si>
    <t>N-/P- red</t>
  </si>
  <si>
    <t>stark N-/P- red</t>
  </si>
  <si>
    <t>sehr stark N-/P- red</t>
  </si>
  <si>
    <t>Masts.</t>
  </si>
  <si>
    <t>Zuchts.</t>
  </si>
  <si>
    <t>Nährstoffgehalt kg/t</t>
  </si>
  <si>
    <t>Vorgaben der DüV § 6 (170 kg N/ha) eingehalten</t>
  </si>
  <si>
    <t>kg N/m³</t>
  </si>
  <si>
    <r>
      <t>kg NH</t>
    </r>
    <r>
      <rPr>
        <vertAlign val="subscript"/>
        <sz val="10"/>
        <rFont val="Arial"/>
        <family val="2"/>
      </rPr>
      <t>4</t>
    </r>
    <r>
      <rPr>
        <sz val="10"/>
        <rFont val="Arial"/>
        <family val="2"/>
      </rPr>
      <t>-N/m³</t>
    </r>
  </si>
  <si>
    <r>
      <t>kg P</t>
    </r>
    <r>
      <rPr>
        <vertAlign val="subscript"/>
        <sz val="10"/>
        <rFont val="Arial"/>
        <family val="2"/>
      </rPr>
      <t>2</t>
    </r>
    <r>
      <rPr>
        <sz val="10"/>
        <rFont val="Arial"/>
        <family val="2"/>
      </rPr>
      <t>O</t>
    </r>
    <r>
      <rPr>
        <vertAlign val="subscript"/>
        <sz val="10"/>
        <rFont val="Arial"/>
        <family val="2"/>
      </rPr>
      <t>5</t>
    </r>
    <r>
      <rPr>
        <sz val="10"/>
        <rFont val="Arial"/>
        <family val="2"/>
      </rPr>
      <t>/m³</t>
    </r>
  </si>
  <si>
    <r>
      <t>kg K</t>
    </r>
    <r>
      <rPr>
        <vertAlign val="subscript"/>
        <sz val="10"/>
        <rFont val="Arial"/>
        <family val="2"/>
      </rPr>
      <t>2</t>
    </r>
    <r>
      <rPr>
        <sz val="10"/>
        <rFont val="Arial"/>
        <family val="2"/>
      </rPr>
      <t>O/m³</t>
    </r>
  </si>
  <si>
    <t>kg N/t</t>
  </si>
  <si>
    <r>
      <t>kg NH</t>
    </r>
    <r>
      <rPr>
        <vertAlign val="subscript"/>
        <sz val="10"/>
        <rFont val="Arial"/>
        <family val="2"/>
      </rPr>
      <t>4</t>
    </r>
    <r>
      <rPr>
        <sz val="10"/>
        <rFont val="Arial"/>
        <family val="2"/>
      </rPr>
      <t>-N/t</t>
    </r>
  </si>
  <si>
    <r>
      <t>kg K</t>
    </r>
    <r>
      <rPr>
        <vertAlign val="subscript"/>
        <sz val="10"/>
        <rFont val="Arial"/>
        <family val="2"/>
      </rPr>
      <t>2</t>
    </r>
    <r>
      <rPr>
        <sz val="10"/>
        <rFont val="Arial"/>
        <family val="2"/>
      </rPr>
      <t>O/t</t>
    </r>
  </si>
  <si>
    <t>* Die Menge an eingesetztem Einstreumaterial darf in Summe die oben berechnete Menge nach DüV nicht unterschreiten. Passen Sie ggf. die angegebene Einstreumenge (gering, mittel, hoch) an.</t>
  </si>
  <si>
    <t>Anfall Wirtschaftsdünger im Jahr in m³</t>
  </si>
  <si>
    <t>Anfall Wirtschaftsdünger im Jahr in t</t>
  </si>
  <si>
    <t xml:space="preserve">Auswahl Ausgabe Wirtschaftsdünger </t>
  </si>
  <si>
    <t>Separiert - flüssig</t>
  </si>
  <si>
    <t>Separiert - fest</t>
  </si>
  <si>
    <t>Zielzelle</t>
  </si>
  <si>
    <t>Abgeber</t>
  </si>
  <si>
    <t>Eigene Bemerkung</t>
  </si>
  <si>
    <t>Separiert - flüssig + nicht separierte Gülle</t>
  </si>
  <si>
    <t>Deklaration Wirtschaftsdünger</t>
  </si>
  <si>
    <t xml:space="preserve">Nährstoffgehalte </t>
  </si>
  <si>
    <t>in kg/m³ (flüssig) bzw. kg/t (fest)</t>
  </si>
  <si>
    <t xml:space="preserve">tierischer Anteil </t>
  </si>
  <si>
    <t xml:space="preserve">Umtriebe </t>
  </si>
  <si>
    <t>Futterverwertung (kg Futter zu kg LM)</t>
  </si>
  <si>
    <t>pro Jahr</t>
  </si>
  <si>
    <t>je mittl. Jahresbest</t>
  </si>
  <si>
    <t>je Tier</t>
  </si>
  <si>
    <t>Futteraufnahme 
kg FM* je</t>
  </si>
  <si>
    <t>mittl. Jahr.</t>
  </si>
  <si>
    <t>je mittlerer Jahresbestand</t>
  </si>
  <si>
    <t>Berechnete Werte in 
nachfolgenden Tabellen</t>
  </si>
  <si>
    <t>Flächen nicht abgedeckter Gülle- und Jauchelager</t>
  </si>
  <si>
    <r>
      <t>Sonstige Flächen</t>
    </r>
    <r>
      <rPr>
        <sz val="8"/>
        <rFont val="Arial"/>
        <family val="2"/>
      </rPr>
      <t xml:space="preserve"> (gereinigte Siloflächen, Stallmistlager, abgedeckte Silo- und Güllelager)</t>
    </r>
  </si>
  <si>
    <t xml:space="preserve">Separation flüssiger Wirtschaftsdünger </t>
  </si>
  <si>
    <t>1. Angaben zum Produktionsverfahren</t>
  </si>
  <si>
    <t>3. Nährstoffgehalte und Futtermengen</t>
  </si>
  <si>
    <t>2. Nährstoff- und Mengenausscheidung sowie eigene Werte</t>
  </si>
  <si>
    <t>Abweichendes Einstreumaterial und Einstreumengen</t>
  </si>
  <si>
    <t>1. Berechnete Menge Einstreumaterial</t>
  </si>
  <si>
    <t>2. Abweichendes Einstreumaterial</t>
  </si>
  <si>
    <t>Auszubringende Stickstoffmenge im Betrieb (Zellen: I170 + I199)</t>
  </si>
  <si>
    <t>Mindestanfall für Gärsaft - mind. 3 % des Volumens des größten Silos</t>
  </si>
  <si>
    <t>Futter-verwer-tung
kg:kg</t>
  </si>
  <si>
    <t>Futterverwertung (kg TM Futter zu kg LM)</t>
  </si>
  <si>
    <t xml:space="preserve">  stufenlose Berechnung (siehe "Abweichende Werte")</t>
  </si>
  <si>
    <t>kg/t bzw. kg/m³</t>
  </si>
  <si>
    <t>Datum bzw. Monat</t>
  </si>
  <si>
    <t>Menge in t bzw. m³</t>
  </si>
  <si>
    <t>Düngerart / Proben-nummer</t>
  </si>
  <si>
    <t>Adresse</t>
  </si>
  <si>
    <t>Name</t>
  </si>
  <si>
    <t>Werden mehr Zeilen für die Abgabe bzw. Aufnahme von organischen Düngern benötigt, können diese hier eingegeben werden. Die Summe muss anschließend übertragen werden!</t>
  </si>
  <si>
    <t xml:space="preserve">  Summe:</t>
  </si>
  <si>
    <r>
      <t>P</t>
    </r>
    <r>
      <rPr>
        <vertAlign val="subscript"/>
        <sz val="12"/>
        <rFont val="Arial"/>
        <family val="2"/>
      </rPr>
      <t>2</t>
    </r>
    <r>
      <rPr>
        <sz val="12"/>
        <rFont val="Arial"/>
        <family val="2"/>
      </rPr>
      <t>O</t>
    </r>
    <r>
      <rPr>
        <vertAlign val="subscript"/>
        <sz val="12"/>
        <rFont val="Arial"/>
        <family val="2"/>
      </rPr>
      <t>5</t>
    </r>
  </si>
  <si>
    <r>
      <t>K</t>
    </r>
    <r>
      <rPr>
        <vertAlign val="subscript"/>
        <sz val="12"/>
        <rFont val="Arial"/>
        <family val="2"/>
      </rPr>
      <t>2</t>
    </r>
    <r>
      <rPr>
        <sz val="12"/>
        <rFont val="Arial"/>
        <family val="2"/>
      </rPr>
      <t>O</t>
    </r>
  </si>
  <si>
    <t>Tier</t>
  </si>
  <si>
    <t>* bezogen auf 88 % TS</t>
  </si>
  <si>
    <t>Bei Anfall verschiedener Wirtschaftsdünger im Betrieb können einzelne Zeilen</t>
  </si>
  <si>
    <t>ausgeblendet werden um den Wirtschaftsdünger eindeutig zu deklarieren.</t>
  </si>
  <si>
    <t xml:space="preserve">Dem Aufnehmer ist eine eindeutige Zuordnung des Wirtschaftsdüngers zum Nährstoffgehalt mitzuteilen. </t>
  </si>
  <si>
    <t>Abgesetzte Ferkel/Jahr</t>
  </si>
  <si>
    <t>stand</t>
  </si>
  <si>
    <t>Verkaufsgewicht Ferkel (kg)</t>
  </si>
  <si>
    <t>Berechnet am:</t>
  </si>
  <si>
    <r>
      <t xml:space="preserve">Stufenlose Berechnung der Nährstoff- und Mengenausscheidungen von Mastschweinen, Ferkel und Zuchtsauen mit Ferkel
</t>
    </r>
    <r>
      <rPr>
        <sz val="9"/>
        <rFont val="Arial"/>
        <family val="2"/>
      </rPr>
      <t>(Eigene Werte finden Sie im Tabellenblatt "Nährstoffe und Lagerraum" bei der Auswahl Tierhaltung am Ende des Dropdown-Bereiches.)</t>
    </r>
  </si>
  <si>
    <t>Abweichend von den automatisch verwendeten Landkreisniederschlägen kann auch der mittlere Jahresniederschlag der Gemarkung verwendet werden, in der die meisten Flächen des Betriebes liegen, deren dort anfallende Niederschläge in die Lagerbehälter der Wirtschaftsdünger eingeleitet werden. Dieser kann hier nachgeschlagen werden und als Korrektur in der Zelle B13 im Tabellenblatt "Nährstoffe und Lagerraum" eingegeben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</si>
</sst>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0.0000"/>
    <numFmt numFmtId="166" formatCode="0.000"/>
    <numFmt numFmtId="167" formatCode="0.0"/>
    <numFmt numFmtId="168" formatCode="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i/>
      <sz val="10"/>
      <color indexed="8"/>
      <name val="Arial"/>
      <family val="2"/>
    </font>
    <font>
      <vertAlign val="superscript"/>
      <sz val="10"/>
      <color indexed="8"/>
      <name val="Arial"/>
      <family val="2"/>
    </font>
    <font>
      <b/>
      <sz val="9"/>
      <color indexed="81"/>
      <name val="Tahoma"/>
      <family val="2"/>
    </font>
    <font>
      <b/>
      <vertAlign val="subscript"/>
      <sz val="10"/>
      <name val="Arial"/>
      <family val="2"/>
    </font>
    <font>
      <b/>
      <sz val="14"/>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sz val="10"/>
      <color theme="1"/>
      <name val="Arial"/>
      <family val="2"/>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sz val="10"/>
      <color rgb="FF00B050"/>
      <name val="Arial"/>
      <family val="2"/>
    </font>
    <font>
      <b/>
      <sz val="9"/>
      <color indexed="81"/>
      <name val="Segoe UI"/>
      <family val="2"/>
    </font>
    <font>
      <b/>
      <u/>
      <sz val="9"/>
      <color indexed="81"/>
      <name val="Tahoma"/>
      <family val="2"/>
    </font>
    <font>
      <sz val="9"/>
      <color indexed="81"/>
      <name val="Segoe UI"/>
      <family val="2"/>
    </font>
    <font>
      <b/>
      <sz val="10"/>
      <color indexed="81"/>
      <name val="Tahoma"/>
      <family val="2"/>
    </font>
    <font>
      <u/>
      <sz val="10"/>
      <color indexed="81"/>
      <name val="Tahoma"/>
      <family val="2"/>
    </font>
    <font>
      <u/>
      <sz val="10"/>
      <color theme="10"/>
      <name val="Arial"/>
      <family val="2"/>
    </font>
    <font>
      <sz val="10"/>
      <color rgb="FF00B0F0"/>
      <name val="Arial"/>
      <family val="2"/>
    </font>
    <font>
      <u/>
      <sz val="9"/>
      <color indexed="81"/>
      <name val="Tahoma"/>
      <family val="2"/>
    </font>
    <font>
      <sz val="8"/>
      <color indexed="8"/>
      <name val="Arial"/>
      <family val="2"/>
    </font>
    <font>
      <b/>
      <vertAlign val="superscript"/>
      <sz val="10"/>
      <color rgb="FF000000"/>
      <name val="Arial"/>
      <family val="2"/>
    </font>
    <font>
      <b/>
      <vertAlign val="superscript"/>
      <sz val="10"/>
      <color indexed="8"/>
      <name val="Arial"/>
      <family val="2"/>
    </font>
    <font>
      <b/>
      <sz val="10"/>
      <color rgb="FF000000"/>
      <name val="Arial"/>
      <family val="2"/>
    </font>
    <font>
      <sz val="8"/>
      <color theme="0" tint="-0.34998626667073579"/>
      <name val="Arial"/>
      <family val="2"/>
    </font>
    <font>
      <b/>
      <sz val="9"/>
      <color indexed="8"/>
      <name val="Arial"/>
      <family val="2"/>
    </font>
    <font>
      <b/>
      <vertAlign val="subscript"/>
      <sz val="10"/>
      <color theme="1"/>
      <name val="Arial"/>
      <family val="2"/>
    </font>
    <font>
      <sz val="10"/>
      <color theme="0" tint="-0.499984740745262"/>
      <name val="Arial"/>
      <family val="2"/>
    </font>
    <font>
      <sz val="10"/>
      <name val="Arial"/>
      <family val="2"/>
    </font>
    <font>
      <sz val="1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vertAlign val="subscript"/>
      <sz val="12"/>
      <color theme="1"/>
      <name val="Calibri"/>
      <family val="2"/>
      <scheme val="minor"/>
    </font>
    <font>
      <i/>
      <sz val="11"/>
      <color theme="1"/>
      <name val="Calibri"/>
      <family val="2"/>
      <scheme val="minor"/>
    </font>
    <font>
      <b/>
      <sz val="16"/>
      <color theme="1"/>
      <name val="Calibri"/>
      <family val="2"/>
      <scheme val="minor"/>
    </font>
    <font>
      <vertAlign val="superscript"/>
      <sz val="10"/>
      <color theme="1"/>
      <name val="Arial"/>
      <family val="2"/>
    </font>
    <font>
      <sz val="11"/>
      <color theme="1"/>
      <name val="Arial"/>
      <family val="2"/>
    </font>
    <font>
      <b/>
      <u/>
      <sz val="16"/>
      <color theme="1"/>
      <name val="Arial"/>
      <family val="2"/>
    </font>
    <font>
      <sz val="12"/>
      <color theme="1"/>
      <name val="Arial"/>
      <family val="2"/>
    </font>
    <font>
      <vertAlign val="subscript"/>
      <sz val="12"/>
      <name val="Arial"/>
      <family val="2"/>
    </font>
    <font>
      <sz val="9"/>
      <color theme="1"/>
      <name val="Arial"/>
      <family val="2"/>
    </font>
    <font>
      <sz val="10"/>
      <color indexed="81"/>
      <name val="Arial"/>
      <family val="2"/>
    </font>
  </fonts>
  <fills count="57">
    <fill>
      <patternFill patternType="none"/>
    </fill>
    <fill>
      <patternFill patternType="gray125"/>
    </fill>
    <fill>
      <patternFill patternType="solid">
        <fgColor indexed="43"/>
        <bgColor indexed="64"/>
      </patternFill>
    </fill>
    <fill>
      <patternFill patternType="lightUp"/>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9" tint="0.59999389629810485"/>
        <bgColor indexed="64"/>
      </patternFill>
    </fill>
    <fill>
      <patternFill patternType="solid">
        <fgColor rgb="FFF8F896"/>
        <bgColor indexed="64"/>
      </patternFill>
    </fill>
    <fill>
      <patternFill patternType="solid">
        <fgColor theme="2"/>
        <bgColor indexed="64"/>
      </patternFill>
    </fill>
    <fill>
      <patternFill patternType="solid">
        <fgColor theme="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bgColor indexed="64"/>
      </patternFill>
    </fill>
    <fill>
      <patternFill patternType="solid">
        <fgColor theme="2" tint="-9.9978637043366805E-2"/>
        <bgColor indexed="64"/>
      </patternFill>
    </fill>
  </fills>
  <borders count="23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dotted">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dotted">
        <color indexed="64"/>
      </left>
      <right style="dashed">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style="dashed">
        <color indexed="64"/>
      </bottom>
      <diagonal/>
    </border>
    <border>
      <left/>
      <right style="dotted">
        <color indexed="64"/>
      </right>
      <top/>
      <bottom style="dashed">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style="dashed">
        <color indexed="64"/>
      </right>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dotted">
        <color indexed="64"/>
      </right>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top style="thin">
        <color theme="9" tint="0.39997558519241921"/>
      </top>
      <bottom style="thin">
        <color theme="9" tint="0.39997558519241921"/>
      </bottom>
      <diagonal/>
    </border>
    <border>
      <left style="thin">
        <color indexed="64"/>
      </left>
      <right style="thin">
        <color indexed="64"/>
      </right>
      <top style="thin">
        <color theme="9" tint="0.39997558519241921"/>
      </top>
      <bottom style="thin">
        <color theme="9" tint="0.39997558519241921"/>
      </bottom>
      <diagonal/>
    </border>
    <border>
      <left style="dotted">
        <color indexed="64"/>
      </left>
      <right/>
      <top/>
      <bottom style="medium">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auto="1"/>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medium">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otted">
        <color indexed="64"/>
      </left>
      <right style="dotted">
        <color indexed="64"/>
      </right>
      <top/>
      <bottom/>
      <diagonal/>
    </border>
    <border>
      <left style="dotted">
        <color indexed="64"/>
      </left>
      <right style="dashed">
        <color indexed="64"/>
      </right>
      <top/>
      <bottom/>
      <diagonal/>
    </border>
    <border>
      <left style="dotted">
        <color indexed="64"/>
      </left>
      <right/>
      <top/>
      <bottom/>
      <diagonal/>
    </border>
    <border>
      <left style="dashed">
        <color indexed="64"/>
      </left>
      <right style="dott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81">
    <xf numFmtId="0" fontId="0"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8" fillId="29" borderId="103" applyNumberFormat="0" applyAlignment="0" applyProtection="0"/>
    <xf numFmtId="0" fontId="39" fillId="29" borderId="104" applyNumberFormat="0" applyAlignment="0" applyProtection="0"/>
    <xf numFmtId="0" fontId="40" fillId="30" borderId="104" applyNumberFormat="0" applyAlignment="0" applyProtection="0"/>
    <xf numFmtId="0" fontId="41" fillId="0" borderId="105" applyNumberFormat="0" applyFill="0" applyAlignment="0" applyProtection="0"/>
    <xf numFmtId="0" fontId="42" fillId="0" borderId="0" applyNumberFormat="0" applyFill="0" applyBorder="0" applyAlignment="0" applyProtection="0"/>
    <xf numFmtId="0" fontId="43" fillId="31" borderId="0" applyNumberFormat="0" applyBorder="0" applyAlignment="0" applyProtection="0"/>
    <xf numFmtId="164" fontId="13" fillId="0" borderId="0" applyFont="0" applyFill="0" applyBorder="0" applyAlignment="0" applyProtection="0"/>
    <xf numFmtId="164" fontId="35" fillId="0" borderId="0" applyFont="0" applyFill="0" applyBorder="0" applyAlignment="0" applyProtection="0"/>
    <xf numFmtId="0" fontId="44" fillId="32" borderId="0" applyNumberFormat="0" applyBorder="0" applyAlignment="0" applyProtection="0"/>
    <xf numFmtId="0" fontId="36" fillId="33" borderId="106" applyNumberFormat="0" applyFont="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45" fillId="34" borderId="0" applyNumberFormat="0" applyBorder="0" applyAlignment="0" applyProtection="0"/>
    <xf numFmtId="0" fontId="36" fillId="0" borderId="0"/>
    <xf numFmtId="0" fontId="2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 fillId="0" borderId="0"/>
    <xf numFmtId="0" fontId="13" fillId="0" borderId="0"/>
    <xf numFmtId="0" fontId="36" fillId="0" borderId="0"/>
    <xf numFmtId="0" fontId="46" fillId="0" borderId="0" applyNumberFormat="0" applyFill="0" applyBorder="0" applyAlignment="0" applyProtection="0"/>
    <xf numFmtId="0" fontId="47" fillId="0" borderId="107" applyNumberFormat="0" applyFill="0" applyAlignment="0" applyProtection="0"/>
    <xf numFmtId="0" fontId="48" fillId="0" borderId="108" applyNumberFormat="0" applyFill="0" applyAlignment="0" applyProtection="0"/>
    <xf numFmtId="0" fontId="49" fillId="0" borderId="109" applyNumberFormat="0" applyFill="0" applyAlignment="0" applyProtection="0"/>
    <xf numFmtId="0" fontId="49" fillId="0" borderId="0" applyNumberFormat="0" applyFill="0" applyBorder="0" applyAlignment="0" applyProtection="0"/>
    <xf numFmtId="0" fontId="50" fillId="0" borderId="110" applyNumberFormat="0" applyFill="0" applyAlignment="0" applyProtection="0"/>
    <xf numFmtId="0" fontId="51" fillId="0" borderId="0" applyNumberFormat="0" applyFill="0" applyBorder="0" applyAlignment="0" applyProtection="0"/>
    <xf numFmtId="0" fontId="52" fillId="35" borderId="111" applyNumberFormat="0" applyAlignment="0" applyProtection="0"/>
    <xf numFmtId="0" fontId="73" fillId="0" borderId="0" applyNumberFormat="0" applyFill="0" applyBorder="0" applyAlignment="0" applyProtection="0"/>
    <xf numFmtId="43" fontId="84" fillId="0" borderId="0" applyFont="0" applyFill="0" applyBorder="0" applyAlignment="0" applyProtection="0"/>
    <xf numFmtId="0" fontId="3" fillId="0" borderId="0"/>
    <xf numFmtId="0" fontId="2" fillId="0" borderId="0"/>
    <xf numFmtId="0" fontId="4" fillId="0" borderId="0"/>
    <xf numFmtId="0" fontId="2" fillId="0" borderId="0"/>
    <xf numFmtId="0" fontId="1" fillId="0" borderId="0"/>
  </cellStyleXfs>
  <cellXfs count="1724">
    <xf numFmtId="0" fontId="0" fillId="0" borderId="0" xfId="0"/>
    <xf numFmtId="0" fontId="16"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horizontal="center" vertical="center"/>
    </xf>
    <xf numFmtId="0" fontId="0" fillId="0" borderId="0" xfId="0" applyAlignment="1">
      <alignment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5"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4"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lignment vertical="center"/>
    </xf>
    <xf numFmtId="0" fontId="16" fillId="0" borderId="0" xfId="0" applyFont="1" applyAlignment="1">
      <alignment vertical="center"/>
    </xf>
    <xf numFmtId="0" fontId="0" fillId="0" borderId="0" xfId="0" applyFill="1" applyBorder="1" applyAlignment="1" applyProtection="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0" borderId="0" xfId="0"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0" fontId="5" fillId="0" borderId="0" xfId="0" applyFont="1" applyAlignment="1">
      <alignment vertical="center"/>
    </xf>
    <xf numFmtId="0" fontId="13" fillId="0" borderId="0" xfId="0" applyFont="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xf numFmtId="0" fontId="13" fillId="0" borderId="0" xfId="63"/>
    <xf numFmtId="0" fontId="55" fillId="0" borderId="0" xfId="63" applyFont="1" applyFill="1" applyBorder="1" applyAlignment="1">
      <alignment horizontal="left"/>
    </xf>
    <xf numFmtId="0" fontId="56" fillId="0" borderId="0" xfId="63" applyFont="1" applyFill="1" applyBorder="1"/>
    <xf numFmtId="0" fontId="56" fillId="0" borderId="0" xfId="63" applyFont="1" applyFill="1" applyBorder="1" applyAlignment="1">
      <alignment horizontal="center"/>
    </xf>
    <xf numFmtId="0" fontId="57" fillId="0" borderId="0" xfId="63" applyFont="1" applyFill="1" applyBorder="1" applyAlignment="1">
      <alignment horizontal="center"/>
    </xf>
    <xf numFmtId="0" fontId="57" fillId="0" borderId="0" xfId="63" applyFont="1" applyFill="1" applyBorder="1"/>
    <xf numFmtId="0" fontId="58" fillId="0" borderId="0" xfId="63" applyFont="1" applyFill="1" applyBorder="1" applyAlignment="1"/>
    <xf numFmtId="0" fontId="59" fillId="0" borderId="0" xfId="63" applyFont="1" applyFill="1" applyBorder="1" applyAlignment="1">
      <alignment horizontal="center"/>
    </xf>
    <xf numFmtId="0" fontId="58" fillId="36" borderId="38" xfId="63" applyFont="1" applyFill="1" applyBorder="1" applyAlignment="1">
      <alignment horizontal="center" vertical="center"/>
    </xf>
    <xf numFmtId="0" fontId="59" fillId="0" borderId="0" xfId="63" applyFont="1" applyFill="1" applyBorder="1"/>
    <xf numFmtId="0" fontId="60" fillId="37" borderId="39" xfId="63" applyFont="1" applyFill="1" applyBorder="1" applyAlignment="1">
      <alignment horizontal="center"/>
    </xf>
    <xf numFmtId="0" fontId="60" fillId="37" borderId="40" xfId="63" applyFont="1" applyFill="1" applyBorder="1" applyAlignment="1">
      <alignment horizontal="center"/>
    </xf>
    <xf numFmtId="0" fontId="60" fillId="0" borderId="0" xfId="63" applyFont="1" applyFill="1" applyBorder="1" applyAlignment="1">
      <alignment horizontal="center"/>
    </xf>
    <xf numFmtId="0" fontId="60" fillId="0" borderId="0" xfId="63" applyFont="1" applyFill="1" applyBorder="1" applyAlignment="1">
      <alignment horizontal="left"/>
    </xf>
    <xf numFmtId="0" fontId="60" fillId="36" borderId="28" xfId="63" applyFont="1" applyFill="1" applyBorder="1" applyAlignment="1">
      <alignment horizontal="center"/>
    </xf>
    <xf numFmtId="0" fontId="61" fillId="0" borderId="0" xfId="63" applyFont="1" applyFill="1" applyBorder="1"/>
    <xf numFmtId="0" fontId="61" fillId="0" borderId="0" xfId="63" applyFont="1" applyFill="1" applyBorder="1" applyAlignment="1">
      <alignment horizontal="center"/>
    </xf>
    <xf numFmtId="0" fontId="61" fillId="0" borderId="0" xfId="63" applyFont="1" applyFill="1" applyBorder="1" applyAlignment="1">
      <alignment vertical="center"/>
    </xf>
    <xf numFmtId="49" fontId="61" fillId="38" borderId="41" xfId="63" applyNumberFormat="1" applyFont="1" applyFill="1" applyBorder="1" applyAlignment="1">
      <alignment horizontal="center" vertical="center"/>
    </xf>
    <xf numFmtId="0" fontId="23" fillId="38" borderId="42" xfId="63" applyFont="1" applyFill="1" applyBorder="1" applyAlignment="1">
      <alignment vertical="center"/>
    </xf>
    <xf numFmtId="0" fontId="23" fillId="0" borderId="0" xfId="63" applyFont="1" applyFill="1" applyBorder="1"/>
    <xf numFmtId="49" fontId="61" fillId="0" borderId="0" xfId="63" applyNumberFormat="1" applyFont="1" applyFill="1" applyBorder="1" applyAlignment="1">
      <alignment horizontal="center"/>
    </xf>
    <xf numFmtId="49" fontId="61" fillId="0" borderId="0" xfId="63" applyNumberFormat="1" applyFont="1" applyFill="1" applyBorder="1" applyAlignment="1">
      <alignment horizontal="center" vertical="center"/>
    </xf>
    <xf numFmtId="0" fontId="23" fillId="0" borderId="0" xfId="63" applyFont="1" applyFill="1" applyBorder="1" applyAlignment="1">
      <alignment vertical="center"/>
    </xf>
    <xf numFmtId="49" fontId="23" fillId="0" borderId="0" xfId="63" applyNumberFormat="1" applyFont="1" applyFill="1" applyBorder="1" applyAlignment="1">
      <alignment vertical="center"/>
    </xf>
    <xf numFmtId="49" fontId="61" fillId="38" borderId="43" xfId="63" applyNumberFormat="1" applyFont="1" applyFill="1" applyBorder="1" applyAlignment="1">
      <alignment horizontal="center" vertical="center"/>
    </xf>
    <xf numFmtId="0" fontId="61" fillId="38" borderId="44" xfId="63" applyFont="1" applyFill="1" applyBorder="1" applyAlignment="1">
      <alignment vertical="center"/>
    </xf>
    <xf numFmtId="49" fontId="23" fillId="39" borderId="33" xfId="63" applyNumberFormat="1" applyFont="1" applyFill="1" applyBorder="1" applyAlignment="1">
      <alignment vertical="center"/>
    </xf>
    <xf numFmtId="49" fontId="61" fillId="38" borderId="15" xfId="63" applyNumberFormat="1" applyFont="1" applyFill="1" applyBorder="1" applyAlignment="1">
      <alignment horizontal="center" vertical="center"/>
    </xf>
    <xf numFmtId="0" fontId="61" fillId="38" borderId="13" xfId="63" applyFont="1" applyFill="1" applyBorder="1" applyAlignment="1">
      <alignment vertical="center"/>
    </xf>
    <xf numFmtId="49" fontId="23" fillId="39" borderId="8" xfId="63" applyNumberFormat="1" applyFont="1" applyFill="1" applyBorder="1" applyAlignment="1">
      <alignment vertical="center"/>
    </xf>
    <xf numFmtId="49" fontId="61" fillId="38" borderId="39" xfId="63" applyNumberFormat="1" applyFont="1" applyFill="1" applyBorder="1" applyAlignment="1">
      <alignment horizontal="center" vertical="center"/>
    </xf>
    <xf numFmtId="0" fontId="61" fillId="38" borderId="40" xfId="63" applyFont="1" applyFill="1" applyBorder="1" applyAlignment="1">
      <alignment vertical="center"/>
    </xf>
    <xf numFmtId="49" fontId="23" fillId="39" borderId="28" xfId="63" applyNumberFormat="1" applyFont="1" applyFill="1" applyBorder="1" applyAlignment="1">
      <alignment vertical="center"/>
    </xf>
    <xf numFmtId="49" fontId="61" fillId="38" borderId="45" xfId="63" applyNumberFormat="1" applyFont="1" applyFill="1" applyBorder="1" applyAlignment="1">
      <alignment horizontal="center" vertical="center"/>
    </xf>
    <xf numFmtId="0" fontId="61" fillId="38" borderId="46" xfId="63" applyFont="1" applyFill="1" applyBorder="1" applyAlignment="1">
      <alignment vertical="center"/>
    </xf>
    <xf numFmtId="49" fontId="23" fillId="39" borderId="8"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23" fillId="39" borderId="33" xfId="63" applyNumberFormat="1" applyFont="1" applyFill="1" applyBorder="1" applyAlignment="1">
      <alignment horizontal="left" vertical="center"/>
    </xf>
    <xf numFmtId="0" fontId="23" fillId="39" borderId="33" xfId="63" applyFont="1" applyFill="1" applyBorder="1" applyAlignment="1">
      <alignment vertical="center"/>
    </xf>
    <xf numFmtId="0" fontId="23" fillId="39" borderId="28" xfId="63" applyFont="1" applyFill="1" applyBorder="1" applyAlignment="1">
      <alignment vertical="center"/>
    </xf>
    <xf numFmtId="0" fontId="23" fillId="39" borderId="8" xfId="63" applyFont="1" applyFill="1" applyBorder="1" applyAlignment="1">
      <alignment horizontal="left" vertical="center"/>
    </xf>
    <xf numFmtId="0" fontId="23" fillId="39" borderId="47" xfId="63" applyFont="1" applyFill="1" applyBorder="1" applyAlignment="1">
      <alignment vertical="center"/>
    </xf>
    <xf numFmtId="49" fontId="23" fillId="40" borderId="8" xfId="63" applyNumberFormat="1" applyFont="1" applyFill="1" applyBorder="1" applyAlignment="1">
      <alignment vertical="center"/>
    </xf>
    <xf numFmtId="0" fontId="23" fillId="40" borderId="8" xfId="63" applyFont="1" applyFill="1" applyBorder="1" applyAlignment="1">
      <alignment vertical="center"/>
    </xf>
    <xf numFmtId="0" fontId="23" fillId="40" borderId="28" xfId="63" applyFont="1" applyFill="1" applyBorder="1" applyAlignment="1">
      <alignment vertical="center"/>
    </xf>
    <xf numFmtId="0" fontId="61" fillId="0" borderId="0" xfId="63" applyFont="1" applyFill="1" applyBorder="1" applyAlignment="1">
      <alignment horizontal="left" vertical="center"/>
    </xf>
    <xf numFmtId="0" fontId="61" fillId="38" borderId="42" xfId="63" applyFont="1" applyFill="1" applyBorder="1" applyAlignment="1">
      <alignment vertical="center"/>
    </xf>
    <xf numFmtId="49" fontId="23" fillId="39" borderId="7" xfId="63" applyNumberFormat="1" applyFont="1" applyFill="1" applyBorder="1" applyAlignment="1">
      <alignment horizontal="left" vertical="center"/>
    </xf>
    <xf numFmtId="49" fontId="23" fillId="38" borderId="42" xfId="63" applyNumberFormat="1" applyFont="1" applyFill="1" applyBorder="1" applyAlignment="1">
      <alignment vertical="center"/>
    </xf>
    <xf numFmtId="49" fontId="23" fillId="0" borderId="0" xfId="63" applyNumberFormat="1" applyFont="1" applyFill="1" applyBorder="1"/>
    <xf numFmtId="0" fontId="10" fillId="0" borderId="0" xfId="0" applyFont="1" applyBorder="1"/>
    <xf numFmtId="0" fontId="11" fillId="0" borderId="0" xfId="0" applyFont="1" applyAlignment="1">
      <alignment horizontal="center"/>
    </xf>
    <xf numFmtId="0" fontId="24"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vertical="top"/>
    </xf>
    <xf numFmtId="0" fontId="11" fillId="0" borderId="0" xfId="0" applyFont="1" applyBorder="1"/>
    <xf numFmtId="0" fontId="11" fillId="0" borderId="0" xfId="63" applyFont="1" applyFill="1" applyAlignment="1"/>
    <xf numFmtId="0" fontId="24" fillId="0" borderId="0" xfId="0" applyFont="1" applyBorder="1" applyAlignment="1">
      <alignment horizontal="left"/>
    </xf>
    <xf numFmtId="0" fontId="11" fillId="0" borderId="0" xfId="0" applyFont="1"/>
    <xf numFmtId="0" fontId="11" fillId="0" borderId="0" xfId="63" applyFont="1" applyFill="1" applyAlignment="1">
      <alignment horizontal="center"/>
    </xf>
    <xf numFmtId="0" fontId="10" fillId="0" borderId="0" xfId="0" applyFont="1"/>
    <xf numFmtId="0" fontId="11" fillId="0" borderId="0" xfId="0" applyFont="1" applyAlignment="1">
      <alignment horizontal="center" vertical="top"/>
    </xf>
    <xf numFmtId="0" fontId="10" fillId="0" borderId="0" xfId="0" applyFont="1" applyAlignment="1">
      <alignment horizontal="left"/>
    </xf>
    <xf numFmtId="0" fontId="62" fillId="0" borderId="0" xfId="63" applyFont="1" applyFill="1" applyAlignment="1"/>
    <xf numFmtId="0" fontId="24" fillId="0" borderId="0" xfId="0" applyFont="1" applyAlignment="1">
      <alignment horizontal="left"/>
    </xf>
    <xf numFmtId="0" fontId="62" fillId="0" borderId="2" xfId="0" applyFont="1" applyBorder="1"/>
    <xf numFmtId="0" fontId="62" fillId="0" borderId="16" xfId="0" applyFont="1" applyBorder="1"/>
    <xf numFmtId="0" fontId="62" fillId="0" borderId="48" xfId="0" applyFont="1" applyBorder="1" applyAlignment="1">
      <alignment horizontal="center" vertical="top"/>
    </xf>
    <xf numFmtId="0" fontId="62" fillId="0" borderId="12" xfId="0" applyFont="1" applyBorder="1" applyAlignment="1">
      <alignment horizontal="center" vertical="top"/>
    </xf>
    <xf numFmtId="0" fontId="62" fillId="0" borderId="17" xfId="0" applyFont="1" applyBorder="1"/>
    <xf numFmtId="0" fontId="62" fillId="0" borderId="22" xfId="0" applyFont="1" applyBorder="1"/>
    <xf numFmtId="0" fontId="62" fillId="0" borderId="49" xfId="0" applyFont="1" applyBorder="1" applyAlignment="1">
      <alignment horizontal="center" vertical="top"/>
    </xf>
    <xf numFmtId="0" fontId="62" fillId="0" borderId="17" xfId="0" applyFont="1" applyBorder="1" applyAlignment="1">
      <alignment horizontal="centerContinuous"/>
    </xf>
    <xf numFmtId="0" fontId="54" fillId="0" borderId="3" xfId="0" applyFont="1" applyBorder="1" applyAlignment="1">
      <alignment horizontal="center" vertical="top"/>
    </xf>
    <xf numFmtId="0" fontId="10" fillId="0" borderId="4" xfId="0" applyFont="1" applyBorder="1" applyAlignment="1">
      <alignment vertical="top"/>
    </xf>
    <xf numFmtId="0" fontId="54" fillId="0" borderId="9" xfId="0" applyFont="1" applyBorder="1" applyAlignment="1">
      <alignment horizontal="center" vertical="top"/>
    </xf>
    <xf numFmtId="0" fontId="62" fillId="0" borderId="30" xfId="0" applyFont="1" applyBorder="1" applyAlignment="1">
      <alignment vertical="top"/>
    </xf>
    <xf numFmtId="0" fontId="54" fillId="0" borderId="50" xfId="0" applyFont="1" applyBorder="1" applyAlignment="1">
      <alignment horizontal="center" vertical="top"/>
    </xf>
    <xf numFmtId="0" fontId="54" fillId="0" borderId="31" xfId="0" applyFont="1" applyBorder="1" applyAlignment="1">
      <alignment horizontal="center" vertical="top"/>
    </xf>
    <xf numFmtId="0" fontId="10" fillId="0" borderId="30" xfId="0" applyFont="1" applyBorder="1" applyAlignment="1">
      <alignment vertical="top"/>
    </xf>
    <xf numFmtId="0" fontId="11" fillId="0" borderId="0" xfId="63" applyFont="1" applyFill="1"/>
    <xf numFmtId="0" fontId="11" fillId="0" borderId="0" xfId="63" applyFont="1" applyAlignment="1"/>
    <xf numFmtId="0" fontId="0" fillId="0" borderId="0" xfId="0" applyAlignment="1">
      <alignment horizontal="center"/>
    </xf>
    <xf numFmtId="0" fontId="0" fillId="0" borderId="17" xfId="0" applyBorder="1"/>
    <xf numFmtId="0" fontId="0" fillId="0" borderId="4" xfId="0" applyBorder="1"/>
    <xf numFmtId="0" fontId="7" fillId="0" borderId="0" xfId="0" applyFont="1" applyFill="1" applyBorder="1" applyAlignment="1" applyProtection="1">
      <alignment horizontal="left" vertical="center"/>
    </xf>
    <xf numFmtId="0" fontId="7" fillId="0" borderId="0" xfId="0" applyFont="1"/>
    <xf numFmtId="0" fontId="0" fillId="0" borderId="0" xfId="0" applyBorder="1" applyAlignment="1">
      <alignment horizontal="center"/>
    </xf>
    <xf numFmtId="0" fontId="5" fillId="0" borderId="0" xfId="0" applyNumberFormat="1" applyFont="1" applyFill="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0" fontId="13" fillId="0" borderId="54" xfId="0" applyFont="1" applyFill="1" applyBorder="1" applyAlignment="1" applyProtection="1">
      <alignment vertical="center"/>
    </xf>
    <xf numFmtId="0" fontId="13" fillId="0" borderId="72" xfId="0" applyFont="1" applyFill="1" applyBorder="1" applyAlignment="1" applyProtection="1">
      <alignment vertical="center"/>
    </xf>
    <xf numFmtId="0" fontId="0" fillId="0" borderId="2" xfId="0" applyBorder="1"/>
    <xf numFmtId="0" fontId="7" fillId="0" borderId="0" xfId="0"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0" fontId="5" fillId="0" borderId="18" xfId="0" applyFont="1" applyBorder="1"/>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0" borderId="0" xfId="0" applyFill="1"/>
    <xf numFmtId="167" fontId="0" fillId="45" borderId="0" xfId="0" applyNumberFormat="1" applyFill="1" applyAlignment="1">
      <alignment horizontal="center" vertical="center"/>
    </xf>
    <xf numFmtId="0" fontId="5" fillId="0" borderId="0" xfId="0" applyFont="1" applyBorder="1" applyAlignment="1">
      <alignment horizontal="center"/>
    </xf>
    <xf numFmtId="0" fontId="36" fillId="0" borderId="0" xfId="43"/>
    <xf numFmtId="0" fontId="30" fillId="0" borderId="0" xfId="43" applyFont="1" applyFill="1" applyProtection="1"/>
    <xf numFmtId="0" fontId="30" fillId="0" borderId="0" xfId="43" applyFont="1" applyFill="1" applyBorder="1" applyAlignment="1" applyProtection="1">
      <alignment horizontal="center"/>
    </xf>
    <xf numFmtId="0" fontId="30" fillId="0" borderId="0" xfId="43" applyFont="1" applyAlignment="1" applyProtection="1">
      <alignment horizontal="left"/>
    </xf>
    <xf numFmtId="0" fontId="30" fillId="0" borderId="0" xfId="43" applyFont="1" applyFill="1" applyBorder="1" applyProtection="1"/>
    <xf numFmtId="1" fontId="30" fillId="0" borderId="0" xfId="43" applyNumberFormat="1" applyFont="1" applyFill="1" applyBorder="1" applyAlignment="1" applyProtection="1">
      <alignment horizontal="center"/>
    </xf>
    <xf numFmtId="0" fontId="17" fillId="0" borderId="0" xfId="43" applyFont="1" applyFill="1" applyBorder="1" applyAlignment="1" applyProtection="1">
      <alignment vertical="center"/>
    </xf>
    <xf numFmtId="0" fontId="30" fillId="0" borderId="0" xfId="43" applyNumberFormat="1" applyFont="1" applyBorder="1" applyAlignment="1" applyProtection="1">
      <alignment horizontal="center"/>
    </xf>
    <xf numFmtId="167" fontId="30" fillId="0" borderId="0" xfId="43" applyNumberFormat="1" applyFont="1" applyFill="1" applyBorder="1" applyAlignment="1" applyProtection="1">
      <alignment horizontal="center"/>
    </xf>
    <xf numFmtId="0" fontId="36" fillId="0" borderId="0" xfId="43" applyFill="1"/>
    <xf numFmtId="0" fontId="0" fillId="46" borderId="0" xfId="0" applyFill="1"/>
    <xf numFmtId="0" fontId="0" fillId="0" borderId="0" xfId="0"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1" fontId="1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16" fillId="0" borderId="0"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7" fillId="0" borderId="0" xfId="0" applyFont="1" applyBorder="1" applyAlignment="1" applyProtection="1">
      <alignment horizontal="center" vertical="center"/>
      <protection hidden="1"/>
    </xf>
    <xf numFmtId="0" fontId="5" fillId="47" borderId="2" xfId="0" applyFont="1" applyFill="1" applyBorder="1" applyAlignment="1" applyProtection="1">
      <alignment vertical="center"/>
    </xf>
    <xf numFmtId="0" fontId="5" fillId="47" borderId="3" xfId="0" applyFont="1" applyFill="1" applyBorder="1" applyAlignment="1" applyProtection="1">
      <alignment vertical="center"/>
    </xf>
    <xf numFmtId="0" fontId="5" fillId="47" borderId="4" xfId="0" applyFont="1" applyFill="1" applyBorder="1" applyAlignment="1" applyProtection="1">
      <alignment vertical="center"/>
    </xf>
    <xf numFmtId="0" fontId="5" fillId="47" borderId="0" xfId="0" applyFont="1" applyFill="1" applyBorder="1" applyAlignment="1" applyProtection="1">
      <alignment vertical="center"/>
    </xf>
    <xf numFmtId="0" fontId="5" fillId="47" borderId="12" xfId="0" applyFont="1" applyFill="1" applyBorder="1" applyAlignment="1" applyProtection="1">
      <alignment horizontal="center" vertical="center" wrapText="1"/>
    </xf>
    <xf numFmtId="0" fontId="5" fillId="47" borderId="4" xfId="0" applyFont="1" applyFill="1" applyBorder="1" applyAlignment="1" applyProtection="1">
      <alignment horizontal="left" vertical="center"/>
    </xf>
    <xf numFmtId="0" fontId="13" fillId="47" borderId="0" xfId="0" applyFont="1" applyFill="1" applyBorder="1" applyAlignment="1" applyProtection="1">
      <alignment horizontal="left" vertical="center"/>
    </xf>
    <xf numFmtId="0" fontId="13" fillId="47" borderId="12" xfId="0" applyFont="1" applyFill="1" applyBorder="1" applyAlignment="1" applyProtection="1">
      <alignment horizontal="center" vertical="center"/>
    </xf>
    <xf numFmtId="0" fontId="13" fillId="47" borderId="14" xfId="0" applyFont="1" applyFill="1" applyBorder="1" applyAlignment="1" applyProtection="1">
      <alignment horizontal="center" vertical="center"/>
    </xf>
    <xf numFmtId="0" fontId="8" fillId="47" borderId="13" xfId="0" applyFont="1" applyFill="1" applyBorder="1" applyAlignment="1" applyProtection="1">
      <alignment horizontal="center" vertical="center"/>
    </xf>
    <xf numFmtId="0" fontId="8" fillId="47" borderId="15" xfId="0" applyFont="1" applyFill="1" applyBorder="1" applyAlignment="1" applyProtection="1">
      <alignment horizontal="center" vertical="center"/>
    </xf>
    <xf numFmtId="0" fontId="8" fillId="47" borderId="0" xfId="0" applyFont="1" applyFill="1" applyBorder="1" applyAlignment="1" applyProtection="1">
      <alignment horizontal="center" vertical="center"/>
    </xf>
    <xf numFmtId="0" fontId="0" fillId="47" borderId="76" xfId="0" applyFill="1" applyBorder="1" applyAlignment="1" applyProtection="1">
      <alignment horizontal="center" vertical="center"/>
    </xf>
    <xf numFmtId="0" fontId="8" fillId="47" borderId="63" xfId="0" applyFont="1" applyFill="1" applyBorder="1" applyAlignment="1" applyProtection="1">
      <alignment horizontal="center" vertical="center"/>
    </xf>
    <xf numFmtId="0" fontId="13" fillId="47" borderId="77" xfId="0" applyFont="1" applyFill="1" applyBorder="1" applyAlignment="1">
      <alignment horizontal="center" vertical="center"/>
    </xf>
    <xf numFmtId="0" fontId="13" fillId="47" borderId="18" xfId="0" applyFont="1" applyFill="1" applyBorder="1" applyAlignment="1">
      <alignment horizontal="center" vertical="center"/>
    </xf>
    <xf numFmtId="0" fontId="13" fillId="47" borderId="49" xfId="0" applyFont="1" applyFill="1" applyBorder="1" applyAlignment="1" applyProtection="1">
      <alignment horizontal="center" vertical="center"/>
    </xf>
    <xf numFmtId="0" fontId="5" fillId="47" borderId="1" xfId="0" applyFont="1" applyFill="1" applyBorder="1" applyAlignment="1" applyProtection="1">
      <alignment vertical="center"/>
    </xf>
    <xf numFmtId="0" fontId="16" fillId="47" borderId="5" xfId="0" applyFont="1" applyFill="1" applyBorder="1" applyAlignment="1" applyProtection="1">
      <alignment vertical="center"/>
    </xf>
    <xf numFmtId="0" fontId="16" fillId="47" borderId="5" xfId="0" applyFont="1" applyFill="1" applyBorder="1" applyAlignment="1" applyProtection="1">
      <alignment horizontal="center" vertical="center"/>
    </xf>
    <xf numFmtId="0" fontId="5" fillId="47" borderId="5" xfId="0" applyFont="1" applyFill="1" applyBorder="1" applyAlignment="1" applyProtection="1">
      <alignment vertical="center"/>
    </xf>
    <xf numFmtId="0" fontId="5" fillId="48" borderId="75" xfId="0" applyFont="1" applyFill="1" applyBorder="1" applyAlignment="1" applyProtection="1">
      <alignment horizontal="center" vertical="center"/>
    </xf>
    <xf numFmtId="0" fontId="5" fillId="48" borderId="52" xfId="0" applyFont="1" applyFill="1" applyBorder="1" applyAlignment="1" applyProtection="1">
      <alignment horizontal="center" vertical="center"/>
    </xf>
    <xf numFmtId="0" fontId="5" fillId="48" borderId="49" xfId="0" applyFont="1" applyFill="1" applyBorder="1" applyAlignment="1" applyProtection="1">
      <alignment horizontal="center" vertical="center"/>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5" xfId="0" applyFont="1" applyFill="1" applyBorder="1" applyAlignment="1" applyProtection="1">
      <alignment horizontal="center" vertical="center"/>
    </xf>
    <xf numFmtId="0" fontId="17" fillId="46" borderId="1" xfId="0" applyFont="1" applyFill="1" applyBorder="1" applyAlignment="1" applyProtection="1">
      <alignment vertical="center"/>
    </xf>
    <xf numFmtId="0" fontId="17" fillId="46" borderId="5" xfId="0" applyFont="1" applyFill="1" applyBorder="1" applyAlignment="1" applyProtection="1">
      <alignment vertical="center"/>
    </xf>
    <xf numFmtId="0" fontId="17" fillId="46" borderId="11" xfId="0" applyFont="1" applyFill="1" applyBorder="1" applyAlignment="1" applyProtection="1">
      <alignment vertical="center"/>
    </xf>
    <xf numFmtId="0" fontId="13" fillId="46" borderId="5" xfId="0" applyFont="1" applyFill="1" applyBorder="1" applyAlignment="1" applyProtection="1">
      <alignment horizontal="center" vertical="center"/>
    </xf>
    <xf numFmtId="0" fontId="5" fillId="46" borderId="11" xfId="0" applyFont="1" applyFill="1" applyBorder="1" applyAlignment="1" applyProtection="1">
      <alignment horizontal="center" vertical="center"/>
    </xf>
    <xf numFmtId="0" fontId="5" fillId="48" borderId="79" xfId="0" applyFont="1" applyFill="1" applyBorder="1" applyAlignment="1" applyProtection="1">
      <alignment horizontal="center" vertical="center"/>
    </xf>
    <xf numFmtId="0" fontId="5" fillId="48" borderId="64" xfId="0" applyFont="1" applyFill="1" applyBorder="1" applyAlignment="1" applyProtection="1">
      <alignment horizontal="center" vertical="center"/>
    </xf>
    <xf numFmtId="0" fontId="13" fillId="0" borderId="0" xfId="0" applyFont="1" applyAlignment="1" applyProtection="1">
      <alignment vertical="center"/>
    </xf>
    <xf numFmtId="0" fontId="5" fillId="0" borderId="80" xfId="0" applyFont="1" applyBorder="1" applyAlignment="1">
      <alignment horizontal="center"/>
    </xf>
    <xf numFmtId="0" fontId="5" fillId="0" borderId="81" xfId="0" applyFont="1" applyBorder="1" applyAlignment="1">
      <alignment horizontal="center"/>
    </xf>
    <xf numFmtId="0" fontId="5" fillId="0" borderId="0" xfId="0" applyFont="1" applyFill="1" applyAlignment="1" applyProtection="1">
      <alignment vertical="center"/>
      <protection hidden="1"/>
    </xf>
    <xf numFmtId="0" fontId="0" fillId="0" borderId="0" xfId="0" applyFill="1" applyAlignment="1">
      <alignment vertical="center"/>
    </xf>
    <xf numFmtId="0" fontId="0" fillId="0" borderId="0" xfId="0" applyFill="1" applyAlignment="1" applyProtection="1">
      <alignment vertical="center"/>
      <protection hidden="1"/>
    </xf>
    <xf numFmtId="0" fontId="65" fillId="0" borderId="0" xfId="0" applyFont="1"/>
    <xf numFmtId="0" fontId="65" fillId="0" borderId="0" xfId="0" applyFont="1" applyAlignment="1">
      <alignment horizontal="center"/>
    </xf>
    <xf numFmtId="0" fontId="0" fillId="0" borderId="0" xfId="0" applyProtection="1"/>
    <xf numFmtId="0" fontId="36" fillId="0" borderId="0" xfId="43" applyProtection="1"/>
    <xf numFmtId="167" fontId="0" fillId="45" borderId="0" xfId="0" applyNumberFormat="1" applyFill="1" applyBorder="1" applyAlignment="1">
      <alignment horizontal="center" vertical="center"/>
    </xf>
    <xf numFmtId="167" fontId="0" fillId="45" borderId="13" xfId="0" applyNumberFormat="1" applyFill="1" applyBorder="1" applyAlignment="1">
      <alignment horizontal="center" vertical="center"/>
    </xf>
    <xf numFmtId="167" fontId="0" fillId="45" borderId="24" xfId="0" applyNumberFormat="1" applyFill="1" applyBorder="1" applyAlignment="1">
      <alignment horizontal="center" vertical="center"/>
    </xf>
    <xf numFmtId="0" fontId="66" fillId="0" borderId="0" xfId="43" applyFont="1" applyFill="1" applyAlignment="1">
      <alignment vertical="center"/>
    </xf>
    <xf numFmtId="1" fontId="5" fillId="0" borderId="64" xfId="0" applyNumberFormat="1" applyFont="1" applyFill="1" applyBorder="1" applyAlignment="1" applyProtection="1">
      <alignment horizontal="center" vertical="center"/>
      <protection hidden="1"/>
    </xf>
    <xf numFmtId="2" fontId="8" fillId="0" borderId="7" xfId="0" applyNumberFormat="1" applyFont="1" applyFill="1" applyBorder="1" applyAlignment="1" applyProtection="1">
      <alignment horizontal="center" vertical="center"/>
      <protection hidden="1"/>
    </xf>
    <xf numFmtId="2" fontId="8" fillId="0" borderId="42" xfId="0" applyNumberFormat="1" applyFont="1" applyBorder="1" applyAlignment="1" applyProtection="1">
      <alignment horizontal="center" vertical="center"/>
      <protection hidden="1"/>
    </xf>
    <xf numFmtId="2" fontId="8" fillId="0" borderId="28" xfId="0" applyNumberFormat="1" applyFont="1" applyFill="1" applyBorder="1" applyAlignment="1" applyProtection="1">
      <alignment horizontal="center" vertical="center"/>
      <protection hidden="1"/>
    </xf>
    <xf numFmtId="0" fontId="13" fillId="0" borderId="1" xfId="43" applyNumberFormat="1" applyFont="1" applyBorder="1" applyAlignment="1" applyProtection="1">
      <alignment horizontal="center"/>
      <protection hidden="1"/>
    </xf>
    <xf numFmtId="1" fontId="13" fillId="0" borderId="59" xfId="43" applyNumberFormat="1" applyFont="1" applyFill="1" applyBorder="1" applyAlignment="1" applyProtection="1">
      <alignment horizontal="center" vertical="center"/>
      <protection hidden="1"/>
    </xf>
    <xf numFmtId="1" fontId="8" fillId="0" borderId="64"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5" fillId="0" borderId="56" xfId="0" applyNumberFormat="1" applyFont="1" applyFill="1" applyBorder="1" applyAlignment="1" applyProtection="1">
      <alignment horizontal="center" vertical="center"/>
      <protection hidden="1"/>
    </xf>
    <xf numFmtId="1" fontId="5" fillId="0" borderId="12" xfId="0" applyNumberFormat="1" applyFont="1" applyFill="1" applyBorder="1" applyAlignment="1" applyProtection="1">
      <alignment horizontal="center" vertical="center"/>
      <protection hidden="1"/>
    </xf>
    <xf numFmtId="0" fontId="7" fillId="42" borderId="1" xfId="0" applyFont="1" applyFill="1" applyBorder="1" applyAlignment="1" applyProtection="1">
      <alignment horizontal="center" vertical="center"/>
      <protection hidden="1"/>
    </xf>
    <xf numFmtId="0" fontId="7" fillId="42" borderId="64" xfId="0"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53" fillId="0" borderId="0" xfId="0" applyFont="1" applyAlignment="1" applyProtection="1">
      <alignment vertical="center"/>
      <protection hidden="1"/>
    </xf>
    <xf numFmtId="1" fontId="7" fillId="47" borderId="64" xfId="0" applyNumberFormat="1" applyFont="1" applyFill="1" applyBorder="1" applyAlignment="1" applyProtection="1">
      <alignment horizontal="center" vertical="center"/>
      <protection hidden="1"/>
    </xf>
    <xf numFmtId="167" fontId="0" fillId="0" borderId="0" xfId="0" applyNumberFormat="1" applyFill="1" applyAlignment="1">
      <alignment horizontal="center" vertical="center"/>
    </xf>
    <xf numFmtId="0" fontId="53"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1" fontId="5" fillId="0" borderId="0" xfId="0" applyNumberFormat="1" applyFont="1" applyBorder="1" applyAlignment="1" applyProtection="1">
      <alignment horizontal="center" vertical="center"/>
      <protection hidden="1"/>
    </xf>
    <xf numFmtId="0" fontId="64" fillId="47" borderId="5" xfId="0" applyFont="1" applyFill="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 fontId="5" fillId="0" borderId="87" xfId="0" applyNumberFormat="1" applyFont="1" applyBorder="1" applyAlignment="1" applyProtection="1">
      <alignment horizontal="center" vertical="center"/>
      <protection hidden="1"/>
    </xf>
    <xf numFmtId="1" fontId="5" fillId="0" borderId="88" xfId="0" applyNumberFormat="1" applyFont="1" applyBorder="1" applyAlignment="1" applyProtection="1">
      <alignment horizontal="center" vertical="center"/>
      <protection hidden="1"/>
    </xf>
    <xf numFmtId="1" fontId="0" fillId="3" borderId="75"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63" fillId="0" borderId="0" xfId="0" applyFont="1" applyAlignment="1" applyProtection="1">
      <alignment vertical="center"/>
      <protection hidden="1"/>
    </xf>
    <xf numFmtId="0" fontId="0" fillId="0" borderId="64" xfId="0" applyBorder="1" applyAlignment="1" applyProtection="1">
      <alignment vertical="center"/>
      <protection locked="0" hidden="1"/>
    </xf>
    <xf numFmtId="0" fontId="13"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7" fillId="0" borderId="0" xfId="0" applyFont="1" applyAlignment="1" applyProtection="1">
      <alignment vertical="center"/>
      <protection locked="0" hidden="1"/>
    </xf>
    <xf numFmtId="0" fontId="17" fillId="0" borderId="0" xfId="0" applyFont="1" applyFill="1" applyAlignment="1" applyProtection="1">
      <alignment vertical="center"/>
      <protection locked="0" hidden="1"/>
    </xf>
    <xf numFmtId="0" fontId="16" fillId="0" borderId="0" xfId="0" applyFont="1" applyAlignment="1" applyProtection="1">
      <alignment vertical="center"/>
      <protection locked="0" hidden="1"/>
    </xf>
    <xf numFmtId="0" fontId="16"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left" vertical="center"/>
      <protection locked="0" hidden="1"/>
    </xf>
    <xf numFmtId="0" fontId="5"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44" borderId="31" xfId="0" applyFont="1"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3"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0" fillId="44" borderId="0" xfId="0" applyFill="1" applyBorder="1" applyAlignment="1" applyProtection="1">
      <alignment horizontal="center" vertical="center"/>
      <protection locked="0" hidden="1"/>
    </xf>
    <xf numFmtId="0" fontId="13" fillId="44" borderId="0" xfId="0" applyFont="1" applyFill="1" applyBorder="1" applyAlignment="1" applyProtection="1">
      <alignment horizontal="center" vertical="center"/>
      <protection locked="0" hidden="1"/>
    </xf>
    <xf numFmtId="0" fontId="13"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4" borderId="0" xfId="0" applyFill="1" applyAlignment="1" applyProtection="1">
      <alignment vertical="center"/>
      <protection locked="0" hidden="1"/>
    </xf>
    <xf numFmtId="0" fontId="13" fillId="0" borderId="67" xfId="0" applyFont="1" applyFill="1" applyBorder="1" applyAlignment="1" applyProtection="1">
      <alignment horizontal="center" vertical="center"/>
      <protection locked="0" hidden="1"/>
    </xf>
    <xf numFmtId="0" fontId="13" fillId="0" borderId="40" xfId="0" applyFont="1" applyFill="1" applyBorder="1" applyAlignment="1" applyProtection="1">
      <alignment horizontal="center" vertical="center"/>
      <protection locked="0" hidden="1"/>
    </xf>
    <xf numFmtId="0" fontId="13" fillId="0" borderId="6" xfId="0" applyFont="1" applyFill="1" applyBorder="1" applyAlignment="1" applyProtection="1">
      <alignment horizontal="center" vertical="center"/>
      <protection locked="0" hidden="1"/>
    </xf>
    <xf numFmtId="0" fontId="13"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4"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41"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4" xfId="0" applyNumberFormat="1" applyFill="1" applyBorder="1" applyAlignment="1" applyProtection="1">
      <alignment horizontal="center" vertical="center"/>
      <protection locked="0" hidden="1"/>
    </xf>
    <xf numFmtId="0" fontId="0" fillId="41"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3" borderId="8" xfId="0" applyFill="1" applyBorder="1" applyAlignment="1" applyProtection="1">
      <alignment horizontal="center" vertical="center"/>
      <protection locked="0" hidden="1"/>
    </xf>
    <xf numFmtId="1" fontId="0" fillId="3" borderId="24" xfId="0" applyNumberFormat="1" applyFill="1" applyBorder="1" applyAlignment="1" applyProtection="1">
      <alignment horizontal="center" vertical="center"/>
      <protection locked="0" hidden="1"/>
    </xf>
    <xf numFmtId="1" fontId="0" fillId="3" borderId="13" xfId="0" applyNumberFormat="1" applyFill="1" applyBorder="1" applyAlignment="1" applyProtection="1">
      <alignment horizontal="center" vertical="center"/>
      <protection locked="0" hidden="1"/>
    </xf>
    <xf numFmtId="1" fontId="0" fillId="0" borderId="73" xfId="0" applyNumberFormat="1" applyFill="1" applyBorder="1" applyAlignment="1" applyProtection="1">
      <alignment horizontal="center" vertical="center"/>
      <protection locked="0" hidden="1"/>
    </xf>
    <xf numFmtId="1" fontId="0" fillId="0" borderId="42" xfId="0" applyNumberFormat="1" applyFill="1" applyBorder="1" applyAlignment="1" applyProtection="1">
      <alignment horizontal="center" vertical="center"/>
      <protection locked="0" hidden="1"/>
    </xf>
    <xf numFmtId="0" fontId="5" fillId="0" borderId="13" xfId="0" applyFont="1" applyFill="1" applyBorder="1" applyAlignment="1" applyProtection="1">
      <alignment horizontal="center" vertical="center"/>
      <protection locked="0" hidden="1"/>
    </xf>
    <xf numFmtId="0" fontId="5" fillId="0" borderId="24" xfId="0" applyFont="1" applyFill="1" applyBorder="1" applyAlignment="1" applyProtection="1">
      <alignment horizontal="center" vertical="center"/>
      <protection locked="0" hidden="1"/>
    </xf>
    <xf numFmtId="0" fontId="5" fillId="44" borderId="0" xfId="0" applyFont="1" applyFill="1" applyBorder="1" applyAlignment="1" applyProtection="1">
      <alignment horizontal="center" vertical="center"/>
      <protection locked="0" hidden="1"/>
    </xf>
    <xf numFmtId="0" fontId="5" fillId="0" borderId="8" xfId="0" applyFont="1" applyFill="1" applyBorder="1" applyAlignment="1" applyProtection="1">
      <alignment horizontal="center" vertical="center"/>
      <protection locked="0" hidden="1"/>
    </xf>
    <xf numFmtId="0" fontId="5" fillId="3" borderId="8" xfId="0" applyFont="1" applyFill="1" applyBorder="1" applyAlignment="1" applyProtection="1">
      <alignment horizontal="center" vertical="center"/>
      <protection locked="0" hidden="1"/>
    </xf>
    <xf numFmtId="1" fontId="5" fillId="0" borderId="18" xfId="0" applyNumberFormat="1" applyFont="1" applyFill="1" applyBorder="1" applyAlignment="1" applyProtection="1">
      <alignment horizontal="center" vertical="center"/>
      <protection locked="0" hidden="1"/>
    </xf>
    <xf numFmtId="1" fontId="5" fillId="0" borderId="22" xfId="0" applyNumberFormat="1" applyFont="1" applyFill="1" applyBorder="1" applyAlignment="1" applyProtection="1">
      <alignment horizontal="center" vertical="center"/>
      <protection locked="0" hidden="1"/>
    </xf>
    <xf numFmtId="0" fontId="5" fillId="0" borderId="28" xfId="0" applyFont="1" applyFill="1" applyBorder="1" applyAlignment="1" applyProtection="1">
      <alignment horizontal="center" vertical="center"/>
      <protection locked="0" hidden="1"/>
    </xf>
    <xf numFmtId="1" fontId="5" fillId="0" borderId="64"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locked="0" hidden="1"/>
    </xf>
    <xf numFmtId="1" fontId="5" fillId="0" borderId="67" xfId="0" applyNumberFormat="1" applyFont="1" applyFill="1" applyBorder="1" applyAlignment="1" applyProtection="1">
      <alignment horizontal="center" vertical="center"/>
      <protection locked="0" hidden="1"/>
    </xf>
    <xf numFmtId="1" fontId="5" fillId="0" borderId="6" xfId="0" applyNumberFormat="1" applyFont="1" applyFill="1" applyBorder="1" applyAlignment="1" applyProtection="1">
      <alignment horizontal="center" vertical="center"/>
      <protection locked="0" hidden="1"/>
    </xf>
    <xf numFmtId="1" fontId="5" fillId="0" borderId="40" xfId="0" applyNumberFormat="1" applyFont="1" applyFill="1" applyBorder="1" applyAlignment="1" applyProtection="1">
      <alignment horizontal="center" vertical="center"/>
      <protection locked="0" hidden="1"/>
    </xf>
    <xf numFmtId="1" fontId="5" fillId="44" borderId="6" xfId="0" applyNumberFormat="1" applyFont="1" applyFill="1" applyBorder="1" applyAlignment="1" applyProtection="1">
      <alignment horizontal="center" vertical="center"/>
      <protection locked="0" hidden="1"/>
    </xf>
    <xf numFmtId="1" fontId="5" fillId="0" borderId="28" xfId="0" applyNumberFormat="1" applyFont="1" applyFill="1" applyBorder="1" applyAlignment="1" applyProtection="1">
      <alignment horizontal="center" vertical="center"/>
      <protection locked="0" hidden="1"/>
    </xf>
    <xf numFmtId="167" fontId="5" fillId="0" borderId="58" xfId="0" applyNumberFormat="1" applyFont="1" applyFill="1" applyBorder="1" applyAlignment="1" applyProtection="1">
      <alignment horizontal="center" vertical="center"/>
      <protection locked="0" hidden="1"/>
    </xf>
    <xf numFmtId="1" fontId="7" fillId="0" borderId="0" xfId="0" applyNumberFormat="1" applyFont="1" applyFill="1" applyBorder="1" applyAlignment="1" applyProtection="1">
      <alignment horizontal="center" vertical="center"/>
      <protection hidden="1"/>
    </xf>
    <xf numFmtId="1" fontId="7" fillId="0" borderId="0" xfId="0" applyNumberFormat="1" applyFont="1" applyFill="1" applyBorder="1" applyAlignment="1" applyProtection="1">
      <alignment horizontal="center" vertical="center"/>
      <protection locked="0" hidden="1"/>
    </xf>
    <xf numFmtId="1" fontId="7" fillId="0" borderId="64" xfId="0" applyNumberFormat="1"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locked="0" hidden="1"/>
    </xf>
    <xf numFmtId="167" fontId="7" fillId="0" borderId="0" xfId="0" applyNumberFormat="1" applyFont="1" applyFill="1" applyBorder="1" applyAlignment="1" applyProtection="1">
      <alignment horizontal="center" vertical="center"/>
      <protection locked="0" hidden="1"/>
    </xf>
    <xf numFmtId="0" fontId="7" fillId="3" borderId="8"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center" vertical="center"/>
      <protection hidden="1"/>
    </xf>
    <xf numFmtId="1" fontId="8" fillId="0" borderId="0" xfId="0" applyNumberFormat="1" applyFont="1" applyFill="1" applyBorder="1" applyAlignment="1" applyProtection="1">
      <alignment horizontal="center" vertical="center"/>
      <protection locked="0" hidden="1"/>
    </xf>
    <xf numFmtId="2" fontId="8" fillId="0" borderId="0" xfId="0" applyNumberFormat="1" applyFont="1" applyFill="1" applyBorder="1" applyAlignment="1" applyProtection="1">
      <alignment horizontal="center" vertical="center"/>
      <protection locked="0" hidden="1"/>
    </xf>
    <xf numFmtId="0" fontId="8" fillId="0" borderId="0" xfId="0" applyFont="1" applyFill="1" applyBorder="1" applyAlignment="1" applyProtection="1">
      <alignment horizontal="center" vertical="center"/>
      <protection locked="0" hidden="1"/>
    </xf>
    <xf numFmtId="167" fontId="8" fillId="0" borderId="0" xfId="0" applyNumberFormat="1" applyFont="1" applyFill="1" applyBorder="1" applyAlignment="1" applyProtection="1">
      <alignment horizontal="center" vertical="center"/>
      <protection locked="0" hidden="1"/>
    </xf>
    <xf numFmtId="0" fontId="8" fillId="3" borderId="8" xfId="0"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1" fontId="13" fillId="3" borderId="24" xfId="0" applyNumberFormat="1" applyFont="1" applyFill="1" applyBorder="1" applyAlignment="1" applyProtection="1">
      <alignment horizontal="center" vertical="center"/>
      <protection locked="0" hidden="1"/>
    </xf>
    <xf numFmtId="1" fontId="13" fillId="3" borderId="13" xfId="0" applyNumberFormat="1" applyFont="1" applyFill="1" applyBorder="1" applyAlignment="1" applyProtection="1">
      <alignment horizontal="center" vertical="center"/>
      <protection locked="0" hidden="1"/>
    </xf>
    <xf numFmtId="0" fontId="5" fillId="0" borderId="7" xfId="0" applyFont="1" applyFill="1" applyBorder="1" applyAlignment="1" applyProtection="1">
      <alignment horizontal="center" vertical="center"/>
      <protection locked="0" hidden="1"/>
    </xf>
    <xf numFmtId="0" fontId="13" fillId="0" borderId="7" xfId="43" applyFont="1" applyFill="1" applyBorder="1" applyAlignment="1" applyProtection="1">
      <alignment horizontal="center" vertical="center"/>
      <protection hidden="1"/>
    </xf>
    <xf numFmtId="1" fontId="13" fillId="0" borderId="7" xfId="43" applyNumberFormat="1" applyFont="1" applyFill="1" applyBorder="1" applyAlignment="1" applyProtection="1">
      <alignment horizontal="center" vertical="center"/>
      <protection hidden="1"/>
    </xf>
    <xf numFmtId="0" fontId="5" fillId="0" borderId="73" xfId="0" applyFont="1" applyFill="1" applyBorder="1" applyAlignment="1" applyProtection="1">
      <alignment horizontal="center" vertical="center"/>
      <protection locked="0" hidden="1"/>
    </xf>
    <xf numFmtId="1" fontId="5" fillId="0" borderId="7" xfId="0" applyNumberFormat="1" applyFont="1" applyFill="1" applyBorder="1" applyAlignment="1" applyProtection="1">
      <alignment horizontal="center" vertical="center"/>
      <protection locked="0" hidden="1"/>
    </xf>
    <xf numFmtId="1" fontId="13" fillId="0" borderId="24" xfId="0" applyNumberFormat="1" applyFont="1" applyFill="1" applyBorder="1" applyAlignment="1" applyProtection="1">
      <alignment horizontal="center" vertical="center"/>
      <protection locked="0" hidden="1"/>
    </xf>
    <xf numFmtId="1" fontId="13" fillId="0" borderId="13" xfId="0" applyNumberFormat="1" applyFont="1" applyFill="1" applyBorder="1" applyAlignment="1" applyProtection="1">
      <alignment horizontal="center" vertical="center"/>
      <protection locked="0" hidden="1"/>
    </xf>
    <xf numFmtId="0" fontId="0" fillId="3" borderId="8" xfId="0" applyFill="1" applyBorder="1" applyAlignment="1" applyProtection="1">
      <alignment vertical="center"/>
      <protection locked="0" hidden="1"/>
    </xf>
    <xf numFmtId="0" fontId="16" fillId="0" borderId="0" xfId="0" applyFont="1" applyFill="1" applyBorder="1" applyAlignment="1" applyProtection="1">
      <alignment horizontal="center" vertical="center"/>
      <protection locked="0" hidden="1"/>
    </xf>
    <xf numFmtId="1" fontId="8" fillId="0" borderId="64" xfId="0" applyNumberFormat="1" applyFont="1" applyFill="1" applyBorder="1" applyAlignment="1" applyProtection="1">
      <alignment horizontal="center" vertical="center"/>
      <protection locked="0" hidden="1"/>
    </xf>
    <xf numFmtId="1" fontId="8" fillId="0" borderId="74" xfId="0" applyNumberFormat="1" applyFont="1" applyFill="1" applyBorder="1" applyAlignment="1" applyProtection="1">
      <alignment horizontal="center" vertical="center"/>
      <protection locked="0" hidden="1"/>
    </xf>
    <xf numFmtId="1" fontId="8" fillId="0" borderId="51" xfId="0" applyNumberFormat="1" applyFont="1" applyFill="1" applyBorder="1" applyAlignment="1" applyProtection="1">
      <alignment horizontal="center" vertical="center"/>
      <protection locked="0" hidden="1"/>
    </xf>
    <xf numFmtId="1" fontId="8" fillId="0" borderId="0" xfId="0" applyNumberFormat="1" applyFont="1" applyFill="1" applyBorder="1" applyAlignment="1" applyProtection="1">
      <alignment horizontal="left" vertical="center"/>
      <protection locked="0" hidden="1"/>
    </xf>
    <xf numFmtId="0" fontId="8" fillId="0" borderId="0" xfId="0"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7" fontId="5" fillId="0" borderId="0" xfId="0" applyNumberFormat="1" applyFont="1" applyFill="1" applyBorder="1" applyAlignment="1" applyProtection="1">
      <alignment horizontal="center" vertical="center" wrapText="1"/>
      <protection locked="0" hidden="1"/>
    </xf>
    <xf numFmtId="0" fontId="13" fillId="0" borderId="54" xfId="0" applyFont="1" applyFill="1" applyBorder="1" applyAlignment="1" applyProtection="1">
      <alignment horizontal="center" vertical="center"/>
      <protection locked="0" hidden="1"/>
    </xf>
    <xf numFmtId="0" fontId="13" fillId="0" borderId="56" xfId="0" applyFont="1" applyBorder="1" applyAlignment="1" applyProtection="1">
      <alignment horizontal="center" vertical="center"/>
      <protection locked="0" hidden="1"/>
    </xf>
    <xf numFmtId="0" fontId="5" fillId="0" borderId="0" xfId="0" applyFont="1" applyBorder="1" applyAlignment="1" applyProtection="1">
      <alignment horizontal="center" textRotation="90"/>
      <protection locked="0" hidden="1"/>
    </xf>
    <xf numFmtId="1" fontId="5" fillId="0" borderId="72" xfId="0" applyNumberFormat="1" applyFont="1" applyFill="1" applyBorder="1" applyAlignment="1" applyProtection="1">
      <alignment horizontal="center" vertical="center"/>
      <protection locked="0" hidden="1"/>
    </xf>
    <xf numFmtId="1" fontId="5" fillId="0" borderId="75" xfId="0" applyNumberFormat="1" applyFont="1" applyBorder="1" applyAlignment="1" applyProtection="1">
      <alignment horizontal="center" vertical="center"/>
      <protection locked="0" hidden="1"/>
    </xf>
    <xf numFmtId="0" fontId="7" fillId="0" borderId="0" xfId="0" applyFont="1" applyBorder="1" applyAlignment="1" applyProtection="1">
      <alignment horizontal="center" textRotation="90"/>
      <protection locked="0" hidden="1"/>
    </xf>
    <xf numFmtId="0" fontId="7" fillId="0" borderId="0" xfId="0" applyFont="1" applyAlignment="1" applyProtection="1">
      <alignment vertical="center"/>
      <protection locked="0" hidden="1"/>
    </xf>
    <xf numFmtId="165" fontId="5" fillId="0" borderId="56" xfId="0" applyNumberFormat="1" applyFont="1" applyBorder="1" applyAlignment="1" applyProtection="1">
      <alignment horizontal="center" vertical="center"/>
      <protection locked="0" hidden="1"/>
    </xf>
    <xf numFmtId="0" fontId="5" fillId="0" borderId="0" xfId="0" applyFont="1" applyBorder="1" applyAlignment="1" applyProtection="1">
      <alignment horizontal="center" vertical="center"/>
      <protection locked="0" hidden="1"/>
    </xf>
    <xf numFmtId="167" fontId="5" fillId="0" borderId="0" xfId="0" applyNumberFormat="1" applyFont="1" applyBorder="1" applyAlignment="1" applyProtection="1">
      <alignment horizontal="center" vertical="center"/>
      <protection locked="0" hidden="1"/>
    </xf>
    <xf numFmtId="0" fontId="8" fillId="0" borderId="0" xfId="0" applyFont="1" applyBorder="1" applyAlignment="1" applyProtection="1">
      <alignment vertical="center"/>
      <protection locked="0" hidden="1"/>
    </xf>
    <xf numFmtId="0" fontId="8"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7" fillId="0" borderId="0" xfId="0" applyFont="1" applyProtection="1">
      <protection locked="0" hidden="1"/>
    </xf>
    <xf numFmtId="0" fontId="7" fillId="0" borderId="0" xfId="0" applyFont="1" applyProtection="1">
      <protection hidden="1"/>
    </xf>
    <xf numFmtId="0" fontId="13" fillId="0" borderId="0" xfId="0" applyFont="1" applyAlignment="1" applyProtection="1">
      <alignment horizontal="center"/>
      <protection locked="0" hidden="1"/>
    </xf>
    <xf numFmtId="0" fontId="5" fillId="47" borderId="72" xfId="0" applyFont="1" applyFill="1" applyBorder="1" applyAlignment="1" applyProtection="1">
      <alignment vertical="center"/>
    </xf>
    <xf numFmtId="0" fontId="5" fillId="47" borderId="73" xfId="0" applyFont="1" applyFill="1" applyBorder="1" applyAlignment="1" applyProtection="1">
      <alignment vertical="center"/>
    </xf>
    <xf numFmtId="1" fontId="0" fillId="0" borderId="0" xfId="0" applyNumberFormat="1"/>
    <xf numFmtId="49" fontId="0" fillId="0" borderId="0" xfId="0" applyNumberFormat="1" applyAlignment="1" applyProtection="1">
      <alignment vertical="center"/>
      <protection locked="0" hidden="1"/>
    </xf>
    <xf numFmtId="0" fontId="36" fillId="0" borderId="0" xfId="43"/>
    <xf numFmtId="1" fontId="36" fillId="0" borderId="0" xfId="43" applyNumberFormat="1"/>
    <xf numFmtId="0" fontId="13" fillId="0" borderId="0" xfId="0" applyFont="1" applyAlignment="1" applyProtection="1">
      <alignment vertical="center"/>
      <protection hidden="1"/>
    </xf>
    <xf numFmtId="0" fontId="8" fillId="0" borderId="7" xfId="0" applyFont="1" applyBorder="1" applyAlignment="1" applyProtection="1">
      <alignment horizontal="center" vertical="center"/>
      <protection hidden="1"/>
    </xf>
    <xf numFmtId="2" fontId="8" fillId="0" borderId="7" xfId="0" applyNumberFormat="1" applyFont="1" applyBorder="1" applyAlignment="1" applyProtection="1">
      <alignment horizontal="center" vertical="center"/>
      <protection hidden="1"/>
    </xf>
    <xf numFmtId="0" fontId="13" fillId="0" borderId="24" xfId="0" applyFont="1" applyFill="1" applyBorder="1" applyAlignment="1" applyProtection="1">
      <alignment vertical="center"/>
      <protection locked="0" hidden="1"/>
    </xf>
    <xf numFmtId="0" fontId="13"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5" fillId="0" borderId="0" xfId="0" applyFont="1" applyAlignment="1" applyProtection="1">
      <alignment horizontal="center" vertical="center"/>
      <protection hidden="1"/>
    </xf>
    <xf numFmtId="166" fontId="5" fillId="0" borderId="67" xfId="0" applyNumberFormat="1" applyFont="1" applyFill="1" applyBorder="1" applyAlignment="1" applyProtection="1">
      <alignment horizontal="center" vertical="center"/>
      <protection locked="0" hidden="1"/>
    </xf>
    <xf numFmtId="166" fontId="5" fillId="0" borderId="40" xfId="0" applyNumberFormat="1" applyFont="1" applyFill="1" applyBorder="1" applyAlignment="1" applyProtection="1">
      <alignment horizontal="center" vertical="center"/>
      <protection locked="0" hidden="1"/>
    </xf>
    <xf numFmtId="1" fontId="5" fillId="0" borderId="49" xfId="0" applyNumberFormat="1" applyFont="1" applyFill="1" applyBorder="1" applyAlignment="1" applyProtection="1">
      <alignment horizontal="center" vertical="center"/>
      <protection locked="0" hidden="1"/>
    </xf>
    <xf numFmtId="1" fontId="13" fillId="0" borderId="7"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left" vertical="center"/>
      <protection hidden="1"/>
    </xf>
    <xf numFmtId="1" fontId="13" fillId="0" borderId="33"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hidden="1"/>
    </xf>
    <xf numFmtId="0" fontId="4" fillId="0" borderId="0" xfId="0" applyFont="1" applyAlignment="1" applyProtection="1">
      <alignment vertical="center"/>
      <protection hidden="1"/>
    </xf>
    <xf numFmtId="9" fontId="4" fillId="0" borderId="0" xfId="35" applyFont="1" applyAlignment="1" applyProtection="1">
      <alignment vertical="center"/>
      <protection hidden="1"/>
    </xf>
    <xf numFmtId="0" fontId="4" fillId="0" borderId="112" xfId="0" applyFont="1" applyFill="1" applyBorder="1" applyAlignment="1" applyProtection="1">
      <alignment horizontal="center" vertical="center"/>
      <protection locked="0" hidden="1"/>
    </xf>
    <xf numFmtId="0" fontId="16"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xf numFmtId="0" fontId="8"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8" fillId="0" borderId="0" xfId="0" applyFont="1"/>
    <xf numFmtId="166" fontId="5" fillId="0" borderId="62" xfId="0" applyNumberFormat="1" applyFont="1" applyFill="1" applyBorder="1" applyAlignment="1" applyProtection="1">
      <alignment horizontal="center" vertical="center"/>
      <protection locked="0" hidden="1"/>
    </xf>
    <xf numFmtId="0" fontId="4" fillId="0" borderId="8" xfId="0" applyFont="1" applyFill="1" applyBorder="1" applyAlignment="1" applyProtection="1">
      <alignment horizontal="center" vertical="center"/>
      <protection locked="0" hidden="1"/>
    </xf>
    <xf numFmtId="0" fontId="5" fillId="0" borderId="0" xfId="63" applyFont="1" applyAlignment="1">
      <alignment horizontal="center"/>
    </xf>
    <xf numFmtId="0" fontId="5" fillId="0" borderId="2" xfId="0" applyFont="1" applyBorder="1" applyAlignment="1" applyProtection="1">
      <alignment vertical="center"/>
      <protection hidden="1"/>
    </xf>
    <xf numFmtId="0" fontId="5" fillId="0" borderId="3" xfId="0" applyFont="1" applyFill="1" applyBorder="1" applyAlignment="1" applyProtection="1">
      <alignment horizontal="center" vertical="center"/>
      <protection locked="0" hidden="1"/>
    </xf>
    <xf numFmtId="0" fontId="5" fillId="0" borderId="3" xfId="0" applyFont="1" applyBorder="1" applyAlignment="1" applyProtection="1">
      <alignment vertical="center"/>
      <protection hidden="1"/>
    </xf>
    <xf numFmtId="0" fontId="5" fillId="0" borderId="4" xfId="0" applyFont="1" applyFill="1" applyBorder="1" applyAlignment="1" applyProtection="1">
      <alignment horizontal="center" vertical="center"/>
      <protection locked="0" hidden="1"/>
    </xf>
    <xf numFmtId="0" fontId="5" fillId="0" borderId="0" xfId="0" applyFont="1" applyBorder="1" applyAlignment="1" applyProtection="1">
      <alignment horizontal="left" vertical="center"/>
      <protection hidden="1"/>
    </xf>
    <xf numFmtId="0" fontId="5" fillId="0" borderId="9" xfId="0" applyFont="1" applyBorder="1" applyAlignment="1" applyProtection="1">
      <alignment vertical="center"/>
      <protection hidden="1"/>
    </xf>
    <xf numFmtId="0" fontId="5" fillId="0" borderId="9" xfId="0" applyFont="1" applyFill="1" applyBorder="1" applyAlignment="1" applyProtection="1">
      <alignment horizontal="center" vertical="center"/>
      <protection locked="0" hidden="1"/>
    </xf>
    <xf numFmtId="0" fontId="5" fillId="0" borderId="17" xfId="0" applyFont="1" applyFill="1" applyBorder="1" applyAlignment="1" applyProtection="1">
      <alignment horizontal="center" vertical="center"/>
      <protection locked="0" hidden="1"/>
    </xf>
    <xf numFmtId="0" fontId="5" fillId="0" borderId="18" xfId="0" applyFont="1" applyFill="1" applyBorder="1" applyAlignment="1" applyProtection="1">
      <alignment horizontal="center" vertical="center"/>
      <protection locked="0" hidden="1"/>
    </xf>
    <xf numFmtId="0" fontId="5" fillId="0" borderId="22" xfId="0" applyFont="1" applyFill="1" applyBorder="1" applyAlignment="1" applyProtection="1">
      <alignment horizontal="center" vertical="center"/>
      <protection locked="0" hidden="1"/>
    </xf>
    <xf numFmtId="1" fontId="8" fillId="0" borderId="3" xfId="0" applyNumberFormat="1" applyFont="1" applyFill="1" applyBorder="1" applyAlignment="1" applyProtection="1">
      <alignment horizontal="center" vertical="center"/>
      <protection locked="0" hidden="1"/>
    </xf>
    <xf numFmtId="1" fontId="8" fillId="0" borderId="16"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locked="0" hidden="1"/>
    </xf>
    <xf numFmtId="0" fontId="5" fillId="0" borderId="16" xfId="0" applyFont="1" applyFill="1" applyBorder="1" applyAlignment="1" applyProtection="1">
      <alignment horizontal="center" vertical="center"/>
      <protection locked="0" hidden="1"/>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protection hidden="1"/>
    </xf>
    <xf numFmtId="0" fontId="8" fillId="0" borderId="17" xfId="0" applyFont="1" applyBorder="1" applyAlignment="1" applyProtection="1">
      <alignment horizontal="center" vertical="center"/>
    </xf>
    <xf numFmtId="0" fontId="13" fillId="0" borderId="57" xfId="43" applyFont="1" applyFill="1" applyBorder="1" applyAlignment="1" applyProtection="1">
      <alignment vertical="center"/>
    </xf>
    <xf numFmtId="2" fontId="13" fillId="0" borderId="90" xfId="43"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167" fontId="5" fillId="0" borderId="0" xfId="0" applyNumberFormat="1" applyFont="1" applyAlignment="1" applyProtection="1">
      <alignment vertical="center"/>
      <protection hidden="1"/>
    </xf>
    <xf numFmtId="0" fontId="5" fillId="0" borderId="0" xfId="0" applyFont="1" applyFill="1" applyBorder="1" applyAlignment="1" applyProtection="1">
      <alignment vertical="center"/>
      <protection hidden="1"/>
    </xf>
    <xf numFmtId="1" fontId="4" fillId="0" borderId="59" xfId="43" applyNumberFormat="1" applyFont="1" applyFill="1" applyBorder="1" applyAlignment="1" applyProtection="1">
      <alignment horizontal="center" vertical="center"/>
      <protection hidden="1"/>
    </xf>
    <xf numFmtId="2" fontId="4" fillId="0" borderId="90"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3"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12" xfId="0" applyBorder="1" applyProtection="1">
      <protection locked="0" hidden="1"/>
    </xf>
    <xf numFmtId="0" fontId="5" fillId="47" borderId="13" xfId="0" applyFont="1" applyFill="1" applyBorder="1" applyAlignment="1" applyProtection="1">
      <alignment horizontal="center" vertical="center"/>
    </xf>
    <xf numFmtId="0" fontId="4" fillId="0" borderId="0" xfId="0" applyFont="1" applyProtection="1">
      <protection locked="0" hidden="1"/>
    </xf>
    <xf numFmtId="167" fontId="0" fillId="45" borderId="0" xfId="0" applyNumberFormat="1" applyFill="1" applyBorder="1" applyAlignment="1" applyProtection="1">
      <alignment horizontal="center" vertical="center"/>
      <protection locked="0" hidden="1"/>
    </xf>
    <xf numFmtId="1" fontId="0" fillId="45" borderId="24" xfId="0" applyNumberFormat="1" applyFill="1" applyBorder="1" applyAlignment="1" applyProtection="1">
      <alignment horizontal="center" vertical="center"/>
      <protection locked="0" hidden="1"/>
    </xf>
    <xf numFmtId="1" fontId="0" fillId="45" borderId="0" xfId="0" applyNumberFormat="1" applyFill="1" applyBorder="1" applyAlignment="1" applyProtection="1">
      <alignment horizontal="center" vertical="center"/>
      <protection locked="0" hidden="1"/>
    </xf>
    <xf numFmtId="1" fontId="0" fillId="45" borderId="13" xfId="0" applyNumberFormat="1" applyFill="1" applyBorder="1" applyAlignment="1" applyProtection="1">
      <alignment horizontal="center" vertical="center"/>
      <protection locked="0" hidden="1"/>
    </xf>
    <xf numFmtId="0" fontId="4" fillId="0" borderId="0" xfId="0" applyFont="1" applyFill="1" applyAlignment="1" applyProtection="1">
      <alignment horizontal="left" vertical="center"/>
    </xf>
    <xf numFmtId="0" fontId="0" fillId="47" borderId="13" xfId="0" applyFill="1" applyBorder="1" applyAlignment="1" applyProtection="1">
      <alignment horizontal="center" vertical="center"/>
    </xf>
    <xf numFmtId="0" fontId="0" fillId="47" borderId="63" xfId="0" applyFill="1" applyBorder="1" applyAlignment="1" applyProtection="1">
      <alignment horizontal="center" vertical="center"/>
    </xf>
    <xf numFmtId="0" fontId="13" fillId="0" borderId="90" xfId="0" applyFont="1" applyFill="1" applyBorder="1" applyAlignment="1" applyProtection="1">
      <alignment horizontal="center" vertical="center"/>
      <protection hidden="1"/>
    </xf>
    <xf numFmtId="0" fontId="13" fillId="0" borderId="35" xfId="0" applyFont="1" applyFill="1" applyBorder="1" applyAlignment="1" applyProtection="1">
      <alignment horizontal="center" vertical="center"/>
      <protection hidden="1"/>
    </xf>
    <xf numFmtId="0" fontId="13" fillId="47" borderId="82" xfId="0" applyFont="1" applyFill="1" applyBorder="1" applyAlignment="1" applyProtection="1">
      <alignment horizontal="center" vertical="center"/>
      <protection hidden="1"/>
    </xf>
    <xf numFmtId="0" fontId="13" fillId="47" borderId="114" xfId="0" applyFont="1" applyFill="1" applyBorder="1" applyAlignment="1" applyProtection="1">
      <alignment horizontal="center" vertical="center"/>
      <protection hidden="1"/>
    </xf>
    <xf numFmtId="1" fontId="13" fillId="0" borderId="0" xfId="43" applyNumberFormat="1" applyFont="1" applyFill="1" applyBorder="1" applyAlignment="1" applyProtection="1">
      <alignment horizontal="left" vertical="center"/>
      <protection hidden="1"/>
    </xf>
    <xf numFmtId="1" fontId="4" fillId="0" borderId="0" xfId="0" applyNumberFormat="1"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 fontId="4" fillId="0" borderId="85" xfId="0" applyNumberFormat="1" applyFont="1" applyFill="1" applyBorder="1" applyAlignment="1" applyProtection="1">
      <alignment horizontal="center" vertical="center"/>
      <protection hidden="1"/>
    </xf>
    <xf numFmtId="0" fontId="4" fillId="0" borderId="0" xfId="43" applyFont="1" applyAlignment="1" applyProtection="1">
      <alignment horizontal="left"/>
    </xf>
    <xf numFmtId="0" fontId="8" fillId="0" borderId="0" xfId="0" applyFont="1" applyBorder="1" applyAlignment="1" applyProtection="1">
      <alignment horizontal="left" vertical="center"/>
    </xf>
    <xf numFmtId="0" fontId="8" fillId="0" borderId="0" xfId="0" applyFont="1" applyAlignment="1" applyProtection="1">
      <alignment horizontal="right" vertical="center"/>
      <protection hidden="1"/>
    </xf>
    <xf numFmtId="0" fontId="5" fillId="3" borderId="0" xfId="0" applyFont="1" applyFill="1" applyBorder="1" applyAlignment="1" applyProtection="1">
      <alignment horizontal="center" vertical="center"/>
      <protection locked="0" hidden="1"/>
    </xf>
    <xf numFmtId="1" fontId="0" fillId="0" borderId="0" xfId="0" applyNumberFormat="1" applyAlignment="1" applyProtection="1">
      <alignment vertical="center"/>
      <protection locked="0" hidden="1"/>
    </xf>
    <xf numFmtId="0" fontId="4" fillId="0" borderId="0" xfId="0" applyFont="1" applyAlignment="1" applyProtection="1">
      <alignment vertical="center"/>
      <protection locked="0" hidden="1"/>
    </xf>
    <xf numFmtId="0" fontId="29" fillId="0" borderId="0" xfId="0" applyFont="1" applyAlignment="1" applyProtection="1">
      <alignment horizontal="left" vertical="center"/>
      <protection hidden="1"/>
    </xf>
    <xf numFmtId="2" fontId="0" fillId="0" borderId="90" xfId="0" applyNumberFormat="1" applyFill="1" applyBorder="1" applyAlignment="1" applyProtection="1">
      <alignment horizontal="center" vertical="center"/>
      <protection hidden="1"/>
    </xf>
    <xf numFmtId="2" fontId="13" fillId="0" borderId="90" xfId="0" applyNumberFormat="1" applyFont="1" applyFill="1" applyBorder="1" applyAlignment="1" applyProtection="1">
      <alignment horizontal="center" vertical="center"/>
      <protection hidden="1"/>
    </xf>
    <xf numFmtId="2" fontId="0" fillId="0" borderId="85" xfId="0" applyNumberFormat="1" applyFill="1" applyBorder="1" applyAlignment="1" applyProtection="1">
      <alignment horizontal="center" vertical="center"/>
      <protection hidden="1"/>
    </xf>
    <xf numFmtId="0" fontId="5" fillId="0" borderId="0" xfId="0" applyFont="1" applyAlignment="1" applyProtection="1">
      <alignment horizontal="center" vertical="center"/>
      <protection locked="0" hidden="1"/>
    </xf>
    <xf numFmtId="0" fontId="8" fillId="0" borderId="0" xfId="0" applyFont="1" applyAlignment="1">
      <alignment horizontal="center" vertical="center"/>
    </xf>
    <xf numFmtId="0" fontId="8" fillId="0" borderId="0" xfId="0" applyFont="1" applyAlignment="1" applyProtection="1">
      <alignment horizontal="center" vertical="center"/>
      <protection hidden="1"/>
    </xf>
    <xf numFmtId="0" fontId="0" fillId="47" borderId="16" xfId="0" applyFill="1" applyBorder="1" applyAlignment="1">
      <alignment horizontal="center"/>
    </xf>
    <xf numFmtId="0" fontId="17" fillId="0" borderId="0" xfId="0" applyFont="1" applyFill="1"/>
    <xf numFmtId="0" fontId="8" fillId="0" borderId="0" xfId="0" applyFont="1" applyFill="1"/>
    <xf numFmtId="0" fontId="5" fillId="47" borderId="1" xfId="0" applyFont="1" applyFill="1" applyBorder="1"/>
    <xf numFmtId="0" fontId="5" fillId="47" borderId="5" xfId="0" applyFont="1" applyFill="1" applyBorder="1"/>
    <xf numFmtId="0" fontId="5" fillId="47" borderId="5" xfId="0" applyFont="1" applyFill="1" applyBorder="1" applyAlignment="1">
      <alignment horizontal="center"/>
    </xf>
    <xf numFmtId="2" fontId="4" fillId="0" borderId="90" xfId="0" applyNumberFormat="1" applyFont="1" applyBorder="1" applyAlignment="1" applyProtection="1">
      <alignment horizontal="center" vertical="center"/>
      <protection hidden="1"/>
    </xf>
    <xf numFmtId="2" fontId="4" fillId="0" borderId="85" xfId="0" applyNumberFormat="1" applyFont="1" applyBorder="1" applyAlignment="1" applyProtection="1">
      <alignment horizontal="center" vertical="center"/>
      <protection hidden="1"/>
    </xf>
    <xf numFmtId="1" fontId="4" fillId="0" borderId="59" xfId="0" applyNumberFormat="1" applyFont="1" applyFill="1" applyBorder="1" applyAlignment="1" applyProtection="1">
      <alignment horizontal="center" vertical="center"/>
      <protection hidden="1"/>
    </xf>
    <xf numFmtId="2" fontId="4" fillId="0" borderId="85" xfId="0" applyNumberFormat="1" applyFont="1" applyFill="1" applyBorder="1" applyAlignment="1" applyProtection="1">
      <alignment horizontal="center" vertical="center"/>
      <protection hidden="1"/>
    </xf>
    <xf numFmtId="1" fontId="5" fillId="0" borderId="146" xfId="0" applyNumberFormat="1" applyFont="1" applyFill="1" applyBorder="1" applyAlignment="1" applyProtection="1">
      <alignment horizontal="center" vertical="center"/>
      <protection hidden="1"/>
    </xf>
    <xf numFmtId="0" fontId="0" fillId="0" borderId="149" xfId="0" applyFill="1" applyBorder="1" applyAlignment="1" applyProtection="1">
      <alignment horizontal="center" vertical="center"/>
    </xf>
    <xf numFmtId="1" fontId="5" fillId="0" borderId="150" xfId="0" applyNumberFormat="1" applyFont="1" applyFill="1" applyBorder="1" applyAlignment="1" applyProtection="1">
      <alignment horizontal="center" vertical="center"/>
      <protection hidden="1"/>
    </xf>
    <xf numFmtId="1" fontId="5" fillId="43" borderId="78" xfId="0" applyNumberFormat="1" applyFont="1" applyFill="1" applyBorder="1" applyAlignment="1" applyProtection="1">
      <alignment horizontal="center" vertical="center"/>
      <protection hidden="1"/>
    </xf>
    <xf numFmtId="1" fontId="5" fillId="43" borderId="88" xfId="0" applyNumberFormat="1" applyFont="1" applyFill="1" applyBorder="1" applyAlignment="1" applyProtection="1">
      <alignment horizontal="center" vertical="center"/>
      <protection hidden="1"/>
    </xf>
    <xf numFmtId="0" fontId="5" fillId="3" borderId="88"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1" fontId="5" fillId="0" borderId="49" xfId="0" applyNumberFormat="1" applyFont="1" applyFill="1" applyBorder="1" applyAlignment="1" applyProtection="1">
      <alignment horizontal="center" vertical="center"/>
      <protection hidden="1"/>
    </xf>
    <xf numFmtId="0" fontId="5" fillId="3" borderId="157"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1" fontId="5" fillId="0" borderId="22" xfId="0" applyNumberFormat="1" applyFont="1" applyFill="1" applyBorder="1" applyAlignment="1" applyProtection="1">
      <alignment horizontal="center" vertical="center"/>
      <protection hidden="1"/>
    </xf>
    <xf numFmtId="1" fontId="5" fillId="0" borderId="157" xfId="0" applyNumberFormat="1" applyFont="1" applyFill="1" applyBorder="1" applyAlignment="1" applyProtection="1">
      <alignment horizontal="center" vertical="center"/>
      <protection hidden="1"/>
    </xf>
    <xf numFmtId="1" fontId="5" fillId="0" borderId="65" xfId="0" applyNumberFormat="1" applyFont="1" applyFill="1" applyBorder="1" applyAlignment="1" applyProtection="1">
      <alignment horizontal="center" vertical="center"/>
      <protection hidden="1"/>
    </xf>
    <xf numFmtId="0" fontId="0" fillId="0" borderId="68" xfId="0" applyBorder="1"/>
    <xf numFmtId="0" fontId="4" fillId="0" borderId="174" xfId="0" applyFont="1" applyBorder="1"/>
    <xf numFmtId="0" fontId="0" fillId="0" borderId="174" xfId="0" applyBorder="1"/>
    <xf numFmtId="1" fontId="8" fillId="0" borderId="0" xfId="0" applyNumberFormat="1" applyFont="1" applyAlignment="1" applyProtection="1">
      <alignment horizontal="left" vertical="center"/>
      <protection hidden="1"/>
    </xf>
    <xf numFmtId="1" fontId="8" fillId="0" borderId="0" xfId="0" applyNumberFormat="1"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4" borderId="66" xfId="0" applyFill="1" applyBorder="1" applyAlignment="1" applyProtection="1">
      <alignment vertical="center"/>
      <protection hidden="1"/>
    </xf>
    <xf numFmtId="0" fontId="74" fillId="0" borderId="0" xfId="0" applyFont="1" applyFill="1" applyBorder="1" applyAlignment="1" applyProtection="1">
      <alignment vertical="center"/>
      <protection locked="0" hidden="1"/>
    </xf>
    <xf numFmtId="0" fontId="7" fillId="0" borderId="0" xfId="0" applyFont="1" applyFill="1" applyBorder="1" applyAlignment="1">
      <alignment vertical="center"/>
    </xf>
    <xf numFmtId="0" fontId="5" fillId="0" borderId="0" xfId="0" applyFont="1" applyFill="1" applyBorder="1" applyAlignment="1"/>
    <xf numFmtId="0" fontId="0" fillId="0" borderId="0" xfId="0" applyFill="1" applyBorder="1" applyAlignment="1"/>
    <xf numFmtId="0" fontId="4" fillId="0" borderId="0" xfId="0" applyFont="1" applyFill="1" applyBorder="1" applyAlignment="1"/>
    <xf numFmtId="1" fontId="5" fillId="0" borderId="0" xfId="0" applyNumberFormat="1" applyFont="1" applyFill="1" applyBorder="1" applyAlignment="1" applyProtection="1">
      <protection hidden="1"/>
    </xf>
    <xf numFmtId="1" fontId="0" fillId="0" borderId="0" xfId="0" applyNumberFormat="1" applyFill="1" applyBorder="1" applyAlignment="1" applyProtection="1">
      <protection hidden="1"/>
    </xf>
    <xf numFmtId="0" fontId="4" fillId="0" borderId="0" xfId="0" applyFont="1" applyFill="1" applyBorder="1"/>
    <xf numFmtId="0" fontId="0" fillId="0" borderId="0" xfId="0" applyFill="1" applyBorder="1"/>
    <xf numFmtId="1" fontId="74" fillId="0" borderId="0" xfId="0" applyNumberFormat="1" applyFont="1" applyFill="1" applyBorder="1" applyAlignment="1" applyProtection="1">
      <alignment vertical="center"/>
      <protection locked="0" hidden="1"/>
    </xf>
    <xf numFmtId="0" fontId="28" fillId="0" borderId="0" xfId="0" applyFont="1" applyFill="1" applyBorder="1"/>
    <xf numFmtId="0" fontId="0" fillId="0" borderId="0" xfId="0" applyFill="1" applyBorder="1" applyAlignment="1">
      <alignment vertical="center"/>
    </xf>
    <xf numFmtId="0" fontId="28" fillId="0" borderId="0" xfId="0" applyFont="1" applyFill="1" applyBorder="1" applyAlignment="1" applyProtection="1">
      <alignment vertical="center"/>
      <protection hidden="1"/>
    </xf>
    <xf numFmtId="0" fontId="74" fillId="0" borderId="0" xfId="0" applyFont="1" applyFill="1" applyBorder="1"/>
    <xf numFmtId="1" fontId="0" fillId="0" borderId="0" xfId="0" applyNumberFormat="1" applyFill="1" applyBorder="1" applyAlignment="1" applyProtection="1">
      <alignment vertical="center"/>
      <protection locked="0" hidden="1"/>
    </xf>
    <xf numFmtId="1" fontId="0" fillId="0" borderId="0" xfId="0" applyNumberFormat="1" applyFill="1" applyAlignment="1" applyProtection="1">
      <alignment horizontal="center" vertical="center"/>
      <protection hidden="1"/>
    </xf>
    <xf numFmtId="0" fontId="5" fillId="47" borderId="73" xfId="0" applyFont="1" applyFill="1" applyBorder="1" applyAlignment="1" applyProtection="1">
      <alignment horizontal="center" vertical="center"/>
    </xf>
    <xf numFmtId="0" fontId="53" fillId="46" borderId="5" xfId="0" applyFont="1" applyFill="1" applyBorder="1" applyAlignment="1" applyProtection="1">
      <alignment horizontal="center" vertical="center"/>
    </xf>
    <xf numFmtId="0" fontId="5" fillId="47" borderId="95" xfId="0" applyFont="1" applyFill="1" applyBorder="1" applyAlignment="1" applyProtection="1">
      <alignment vertical="center"/>
    </xf>
    <xf numFmtId="0" fontId="62" fillId="0" borderId="9" xfId="0" applyFont="1" applyBorder="1" applyAlignment="1">
      <alignment horizontal="center"/>
    </xf>
    <xf numFmtId="0" fontId="53" fillId="47" borderId="5" xfId="0" applyFont="1" applyFill="1" applyBorder="1" applyAlignment="1">
      <alignment horizontal="center"/>
    </xf>
    <xf numFmtId="0" fontId="10" fillId="0" borderId="3" xfId="63" applyFont="1" applyFill="1" applyBorder="1" applyAlignment="1">
      <alignment horizontal="center" vertical="center"/>
    </xf>
    <xf numFmtId="0" fontId="10" fillId="0" borderId="0" xfId="63" applyFont="1" applyFill="1" applyAlignment="1">
      <alignment horizontal="center" vertical="center"/>
    </xf>
    <xf numFmtId="0" fontId="11" fillId="0" borderId="0" xfId="0" applyFont="1" applyAlignment="1">
      <alignment horizontal="left"/>
    </xf>
    <xf numFmtId="0" fontId="62" fillId="0" borderId="3" xfId="0" applyFont="1" applyBorder="1"/>
    <xf numFmtId="0" fontId="62" fillId="0" borderId="4" xfId="0" applyFont="1" applyBorder="1"/>
    <xf numFmtId="0" fontId="62" fillId="0" borderId="0" xfId="0" applyFont="1"/>
    <xf numFmtId="0" fontId="62" fillId="0" borderId="20" xfId="0" applyFont="1" applyBorder="1" applyAlignment="1">
      <alignment horizontal="center"/>
    </xf>
    <xf numFmtId="0" fontId="62" fillId="0" borderId="16" xfId="0" applyFont="1" applyBorder="1" applyAlignment="1">
      <alignment horizontal="center"/>
    </xf>
    <xf numFmtId="0" fontId="62" fillId="0" borderId="22" xfId="0" applyFont="1" applyBorder="1" applyAlignment="1">
      <alignment horizontal="center"/>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1" fillId="0" borderId="176" xfId="0" applyFont="1" applyBorder="1" applyAlignment="1">
      <alignment vertical="top" wrapText="1"/>
    </xf>
    <xf numFmtId="0" fontId="54" fillId="0" borderId="176" xfId="0" applyFont="1" applyBorder="1" applyAlignment="1">
      <alignment horizontal="center" vertical="top"/>
    </xf>
    <xf numFmtId="0" fontId="11" fillId="0" borderId="176" xfId="0" applyFont="1" applyBorder="1" applyAlignment="1">
      <alignment horizontal="center" vertical="top"/>
    </xf>
    <xf numFmtId="0" fontId="11" fillId="0" borderId="177" xfId="0" applyFont="1" applyBorder="1" applyAlignment="1">
      <alignment horizontal="center" vertical="top"/>
    </xf>
    <xf numFmtId="167" fontId="11" fillId="0" borderId="177" xfId="0" applyNumberFormat="1" applyFont="1" applyBorder="1" applyAlignment="1">
      <alignment horizontal="center" vertical="top"/>
    </xf>
    <xf numFmtId="167" fontId="11" fillId="0" borderId="178" xfId="0" applyNumberFormat="1" applyFont="1" applyBorder="1" applyAlignment="1">
      <alignment horizontal="center" vertical="top"/>
    </xf>
    <xf numFmtId="0" fontId="4" fillId="0" borderId="4" xfId="0" applyFont="1" applyFill="1" applyBorder="1" applyAlignment="1" applyProtection="1">
      <alignment horizontal="center" vertical="center"/>
      <protection locked="0" hidden="1"/>
    </xf>
    <xf numFmtId="0" fontId="13" fillId="0" borderId="9"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0" fontId="4" fillId="0" borderId="9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1" fontId="4" fillId="0" borderId="7" xfId="0" applyNumberFormat="1" applyFont="1" applyBorder="1" applyAlignment="1" applyProtection="1">
      <alignment horizontal="center" vertical="center"/>
      <protection hidden="1"/>
    </xf>
    <xf numFmtId="1" fontId="4" fillId="0" borderId="90" xfId="0" applyNumberFormat="1" applyFont="1" applyBorder="1" applyAlignment="1" applyProtection="1">
      <alignment horizontal="center" vertical="center"/>
      <protection hidden="1"/>
    </xf>
    <xf numFmtId="1" fontId="4" fillId="0" borderId="36" xfId="0" applyNumberFormat="1" applyFont="1" applyFill="1" applyBorder="1" applyAlignment="1" applyProtection="1">
      <alignment horizontal="center" vertical="center"/>
      <protection hidden="1"/>
    </xf>
    <xf numFmtId="0" fontId="0" fillId="0" borderId="0" xfId="0" applyFill="1" applyAlignment="1">
      <alignment horizontal="left" vertical="center"/>
    </xf>
    <xf numFmtId="0" fontId="4" fillId="0" borderId="90" xfId="0" applyFont="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0" fontId="85" fillId="0" borderId="0" xfId="0" applyFont="1" applyAlignment="1">
      <alignment horizontal="center" vertical="center"/>
    </xf>
    <xf numFmtId="1" fontId="85" fillId="0" borderId="0" xfId="0" applyNumberFormat="1" applyFont="1" applyAlignment="1">
      <alignment horizontal="center"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0" fontId="41" fillId="47" borderId="121" xfId="0" applyFont="1" applyFill="1" applyBorder="1" applyAlignment="1">
      <alignment horizontal="center" vertical="center" wrapText="1"/>
    </xf>
    <xf numFmtId="0" fontId="41" fillId="47" borderId="122" xfId="0" applyFont="1" applyFill="1" applyBorder="1" applyAlignment="1">
      <alignment horizontal="center" vertical="center" wrapText="1"/>
    </xf>
    <xf numFmtId="1" fontId="41" fillId="47" borderId="74" xfId="75" applyNumberFormat="1" applyFont="1" applyFill="1" applyBorder="1" applyAlignment="1">
      <alignment horizontal="center" vertical="center" wrapText="1"/>
    </xf>
    <xf numFmtId="0" fontId="4" fillId="0" borderId="0" xfId="0" applyFont="1" applyAlignment="1">
      <alignment vertical="top" wrapText="1"/>
    </xf>
    <xf numFmtId="0" fontId="4" fillId="0" borderId="18" xfId="0" applyFont="1" applyBorder="1" applyAlignment="1">
      <alignment vertical="top" wrapText="1"/>
    </xf>
    <xf numFmtId="49" fontId="23" fillId="39" borderId="28" xfId="63" applyNumberFormat="1" applyFont="1" applyFill="1" applyBorder="1" applyAlignment="1">
      <alignment horizontal="left" vertical="center"/>
    </xf>
    <xf numFmtId="0" fontId="0" fillId="0" borderId="0" xfId="0" applyAlignment="1">
      <alignment horizontal="center" vertical="center"/>
    </xf>
    <xf numFmtId="2" fontId="8" fillId="0" borderId="0" xfId="0" applyNumberFormat="1" applyFont="1" applyBorder="1" applyAlignment="1" applyProtection="1">
      <alignment horizontal="left" vertical="center"/>
      <protection hidden="1"/>
    </xf>
    <xf numFmtId="0" fontId="7" fillId="0" borderId="0" xfId="0" applyFont="1" applyAlignment="1">
      <alignment vertical="center"/>
    </xf>
    <xf numFmtId="0" fontId="5" fillId="4" borderId="2"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17" fillId="0" borderId="0" xfId="0" applyFont="1" applyFill="1" applyProtection="1">
      <protection hidden="1"/>
    </xf>
    <xf numFmtId="0" fontId="5" fillId="0" borderId="0" xfId="0" applyFont="1" applyFill="1" applyProtection="1">
      <protection hidden="1"/>
    </xf>
    <xf numFmtId="0" fontId="53" fillId="0" borderId="0" xfId="0" applyFont="1" applyFill="1" applyProtection="1">
      <protection hidden="1"/>
    </xf>
    <xf numFmtId="0" fontId="17" fillId="0" borderId="0" xfId="0" applyFont="1" applyProtection="1">
      <protection hidden="1"/>
    </xf>
    <xf numFmtId="0" fontId="4" fillId="0" borderId="4" xfId="0" applyFont="1" applyBorder="1" applyProtection="1">
      <protection hidden="1"/>
    </xf>
    <xf numFmtId="0" fontId="0" fillId="0" borderId="0" xfId="0" applyBorder="1" applyProtection="1">
      <protection hidden="1"/>
    </xf>
    <xf numFmtId="0" fontId="0" fillId="0" borderId="9" xfId="0" applyBorder="1" applyProtection="1">
      <protection hidden="1"/>
    </xf>
    <xf numFmtId="0" fontId="7" fillId="42" borderId="1" xfId="0" applyFont="1" applyFill="1" applyBorder="1" applyAlignment="1" applyProtection="1">
      <alignment vertical="center"/>
      <protection hidden="1"/>
    </xf>
    <xf numFmtId="0" fontId="28" fillId="42" borderId="5" xfId="0" applyFont="1" applyFill="1" applyBorder="1" applyProtection="1">
      <protection hidden="1"/>
    </xf>
    <xf numFmtId="0" fontId="0" fillId="42" borderId="11" xfId="0" applyFill="1" applyBorder="1" applyAlignment="1" applyProtection="1">
      <alignment vertical="center"/>
      <protection hidden="1"/>
    </xf>
    <xf numFmtId="0" fontId="4" fillId="0" borderId="0" xfId="0" applyFont="1" applyBorder="1" applyProtection="1">
      <protection hidden="1"/>
    </xf>
    <xf numFmtId="1" fontId="5" fillId="0" borderId="0" xfId="0" applyNumberFormat="1" applyFont="1" applyBorder="1" applyAlignment="1" applyProtection="1">
      <alignment horizontal="center"/>
      <protection hidden="1"/>
    </xf>
    <xf numFmtId="1" fontId="0" fillId="0" borderId="0" xfId="0" applyNumberFormat="1" applyBorder="1" applyAlignment="1" applyProtection="1">
      <alignment horizontal="center"/>
      <protection hidden="1"/>
    </xf>
    <xf numFmtId="0" fontId="8" fillId="0" borderId="0" xfId="0" applyFont="1" applyProtection="1">
      <protection hidden="1"/>
    </xf>
    <xf numFmtId="0" fontId="13" fillId="0" borderId="0" xfId="0" applyFont="1" applyBorder="1" applyAlignment="1" applyProtection="1">
      <alignment horizontal="center" vertical="center"/>
      <protection hidden="1"/>
    </xf>
    <xf numFmtId="0" fontId="7" fillId="47" borderId="1" xfId="0" applyFont="1" applyFill="1" applyBorder="1" applyAlignment="1" applyProtection="1">
      <alignment vertical="center"/>
      <protection hidden="1"/>
    </xf>
    <xf numFmtId="0" fontId="7" fillId="47" borderId="5" xfId="0" applyFont="1" applyFill="1" applyBorder="1" applyAlignment="1" applyProtection="1">
      <alignment vertical="center"/>
      <protection hidden="1"/>
    </xf>
    <xf numFmtId="0" fontId="7" fillId="47" borderId="5" xfId="0" applyFont="1" applyFill="1" applyBorder="1" applyAlignment="1" applyProtection="1">
      <alignment horizontal="center" vertical="center"/>
      <protection hidden="1"/>
    </xf>
    <xf numFmtId="0" fontId="8" fillId="0" borderId="1" xfId="0" applyFont="1" applyBorder="1" applyAlignment="1" applyProtection="1">
      <alignment vertical="center"/>
      <protection hidden="1"/>
    </xf>
    <xf numFmtId="0" fontId="8" fillId="0" borderId="5" xfId="0" applyFont="1" applyBorder="1" applyAlignment="1" applyProtection="1">
      <alignment vertical="center"/>
      <protection hidden="1"/>
    </xf>
    <xf numFmtId="0" fontId="8" fillId="0" borderId="5" xfId="0" applyFont="1" applyBorder="1" applyAlignment="1" applyProtection="1">
      <alignment horizontal="center" vertical="center"/>
      <protection hidden="1"/>
    </xf>
    <xf numFmtId="0" fontId="8" fillId="0" borderId="1"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46" borderId="1" xfId="0" applyFont="1" applyFill="1" applyBorder="1" applyAlignment="1" applyProtection="1">
      <alignment vertical="center"/>
      <protection hidden="1"/>
    </xf>
    <xf numFmtId="0" fontId="5" fillId="46" borderId="5" xfId="0" applyFont="1" applyFill="1" applyBorder="1" applyAlignment="1" applyProtection="1">
      <alignment vertical="center"/>
      <protection hidden="1"/>
    </xf>
    <xf numFmtId="0" fontId="5" fillId="46" borderId="64" xfId="0" applyFont="1" applyFill="1" applyBorder="1" applyAlignment="1" applyProtection="1">
      <alignment horizontal="center" vertical="center" wrapText="1"/>
      <protection hidden="1"/>
    </xf>
    <xf numFmtId="0" fontId="5" fillId="46" borderId="11" xfId="0" applyFont="1" applyFill="1" applyBorder="1" applyAlignment="1" applyProtection="1">
      <alignment horizontal="center" vertical="center"/>
      <protection hidden="1"/>
    </xf>
    <xf numFmtId="0" fontId="13" fillId="0" borderId="1"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13" fillId="0" borderId="11" xfId="0" applyFont="1" applyBorder="1" applyAlignment="1" applyProtection="1">
      <alignment horizontal="right" vertical="center"/>
      <protection hidden="1"/>
    </xf>
    <xf numFmtId="0" fontId="5" fillId="0" borderId="54" xfId="0" applyFont="1" applyBorder="1" applyAlignment="1" applyProtection="1">
      <alignment vertical="center"/>
      <protection hidden="1"/>
    </xf>
    <xf numFmtId="0" fontId="5" fillId="0" borderId="55" xfId="0" applyFont="1" applyBorder="1" applyAlignment="1" applyProtection="1">
      <alignment vertical="center"/>
      <protection hidden="1"/>
    </xf>
    <xf numFmtId="0" fontId="5" fillId="0" borderId="55" xfId="0" applyFont="1" applyBorder="1" applyAlignment="1" applyProtection="1">
      <alignment horizontal="center" vertical="center"/>
      <protection hidden="1"/>
    </xf>
    <xf numFmtId="0" fontId="5" fillId="0" borderId="4" xfId="0" applyFont="1" applyFill="1" applyBorder="1" applyAlignment="1" applyProtection="1">
      <alignment vertical="center"/>
      <protection hidden="1"/>
    </xf>
    <xf numFmtId="0" fontId="7" fillId="42" borderId="5" xfId="0" applyFont="1" applyFill="1" applyBorder="1" applyAlignment="1" applyProtection="1">
      <alignment vertical="center"/>
      <protection hidden="1"/>
    </xf>
    <xf numFmtId="0" fontId="7" fillId="42" borderId="5" xfId="0" applyFont="1" applyFill="1" applyBorder="1" applyAlignment="1" applyProtection="1">
      <alignment horizontal="center" vertical="center"/>
      <protection hidden="1"/>
    </xf>
    <xf numFmtId="0" fontId="0" fillId="46" borderId="5" xfId="0" applyFill="1" applyBorder="1" applyAlignment="1" applyProtection="1">
      <alignment vertical="center"/>
      <protection hidden="1"/>
    </xf>
    <xf numFmtId="0" fontId="0" fillId="46" borderId="5" xfId="0" applyFill="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1" xfId="0" applyFont="1" applyBorder="1" applyAlignment="1" applyProtection="1">
      <alignment horizontal="center" vertical="center"/>
      <protection hidden="1"/>
    </xf>
    <xf numFmtId="0" fontId="5" fillId="3" borderId="64" xfId="0" applyFont="1" applyFill="1" applyBorder="1" applyAlignment="1" applyProtection="1">
      <alignment horizontal="center" vertical="center"/>
      <protection hidden="1"/>
    </xf>
    <xf numFmtId="0" fontId="7" fillId="47" borderId="11" xfId="0" applyFont="1" applyFill="1" applyBorder="1" applyAlignment="1" applyProtection="1">
      <alignment horizontal="center" vertical="center"/>
      <protection hidden="1"/>
    </xf>
    <xf numFmtId="1" fontId="5" fillId="0" borderId="3" xfId="0" applyNumberFormat="1" applyFont="1" applyBorder="1" applyAlignment="1" applyProtection="1">
      <alignment horizontal="center" vertical="center"/>
      <protection hidden="1"/>
    </xf>
    <xf numFmtId="1" fontId="5" fillId="0" borderId="3"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71" xfId="0" applyFont="1" applyFill="1" applyBorder="1" applyAlignment="1" applyProtection="1">
      <alignment vertical="center"/>
      <protection hidden="1"/>
    </xf>
    <xf numFmtId="0" fontId="8" fillId="0" borderId="42" xfId="0" applyFont="1" applyBorder="1" applyAlignment="1" applyProtection="1">
      <alignment vertical="center"/>
      <protection hidden="1"/>
    </xf>
    <xf numFmtId="0" fontId="8" fillId="0" borderId="67" xfId="0" applyFont="1" applyFill="1" applyBorder="1" applyAlignment="1" applyProtection="1">
      <alignment vertical="center"/>
      <protection hidden="1"/>
    </xf>
    <xf numFmtId="0" fontId="8" fillId="0" borderId="40" xfId="0" applyFont="1" applyBorder="1" applyAlignment="1" applyProtection="1">
      <alignment vertical="center"/>
      <protection hidden="1"/>
    </xf>
    <xf numFmtId="0" fontId="13" fillId="0" borderId="0" xfId="0" applyFont="1" applyAlignment="1" applyProtection="1">
      <alignment horizontal="center" vertical="center"/>
      <protection hidden="1"/>
    </xf>
    <xf numFmtId="0" fontId="5" fillId="0" borderId="159" xfId="0" applyFont="1" applyBorder="1" applyAlignment="1" applyProtection="1">
      <alignment horizontal="center" vertical="center"/>
      <protection hidden="1"/>
    </xf>
    <xf numFmtId="0" fontId="5" fillId="0" borderId="97"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3" fillId="0" borderId="4" xfId="0" applyFont="1" applyBorder="1" applyAlignment="1" applyProtection="1">
      <alignment vertical="center"/>
      <protection hidden="1"/>
    </xf>
    <xf numFmtId="0" fontId="53" fillId="0" borderId="0" xfId="0" applyFont="1" applyAlignment="1" applyProtection="1">
      <alignment horizontal="left" vertical="center"/>
      <protection hidden="1"/>
    </xf>
    <xf numFmtId="1" fontId="4" fillId="0" borderId="100" xfId="0" applyNumberFormat="1" applyFont="1" applyBorder="1" applyAlignment="1" applyProtection="1">
      <alignment horizontal="center" vertical="center"/>
      <protection hidden="1"/>
    </xf>
    <xf numFmtId="1" fontId="4" fillId="0" borderId="138" xfId="0" applyNumberFormat="1" applyFont="1" applyBorder="1" applyAlignment="1" applyProtection="1">
      <alignment horizontal="center" vertical="center"/>
      <protection hidden="1"/>
    </xf>
    <xf numFmtId="1" fontId="4" fillId="0" borderId="141" xfId="0" applyNumberFormat="1" applyFont="1" applyBorder="1" applyAlignment="1" applyProtection="1">
      <alignment horizontal="center" vertical="center"/>
      <protection hidden="1"/>
    </xf>
    <xf numFmtId="1" fontId="4" fillId="0" borderId="120"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51" xfId="0" applyNumberFormat="1" applyFont="1" applyBorder="1" applyAlignment="1" applyProtection="1">
      <alignment horizontal="center" vertical="center"/>
      <protection hidden="1"/>
    </xf>
    <xf numFmtId="0" fontId="17" fillId="46" borderId="1" xfId="0" applyFont="1" applyFill="1" applyBorder="1" applyAlignment="1" applyProtection="1">
      <alignment vertical="center"/>
      <protection hidden="1"/>
    </xf>
    <xf numFmtId="0" fontId="13" fillId="46" borderId="5" xfId="0" applyFont="1" applyFill="1" applyBorder="1" applyAlignment="1" applyProtection="1">
      <alignment horizontal="center" vertical="center"/>
      <protection hidden="1"/>
    </xf>
    <xf numFmtId="0" fontId="5" fillId="47" borderId="2" xfId="43" applyFont="1" applyFill="1" applyBorder="1" applyProtection="1">
      <protection hidden="1"/>
    </xf>
    <xf numFmtId="0" fontId="13" fillId="47" borderId="82" xfId="43" applyFont="1" applyFill="1" applyBorder="1" applyAlignment="1" applyProtection="1">
      <alignment horizontal="center" vertical="center"/>
      <protection hidden="1"/>
    </xf>
    <xf numFmtId="0" fontId="13" fillId="47" borderId="83" xfId="43" applyFont="1" applyFill="1" applyBorder="1" applyAlignment="1" applyProtection="1">
      <alignment horizontal="center" vertical="center"/>
      <protection hidden="1"/>
    </xf>
    <xf numFmtId="0" fontId="13" fillId="47" borderId="113" xfId="43" applyFont="1" applyFill="1" applyBorder="1" applyAlignment="1" applyProtection="1">
      <alignment horizontal="center" vertical="center"/>
      <protection hidden="1"/>
    </xf>
    <xf numFmtId="0" fontId="4" fillId="47" borderId="82" xfId="0" applyFont="1" applyFill="1" applyBorder="1" applyAlignment="1" applyProtection="1">
      <alignment horizontal="center" vertical="center"/>
      <protection hidden="1"/>
    </xf>
    <xf numFmtId="0" fontId="13" fillId="47" borderId="16" xfId="43" applyFont="1" applyFill="1" applyBorder="1" applyAlignment="1" applyProtection="1">
      <alignment horizontal="center" vertical="center"/>
      <protection hidden="1"/>
    </xf>
    <xf numFmtId="0" fontId="5" fillId="47" borderId="26" xfId="43" applyFont="1" applyFill="1" applyBorder="1" applyProtection="1">
      <protection hidden="1"/>
    </xf>
    <xf numFmtId="0" fontId="13" fillId="47" borderId="28" xfId="43" applyFont="1" applyFill="1" applyBorder="1" applyAlignment="1" applyProtection="1">
      <alignment horizontal="center" vertical="center"/>
      <protection hidden="1"/>
    </xf>
    <xf numFmtId="0" fontId="13" fillId="47" borderId="67" xfId="43" applyFont="1" applyFill="1" applyBorder="1" applyAlignment="1" applyProtection="1">
      <alignment horizontal="center" vertical="center"/>
      <protection hidden="1"/>
    </xf>
    <xf numFmtId="0" fontId="13" fillId="0" borderId="84" xfId="43" applyFont="1" applyFill="1" applyBorder="1" applyAlignment="1" applyProtection="1">
      <alignment vertical="center"/>
      <protection hidden="1"/>
    </xf>
    <xf numFmtId="1" fontId="13" fillId="0" borderId="86" xfId="43" applyNumberFormat="1" applyFont="1" applyFill="1" applyBorder="1" applyAlignment="1" applyProtection="1">
      <alignment horizontal="center" vertical="center"/>
      <protection hidden="1"/>
    </xf>
    <xf numFmtId="2" fontId="13" fillId="0" borderId="86" xfId="43" applyNumberFormat="1" applyFont="1" applyFill="1" applyBorder="1" applyAlignment="1" applyProtection="1">
      <alignment horizontal="center" vertical="center"/>
      <protection hidden="1"/>
    </xf>
    <xf numFmtId="2" fontId="13" fillId="0" borderId="84" xfId="43" applyNumberFormat="1" applyFont="1" applyFill="1" applyBorder="1" applyAlignment="1" applyProtection="1">
      <alignment horizontal="center" vertical="center"/>
      <protection hidden="1"/>
    </xf>
    <xf numFmtId="2" fontId="13" fillId="0" borderId="36" xfId="43" applyNumberFormat="1" applyFont="1" applyFill="1" applyBorder="1" applyAlignment="1" applyProtection="1">
      <alignment horizontal="center" vertical="center"/>
      <protection hidden="1"/>
    </xf>
    <xf numFmtId="2" fontId="13" fillId="0" borderId="85" xfId="43" applyNumberFormat="1" applyFont="1" applyFill="1" applyBorder="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4" fillId="0" borderId="93" xfId="0" applyFont="1" applyBorder="1" applyAlignment="1" applyProtection="1">
      <alignment horizontal="center" vertical="center"/>
      <protection hidden="1"/>
    </xf>
    <xf numFmtId="0" fontId="13" fillId="0" borderId="0" xfId="43"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4" fillId="0" borderId="57"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7" fillId="0" borderId="0" xfId="0" applyFont="1" applyBorder="1" applyAlignment="1" applyProtection="1">
      <alignment horizontal="center" vertical="center"/>
      <protection hidden="1"/>
    </xf>
    <xf numFmtId="1" fontId="4" fillId="0" borderId="7" xfId="0" applyNumberFormat="1" applyFont="1" applyFill="1" applyBorder="1" applyAlignment="1" applyProtection="1">
      <alignment horizontal="center" vertical="center"/>
      <protection hidden="1"/>
    </xf>
    <xf numFmtId="1" fontId="4" fillId="0" borderId="90"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57" xfId="0" applyFont="1" applyBorder="1" applyAlignment="1" applyProtection="1">
      <alignment vertical="center"/>
      <protection hidden="1"/>
    </xf>
    <xf numFmtId="0" fontId="4" fillId="0" borderId="58" xfId="0" applyFont="1" applyBorder="1" applyAlignment="1" applyProtection="1">
      <alignment horizontal="center" vertical="center"/>
      <protection hidden="1"/>
    </xf>
    <xf numFmtId="0" fontId="4" fillId="0" borderId="93" xfId="0" applyFont="1" applyBorder="1" applyAlignment="1" applyProtection="1">
      <protection hidden="1"/>
    </xf>
    <xf numFmtId="167" fontId="0" fillId="0" borderId="36" xfId="0" applyNumberFormat="1" applyBorder="1" applyAlignment="1" applyProtection="1">
      <alignment horizontal="center"/>
      <protection hidden="1"/>
    </xf>
    <xf numFmtId="0" fontId="4" fillId="0" borderId="121" xfId="0" applyFont="1" applyBorder="1" applyProtection="1">
      <protection hidden="1"/>
    </xf>
    <xf numFmtId="0" fontId="4" fillId="0" borderId="122"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locked="0" hidden="1"/>
    </xf>
    <xf numFmtId="0" fontId="0" fillId="0" borderId="0" xfId="0" applyAlignment="1">
      <alignment horizontal="center"/>
    </xf>
    <xf numFmtId="0" fontId="0" fillId="0" borderId="0" xfId="0" applyAlignment="1">
      <alignment horizontal="center" vertical="center"/>
    </xf>
    <xf numFmtId="0" fontId="0" fillId="0" borderId="0" xfId="0" applyAlignment="1" applyProtection="1">
      <alignment horizontal="center" vertical="center"/>
      <protection locked="0" hidden="1"/>
    </xf>
    <xf numFmtId="0" fontId="0" fillId="0" borderId="83" xfId="0" applyBorder="1" applyAlignment="1">
      <alignment horizontal="center"/>
    </xf>
    <xf numFmtId="0" fontId="0" fillId="0" borderId="24" xfId="0" applyFill="1" applyBorder="1" applyAlignment="1">
      <alignment horizontal="center"/>
    </xf>
    <xf numFmtId="0" fontId="0" fillId="0" borderId="21" xfId="0" applyBorder="1" applyAlignment="1">
      <alignment horizontal="center"/>
    </xf>
    <xf numFmtId="0" fontId="5" fillId="0" borderId="187" xfId="0" applyFont="1" applyBorder="1"/>
    <xf numFmtId="0" fontId="86" fillId="51" borderId="28" xfId="0" applyFont="1" applyFill="1" applyBorder="1" applyAlignment="1" applyProtection="1">
      <alignment horizontal="center" vertical="center"/>
      <protection hidden="1"/>
    </xf>
    <xf numFmtId="0" fontId="66" fillId="51" borderId="8" xfId="0" applyFont="1" applyFill="1" applyBorder="1" applyAlignment="1" applyProtection="1">
      <alignment horizontal="center" vertical="center"/>
      <protection hidden="1"/>
    </xf>
    <xf numFmtId="0" fontId="90" fillId="51" borderId="8" xfId="0" applyFont="1" applyFill="1" applyBorder="1" applyAlignment="1" applyProtection="1">
      <alignment horizontal="center" vertical="center"/>
      <protection hidden="1"/>
    </xf>
    <xf numFmtId="0" fontId="86" fillId="51" borderId="8" xfId="0" applyFont="1" applyFill="1" applyBorder="1" applyAlignment="1" applyProtection="1">
      <alignment horizontal="center" vertical="center"/>
      <protection hidden="1"/>
    </xf>
    <xf numFmtId="0" fontId="90" fillId="50" borderId="7" xfId="0" applyFont="1" applyFill="1" applyBorder="1" applyAlignment="1" applyProtection="1">
      <alignment horizontal="center" vertical="center"/>
      <protection locked="0"/>
    </xf>
    <xf numFmtId="0" fontId="90" fillId="50" borderId="7" xfId="0" applyFont="1" applyFill="1" applyBorder="1" applyAlignment="1" applyProtection="1">
      <alignment horizontal="center"/>
      <protection locked="0"/>
    </xf>
    <xf numFmtId="0" fontId="4" fillId="50" borderId="152" xfId="0" applyFont="1" applyFill="1" applyBorder="1" applyAlignment="1" applyProtection="1">
      <alignment horizontal="center" vertical="center" shrinkToFit="1"/>
      <protection locked="0"/>
    </xf>
    <xf numFmtId="2" fontId="13" fillId="50" borderId="146" xfId="0" applyNumberFormat="1" applyFont="1" applyFill="1" applyBorder="1" applyAlignment="1" applyProtection="1">
      <alignment horizontal="center" vertical="center" shrinkToFit="1"/>
      <protection locked="0"/>
    </xf>
    <xf numFmtId="167" fontId="13" fillId="50" borderId="167" xfId="0" applyNumberFormat="1" applyFont="1" applyFill="1" applyBorder="1" applyAlignment="1" applyProtection="1">
      <alignment horizontal="center" vertical="center" shrinkToFit="1"/>
      <protection locked="0"/>
    </xf>
    <xf numFmtId="167" fontId="13" fillId="50" borderId="171" xfId="0" applyNumberFormat="1" applyFont="1" applyFill="1" applyBorder="1" applyAlignment="1" applyProtection="1">
      <alignment horizontal="center" vertical="center" shrinkToFit="1"/>
      <protection locked="0"/>
    </xf>
    <xf numFmtId="2" fontId="0" fillId="50" borderId="166" xfId="0" applyNumberFormat="1" applyFill="1" applyBorder="1" applyAlignment="1" applyProtection="1">
      <alignment horizontal="center" vertical="center" shrinkToFit="1"/>
      <protection locked="0"/>
    </xf>
    <xf numFmtId="2" fontId="0" fillId="50" borderId="157" xfId="0" applyNumberFormat="1" applyFill="1" applyBorder="1" applyAlignment="1" applyProtection="1">
      <alignment horizontal="center" vertical="center" shrinkToFit="1"/>
      <protection locked="0"/>
    </xf>
    <xf numFmtId="2" fontId="0" fillId="50" borderId="167" xfId="0" applyNumberFormat="1" applyFill="1" applyBorder="1" applyAlignment="1" applyProtection="1">
      <alignment horizontal="center" vertical="center" shrinkToFit="1"/>
      <protection locked="0"/>
    </xf>
    <xf numFmtId="2" fontId="0" fillId="50" borderId="171" xfId="0" applyNumberFormat="1" applyFill="1" applyBorder="1" applyAlignment="1" applyProtection="1">
      <alignment horizontal="center" vertical="center" shrinkToFit="1"/>
      <protection locked="0"/>
    </xf>
    <xf numFmtId="2" fontId="13" fillId="50" borderId="150" xfId="0" applyNumberFormat="1" applyFont="1" applyFill="1" applyBorder="1" applyAlignment="1" applyProtection="1">
      <alignment horizontal="center" vertical="center" shrinkToFit="1"/>
      <protection locked="0"/>
    </xf>
    <xf numFmtId="167" fontId="13" fillId="50" borderId="118" xfId="0" applyNumberFormat="1" applyFont="1" applyFill="1" applyBorder="1" applyAlignment="1" applyProtection="1">
      <alignment horizontal="center" vertical="center" shrinkToFit="1"/>
      <protection locked="0"/>
    </xf>
    <xf numFmtId="167" fontId="13" fillId="50" borderId="99" xfId="0" applyNumberFormat="1" applyFont="1" applyFill="1" applyBorder="1" applyAlignment="1" applyProtection="1">
      <alignment horizontal="center" vertical="center" shrinkToFit="1"/>
      <protection locked="0"/>
    </xf>
    <xf numFmtId="2" fontId="0" fillId="50" borderId="168" xfId="0" applyNumberFormat="1" applyFill="1" applyBorder="1" applyAlignment="1" applyProtection="1">
      <alignment horizontal="center" vertical="center" shrinkToFit="1"/>
      <protection locked="0"/>
    </xf>
    <xf numFmtId="2" fontId="0" fillId="50" borderId="118" xfId="0" applyNumberFormat="1" applyFill="1" applyBorder="1" applyAlignment="1" applyProtection="1">
      <alignment horizontal="center" vertical="center" shrinkToFit="1"/>
      <protection locked="0"/>
    </xf>
    <xf numFmtId="2" fontId="0" fillId="50" borderId="99" xfId="0" applyNumberFormat="1" applyFill="1" applyBorder="1" applyAlignment="1" applyProtection="1">
      <alignment horizontal="center" vertical="center" shrinkToFit="1"/>
      <protection locked="0"/>
    </xf>
    <xf numFmtId="2" fontId="0" fillId="50" borderId="65" xfId="0" applyNumberFormat="1" applyFill="1" applyBorder="1" applyAlignment="1" applyProtection="1">
      <alignment horizontal="center" vertical="center" shrinkToFit="1"/>
      <protection locked="0"/>
    </xf>
    <xf numFmtId="0" fontId="13" fillId="50" borderId="21" xfId="0" applyFont="1" applyFill="1" applyBorder="1" applyAlignment="1" applyProtection="1">
      <alignment horizontal="center" vertical="center" shrinkToFit="1"/>
      <protection locked="0"/>
    </xf>
    <xf numFmtId="2" fontId="13" fillId="50" borderId="49" xfId="0" applyNumberFormat="1" applyFont="1" applyFill="1" applyBorder="1" applyAlignment="1" applyProtection="1">
      <alignment horizontal="center" vertical="center" shrinkToFit="1"/>
      <protection locked="0"/>
    </xf>
    <xf numFmtId="167" fontId="13" fillId="50" borderId="76" xfId="0" applyNumberFormat="1" applyFont="1" applyFill="1" applyBorder="1" applyAlignment="1" applyProtection="1">
      <alignment horizontal="center" vertical="center" shrinkToFit="1"/>
      <protection locked="0"/>
    </xf>
    <xf numFmtId="167" fontId="13" fillId="50" borderId="18" xfId="0" applyNumberFormat="1" applyFont="1" applyFill="1" applyBorder="1" applyAlignment="1" applyProtection="1">
      <alignment horizontal="center" vertical="center" shrinkToFit="1"/>
      <protection locked="0"/>
    </xf>
    <xf numFmtId="2" fontId="0" fillId="50" borderId="165" xfId="0" applyNumberFormat="1" applyFill="1" applyBorder="1" applyAlignment="1" applyProtection="1">
      <alignment horizontal="center" vertical="center" shrinkToFit="1"/>
      <protection locked="0"/>
    </xf>
    <xf numFmtId="2" fontId="0" fillId="50" borderId="22" xfId="0" applyNumberFormat="1" applyFill="1" applyBorder="1" applyAlignment="1" applyProtection="1">
      <alignment horizontal="center" vertical="center" shrinkToFit="1"/>
      <protection locked="0"/>
    </xf>
    <xf numFmtId="2" fontId="0" fillId="50" borderId="76" xfId="0" applyNumberFormat="1" applyFill="1" applyBorder="1" applyAlignment="1" applyProtection="1">
      <alignment horizontal="center" vertical="center" shrinkToFit="1"/>
      <protection locked="0"/>
    </xf>
    <xf numFmtId="2" fontId="0" fillId="50" borderId="18" xfId="0" applyNumberFormat="1" applyFill="1" applyBorder="1" applyAlignment="1" applyProtection="1">
      <alignment horizontal="center" vertical="center" shrinkToFit="1"/>
      <protection locked="0"/>
    </xf>
    <xf numFmtId="0" fontId="2" fillId="0" borderId="0" xfId="77"/>
    <xf numFmtId="0" fontId="4" fillId="0" borderId="0" xfId="78" applyAlignment="1">
      <alignment horizontal="left"/>
    </xf>
    <xf numFmtId="0" fontId="90" fillId="50" borderId="7" xfId="77" applyFont="1" applyFill="1" applyBorder="1" applyAlignment="1" applyProtection="1">
      <alignment horizontal="center" vertical="center"/>
      <protection locked="0"/>
    </xf>
    <xf numFmtId="0" fontId="90" fillId="50" borderId="7" xfId="77" applyFont="1" applyFill="1" applyBorder="1" applyAlignment="1" applyProtection="1">
      <alignment horizontal="center"/>
      <protection locked="0"/>
    </xf>
    <xf numFmtId="0" fontId="0" fillId="0" borderId="48" xfId="0" applyBorder="1" applyAlignment="1" applyProtection="1">
      <alignment shrinkToFit="1"/>
      <protection hidden="1"/>
    </xf>
    <xf numFmtId="0" fontId="0" fillId="0" borderId="12" xfId="0" applyBorder="1" applyAlignment="1" applyProtection="1">
      <alignment shrinkToFit="1"/>
      <protection hidden="1"/>
    </xf>
    <xf numFmtId="0" fontId="0" fillId="0" borderId="49" xfId="0" applyBorder="1" applyAlignment="1" applyProtection="1">
      <alignment shrinkToFit="1"/>
      <protection hidden="1"/>
    </xf>
    <xf numFmtId="0" fontId="4" fillId="0" borderId="48" xfId="0" applyFont="1" applyBorder="1" applyProtection="1">
      <protection hidden="1"/>
    </xf>
    <xf numFmtId="0" fontId="4" fillId="0" borderId="12" xfId="0" applyFont="1" applyBorder="1" applyProtection="1">
      <protection hidden="1"/>
    </xf>
    <xf numFmtId="0" fontId="4" fillId="0" borderId="49" xfId="0" applyFont="1" applyBorder="1" applyProtection="1">
      <protection hidden="1"/>
    </xf>
    <xf numFmtId="0" fontId="41" fillId="47" borderId="123"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0" fillId="0" borderId="4" xfId="0" applyBorder="1" applyAlignment="1">
      <alignment vertical="center"/>
    </xf>
    <xf numFmtId="0" fontId="0" fillId="0" borderId="0" xfId="0" applyBorder="1" applyAlignment="1">
      <alignment vertical="center"/>
    </xf>
    <xf numFmtId="167" fontId="0" fillId="0" borderId="69" xfId="0" applyNumberFormat="1" applyBorder="1" applyAlignment="1" applyProtection="1">
      <alignment horizontal="center" vertical="center"/>
      <protection hidden="1"/>
    </xf>
    <xf numFmtId="167" fontId="0" fillId="0" borderId="96" xfId="0" applyNumberFormat="1" applyBorder="1" applyAlignment="1" applyProtection="1">
      <alignment horizontal="center" vertical="center"/>
      <protection hidden="1"/>
    </xf>
    <xf numFmtId="0" fontId="4" fillId="47" borderId="22" xfId="0" applyFont="1" applyFill="1" applyBorder="1" applyAlignment="1">
      <alignment horizontal="center"/>
    </xf>
    <xf numFmtId="0" fontId="8" fillId="0" borderId="116" xfId="0" applyFont="1" applyBorder="1" applyAlignment="1">
      <alignment vertical="center"/>
    </xf>
    <xf numFmtId="0" fontId="8" fillId="0" borderId="115" xfId="0" applyFont="1" applyBorder="1" applyAlignment="1">
      <alignment vertical="center"/>
    </xf>
    <xf numFmtId="167" fontId="0" fillId="0" borderId="4" xfId="0" applyNumberFormat="1" applyBorder="1" applyAlignment="1" applyProtection="1">
      <alignment horizontal="center" vertical="center"/>
      <protection hidden="1"/>
    </xf>
    <xf numFmtId="167" fontId="0" fillId="0" borderId="0" xfId="0" applyNumberFormat="1" applyBorder="1" applyAlignment="1" applyProtection="1">
      <alignment horizontal="center" vertical="center"/>
      <protection hidden="1"/>
    </xf>
    <xf numFmtId="0" fontId="0" fillId="0" borderId="9"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2" fontId="0" fillId="0" borderId="0" xfId="0" applyNumberFormat="1"/>
    <xf numFmtId="0" fontId="13" fillId="0" borderId="24"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5" fillId="0" borderId="22" xfId="0" applyFont="1" applyBorder="1" applyAlignment="1">
      <alignment horizontal="center"/>
    </xf>
    <xf numFmtId="167" fontId="4" fillId="0" borderId="127" xfId="0" applyNumberFormat="1" applyFont="1" applyBorder="1" applyAlignment="1" applyProtection="1">
      <alignment horizontal="center" vertical="center" wrapText="1"/>
      <protection hidden="1"/>
    </xf>
    <xf numFmtId="167" fontId="4" fillId="0" borderId="157" xfId="0" applyNumberFormat="1" applyFont="1" applyBorder="1" applyAlignment="1" applyProtection="1">
      <alignment horizontal="center" vertical="center" wrapText="1"/>
      <protection hidden="1"/>
    </xf>
    <xf numFmtId="167" fontId="0" fillId="0" borderId="194" xfId="0" applyNumberFormat="1" applyBorder="1" applyAlignment="1" applyProtection="1">
      <alignment horizontal="center" vertical="center"/>
      <protection hidden="1"/>
    </xf>
    <xf numFmtId="0" fontId="4" fillId="4" borderId="166" xfId="0" applyFont="1" applyFill="1" applyBorder="1" applyAlignment="1">
      <alignment horizontal="center" vertical="center"/>
    </xf>
    <xf numFmtId="0" fontId="4" fillId="4" borderId="168" xfId="0" applyFont="1" applyFill="1" applyBorder="1" applyAlignment="1">
      <alignment horizontal="center" vertical="center"/>
    </xf>
    <xf numFmtId="0" fontId="0" fillId="47" borderId="196" xfId="0" applyFill="1" applyBorder="1" applyAlignment="1">
      <alignment horizontal="center"/>
    </xf>
    <xf numFmtId="0" fontId="0" fillId="47" borderId="17" xfId="0" applyFill="1" applyBorder="1" applyAlignment="1">
      <alignment horizontal="center" vertical="center"/>
    </xf>
    <xf numFmtId="0" fontId="4" fillId="47" borderId="193" xfId="0" applyFont="1" applyFill="1" applyBorder="1" applyAlignment="1">
      <alignment horizontal="center"/>
    </xf>
    <xf numFmtId="0" fontId="4" fillId="47" borderId="197" xfId="0" applyFont="1" applyFill="1" applyBorder="1" applyAlignment="1">
      <alignment horizontal="center"/>
    </xf>
    <xf numFmtId="0" fontId="4" fillId="47" borderId="199" xfId="0" applyFont="1" applyFill="1" applyBorder="1" applyAlignment="1">
      <alignment horizontal="center"/>
    </xf>
    <xf numFmtId="167" fontId="0" fillId="0" borderId="154" xfId="0" applyNumberFormat="1" applyBorder="1" applyAlignment="1">
      <alignment horizontal="center" vertical="center"/>
    </xf>
    <xf numFmtId="0" fontId="0" fillId="0" borderId="7" xfId="0" applyBorder="1" applyAlignment="1" applyProtection="1">
      <alignment vertical="center"/>
      <protection locked="0" hidden="1"/>
    </xf>
    <xf numFmtId="1" fontId="5" fillId="0" borderId="7" xfId="0" applyNumberFormat="1" applyFont="1" applyBorder="1" applyAlignment="1" applyProtection="1">
      <alignment vertical="center"/>
      <protection hidden="1"/>
    </xf>
    <xf numFmtId="0" fontId="86" fillId="51" borderId="7" xfId="0" applyFont="1" applyFill="1" applyBorder="1" applyAlignment="1" applyProtection="1">
      <alignment horizontal="center" vertical="center"/>
      <protection hidden="1"/>
    </xf>
    <xf numFmtId="2" fontId="13" fillId="50" borderId="99" xfId="0" applyNumberFormat="1" applyFont="1" applyFill="1" applyBorder="1" applyAlignment="1" applyProtection="1">
      <alignment horizontal="center" vertical="center" shrinkToFit="1"/>
      <protection locked="0"/>
    </xf>
    <xf numFmtId="0" fontId="5" fillId="0" borderId="213" xfId="0" applyFont="1" applyBorder="1" applyAlignment="1">
      <alignment horizontal="center"/>
    </xf>
    <xf numFmtId="2" fontId="0" fillId="50" borderId="154" xfId="0" applyNumberFormat="1" applyFill="1" applyBorder="1" applyAlignment="1" applyProtection="1">
      <alignment horizontal="center" vertical="center" shrinkToFit="1"/>
      <protection locked="0"/>
    </xf>
    <xf numFmtId="2" fontId="0" fillId="50" borderId="155" xfId="0" applyNumberFormat="1" applyFill="1" applyBorder="1" applyAlignment="1" applyProtection="1">
      <alignment horizontal="center" vertical="center" shrinkToFit="1"/>
      <protection locked="0"/>
    </xf>
    <xf numFmtId="2" fontId="0" fillId="50" borderId="193" xfId="0" applyNumberFormat="1" applyFill="1" applyBorder="1" applyAlignment="1" applyProtection="1">
      <alignment horizontal="center" vertical="center" shrinkToFit="1"/>
      <protection locked="0"/>
    </xf>
    <xf numFmtId="0" fontId="5" fillId="0" borderId="218" xfId="0" applyFont="1" applyBorder="1" applyAlignment="1">
      <alignment horizontal="center"/>
    </xf>
    <xf numFmtId="0" fontId="5" fillId="0" borderId="165" xfId="0" applyFont="1" applyBorder="1" applyAlignment="1">
      <alignment horizontal="center"/>
    </xf>
    <xf numFmtId="0" fontId="5" fillId="0" borderId="193" xfId="0" applyFont="1" applyBorder="1" applyAlignment="1">
      <alignment horizontal="center"/>
    </xf>
    <xf numFmtId="0" fontId="5" fillId="0" borderId="219" xfId="0" applyFont="1" applyBorder="1" applyAlignment="1">
      <alignment horizontal="center"/>
    </xf>
    <xf numFmtId="2" fontId="0" fillId="0" borderId="68" xfId="0" applyNumberFormat="1" applyBorder="1" applyAlignment="1">
      <alignment horizontal="center" vertical="center"/>
    </xf>
    <xf numFmtId="2" fontId="0" fillId="0" borderId="166" xfId="0" applyNumberFormat="1" applyBorder="1" applyAlignment="1">
      <alignment horizontal="center" vertical="center"/>
    </xf>
    <xf numFmtId="2" fontId="0" fillId="0" borderId="154" xfId="0" applyNumberFormat="1" applyBorder="1" applyAlignment="1">
      <alignment horizontal="center" vertical="center"/>
    </xf>
    <xf numFmtId="2" fontId="0" fillId="0" borderId="175" xfId="0" applyNumberFormat="1" applyBorder="1" applyAlignment="1">
      <alignment horizontal="center" vertical="center"/>
    </xf>
    <xf numFmtId="2" fontId="0" fillId="0" borderId="118" xfId="0" applyNumberFormat="1" applyBorder="1" applyAlignment="1">
      <alignment horizontal="center" vertical="center"/>
    </xf>
    <xf numFmtId="2" fontId="0" fillId="0" borderId="210" xfId="0" applyNumberFormat="1" applyBorder="1" applyAlignment="1">
      <alignment horizontal="center" vertical="center"/>
    </xf>
    <xf numFmtId="2" fontId="0" fillId="0" borderId="155" xfId="0" applyNumberFormat="1" applyBorder="1" applyAlignment="1">
      <alignment horizontal="center" vertical="center"/>
    </xf>
    <xf numFmtId="2" fontId="0" fillId="0" borderId="69" xfId="0" applyNumberFormat="1" applyBorder="1" applyAlignment="1">
      <alignment horizontal="center" vertical="center"/>
    </xf>
    <xf numFmtId="2" fontId="0" fillId="0" borderId="195" xfId="0" applyNumberFormat="1" applyBorder="1" applyAlignment="1">
      <alignment horizontal="center" vertical="center"/>
    </xf>
    <xf numFmtId="2" fontId="0" fillId="0" borderId="194" xfId="0" applyNumberFormat="1" applyBorder="1" applyAlignment="1">
      <alignment horizontal="center" vertical="center"/>
    </xf>
    <xf numFmtId="2" fontId="0" fillId="0" borderId="66" xfId="0" applyNumberFormat="1" applyBorder="1" applyAlignment="1">
      <alignment horizontal="center" vertical="center"/>
    </xf>
    <xf numFmtId="2" fontId="0" fillId="0" borderId="211" xfId="0" applyNumberFormat="1" applyBorder="1" applyAlignment="1">
      <alignment horizontal="center" vertical="center"/>
    </xf>
    <xf numFmtId="2" fontId="0" fillId="0" borderId="212" xfId="0" applyNumberFormat="1" applyBorder="1" applyAlignment="1">
      <alignment horizontal="center" vertical="center"/>
    </xf>
    <xf numFmtId="0" fontId="86" fillId="50" borderId="7" xfId="0" applyFont="1" applyFill="1" applyBorder="1" applyAlignment="1" applyProtection="1">
      <alignment vertical="center"/>
      <protection locked="0"/>
    </xf>
    <xf numFmtId="0" fontId="4" fillId="50" borderId="153" xfId="0" applyFont="1" applyFill="1" applyBorder="1" applyAlignment="1" applyProtection="1">
      <alignment horizontal="center" vertical="center" shrinkToFit="1"/>
      <protection locked="0"/>
    </xf>
    <xf numFmtId="0" fontId="0" fillId="0" borderId="0" xfId="0" applyAlignment="1">
      <alignment horizontal="center"/>
    </xf>
    <xf numFmtId="0" fontId="87" fillId="49" borderId="1" xfId="0" applyFont="1" applyFill="1" applyBorder="1" applyAlignment="1">
      <alignment vertical="center"/>
    </xf>
    <xf numFmtId="0" fontId="87" fillId="49" borderId="5" xfId="0" applyFont="1" applyFill="1" applyBorder="1" applyAlignment="1">
      <alignment vertical="center"/>
    </xf>
    <xf numFmtId="0" fontId="87" fillId="49" borderId="11" xfId="0" applyFont="1" applyFill="1" applyBorder="1" applyAlignment="1">
      <alignmen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horizontal="center"/>
    </xf>
    <xf numFmtId="0" fontId="86" fillId="0" borderId="0" xfId="0" applyFont="1" applyAlignment="1">
      <alignment vertical="center" shrinkToFit="1"/>
    </xf>
    <xf numFmtId="0" fontId="86" fillId="0" borderId="0" xfId="0" applyFont="1" applyAlignment="1">
      <alignment horizontal="center" vertical="center" shrinkToFit="1"/>
    </xf>
    <xf numFmtId="0" fontId="86" fillId="0" borderId="0" xfId="0" applyFont="1" applyAlignment="1">
      <alignment shrinkToFit="1"/>
    </xf>
    <xf numFmtId="0" fontId="86" fillId="0" borderId="0" xfId="0" applyFont="1" applyAlignment="1">
      <alignment horizontal="center" shrinkToFit="1"/>
    </xf>
    <xf numFmtId="0" fontId="93" fillId="0" borderId="0" xfId="0" applyFont="1" applyAlignment="1">
      <alignment vertical="center"/>
    </xf>
    <xf numFmtId="0" fontId="88" fillId="0" borderId="0" xfId="0" applyFont="1"/>
    <xf numFmtId="2" fontId="0" fillId="53" borderId="0" xfId="0" applyNumberFormat="1" applyFill="1"/>
    <xf numFmtId="0" fontId="0" fillId="0" borderId="0" xfId="0" applyAlignment="1">
      <alignment horizontal="center" shrinkToFit="1"/>
    </xf>
    <xf numFmtId="0" fontId="88" fillId="0" borderId="71" xfId="0" applyFont="1" applyBorder="1"/>
    <xf numFmtId="0" fontId="88" fillId="0" borderId="73" xfId="0" applyFont="1" applyBorder="1"/>
    <xf numFmtId="0" fontId="88" fillId="0" borderId="42" xfId="0" applyFont="1" applyBorder="1"/>
    <xf numFmtId="0" fontId="0" fillId="0" borderId="0" xfId="0" applyAlignment="1">
      <alignment shrinkToFit="1"/>
    </xf>
    <xf numFmtId="0" fontId="2" fillId="0" borderId="33" xfId="77" applyBorder="1"/>
    <xf numFmtId="0" fontId="0" fillId="55" borderId="0" xfId="0" applyFill="1"/>
    <xf numFmtId="1" fontId="0" fillId="4" borderId="0" xfId="0" applyNumberFormat="1" applyFill="1"/>
    <xf numFmtId="2" fontId="0" fillId="4" borderId="0" xfId="0" applyNumberFormat="1" applyFill="1" applyAlignment="1">
      <alignment shrinkToFit="1"/>
    </xf>
    <xf numFmtId="2" fontId="0" fillId="0" borderId="0" xfId="0" applyNumberFormat="1" applyAlignment="1">
      <alignment shrinkToFit="1"/>
    </xf>
    <xf numFmtId="0" fontId="2" fillId="0" borderId="8" xfId="77" applyBorder="1"/>
    <xf numFmtId="2" fontId="0" fillId="4" borderId="0" xfId="0" applyNumberFormat="1" applyFill="1"/>
    <xf numFmtId="166" fontId="0" fillId="0" borderId="0" xfId="0" applyNumberFormat="1"/>
    <xf numFmtId="0" fontId="2" fillId="0" borderId="28" xfId="77" applyBorder="1"/>
    <xf numFmtId="0" fontId="86" fillId="51" borderId="71" xfId="0" applyFont="1" applyFill="1" applyBorder="1" applyAlignment="1">
      <alignment vertical="center"/>
    </xf>
    <xf numFmtId="0" fontId="86" fillId="51" borderId="7" xfId="0" applyFont="1" applyFill="1" applyBorder="1" applyAlignment="1">
      <alignment horizontal="center" vertical="center"/>
    </xf>
    <xf numFmtId="0" fontId="86" fillId="51" borderId="7" xfId="0" applyFont="1" applyFill="1" applyBorder="1" applyAlignment="1">
      <alignment horizontal="left" vertical="center"/>
    </xf>
    <xf numFmtId="2" fontId="90" fillId="42" borderId="7" xfId="0" applyNumberFormat="1" applyFont="1" applyFill="1" applyBorder="1" applyAlignment="1">
      <alignment horizontal="center" vertical="center"/>
    </xf>
    <xf numFmtId="2" fontId="90" fillId="46" borderId="7" xfId="0" applyNumberFormat="1" applyFont="1" applyFill="1" applyBorder="1" applyAlignment="1">
      <alignment horizontal="center" vertical="center"/>
    </xf>
    <xf numFmtId="2" fontId="90" fillId="46" borderId="0" xfId="0" applyNumberFormat="1" applyFont="1" applyFill="1" applyAlignment="1">
      <alignment horizontal="center" vertical="center"/>
    </xf>
    <xf numFmtId="1" fontId="0" fillId="0" borderId="0" xfId="0" applyNumberFormat="1" applyAlignment="1">
      <alignment shrinkToFit="1"/>
    </xf>
    <xf numFmtId="0" fontId="88" fillId="0" borderId="3" xfId="0" applyFont="1" applyBorder="1"/>
    <xf numFmtId="0" fontId="0" fillId="52" borderId="0" xfId="0" applyFill="1"/>
    <xf numFmtId="0" fontId="86" fillId="56" borderId="71" xfId="0" applyFont="1" applyFill="1" applyBorder="1"/>
    <xf numFmtId="0" fontId="86" fillId="56" borderId="42" xfId="0" applyFont="1" applyFill="1" applyBorder="1"/>
    <xf numFmtId="0" fontId="86" fillId="56" borderId="7" xfId="0" applyFont="1" applyFill="1" applyBorder="1" applyAlignment="1">
      <alignment horizontal="center" vertical="center"/>
    </xf>
    <xf numFmtId="0" fontId="86" fillId="56" borderId="7" xfId="0" applyFont="1" applyFill="1" applyBorder="1" applyAlignment="1">
      <alignment horizontal="center"/>
    </xf>
    <xf numFmtId="2" fontId="0" fillId="42" borderId="42" xfId="0" applyNumberFormat="1" applyFill="1" applyBorder="1" applyAlignment="1">
      <alignment horizontal="center"/>
    </xf>
    <xf numFmtId="167" fontId="0" fillId="0" borderId="0" xfId="0" applyNumberFormat="1"/>
    <xf numFmtId="0" fontId="18" fillId="50" borderId="7" xfId="78" applyFont="1" applyFill="1" applyBorder="1" applyAlignment="1" applyProtection="1">
      <alignment horizontal="center" vertical="center"/>
      <protection locked="0"/>
    </xf>
    <xf numFmtId="0" fontId="86" fillId="50" borderId="7" xfId="0" applyFont="1" applyFill="1" applyBorder="1" applyProtection="1">
      <protection locked="0"/>
    </xf>
    <xf numFmtId="0" fontId="86" fillId="50" borderId="7" xfId="77" applyFont="1" applyFill="1" applyBorder="1" applyProtection="1">
      <protection locked="0"/>
    </xf>
    <xf numFmtId="2" fontId="0" fillId="0" borderId="0" xfId="0" applyNumberFormat="1" applyFill="1"/>
    <xf numFmtId="0" fontId="16" fillId="0" borderId="0" xfId="0" applyFont="1" applyBorder="1" applyAlignment="1" applyProtection="1">
      <alignment vertical="center"/>
      <protection hidden="1"/>
    </xf>
    <xf numFmtId="0" fontId="4" fillId="0" borderId="0" xfId="0" applyFont="1" applyAlignment="1">
      <alignment horizontal="center"/>
    </xf>
    <xf numFmtId="0" fontId="5" fillId="43" borderId="18" xfId="0" applyFont="1" applyFill="1" applyBorder="1" applyAlignment="1">
      <alignment horizontal="center" vertical="center"/>
    </xf>
    <xf numFmtId="0" fontId="5" fillId="43" borderId="17" xfId="0" applyFont="1" applyFill="1" applyBorder="1" applyAlignment="1">
      <alignment horizontal="center"/>
    </xf>
    <xf numFmtId="0" fontId="5" fillId="43" borderId="21" xfId="0" applyFont="1" applyFill="1" applyBorder="1" applyAlignment="1">
      <alignment horizontal="center"/>
    </xf>
    <xf numFmtId="0" fontId="5" fillId="43" borderId="21" xfId="0" applyFont="1" applyFill="1" applyBorder="1" applyAlignment="1">
      <alignment horizontal="center" vertical="center"/>
    </xf>
    <xf numFmtId="0" fontId="5" fillId="43" borderId="220" xfId="0" applyFont="1" applyFill="1" applyBorder="1" applyAlignment="1">
      <alignment horizontal="center" vertical="center"/>
    </xf>
    <xf numFmtId="0" fontId="5" fillId="43" borderId="219" xfId="0" applyFont="1" applyFill="1" applyBorder="1" applyAlignment="1">
      <alignment horizontal="center" vertical="center"/>
    </xf>
    <xf numFmtId="0" fontId="5" fillId="43" borderId="213" xfId="0" applyFont="1" applyFill="1" applyBorder="1" applyAlignment="1">
      <alignment horizontal="center"/>
    </xf>
    <xf numFmtId="0" fontId="5" fillId="43" borderId="219" xfId="0" applyFont="1" applyFill="1" applyBorder="1" applyAlignment="1">
      <alignment horizontal="center"/>
    </xf>
    <xf numFmtId="0" fontId="4" fillId="0" borderId="4" xfId="0" applyFont="1" applyBorder="1" applyAlignment="1"/>
    <xf numFmtId="0" fontId="4" fillId="0" borderId="0" xfId="0" applyFont="1" applyBorder="1" applyAlignment="1"/>
    <xf numFmtId="0" fontId="4" fillId="0" borderId="9" xfId="0" applyFont="1" applyBorder="1" applyAlignment="1"/>
    <xf numFmtId="0" fontId="4" fillId="0" borderId="17" xfId="0" applyFont="1" applyBorder="1" applyAlignment="1"/>
    <xf numFmtId="0" fontId="4" fillId="0" borderId="18" xfId="0" applyFont="1" applyBorder="1" applyAlignment="1"/>
    <xf numFmtId="0" fontId="4" fillId="0" borderId="22" xfId="0" applyFont="1" applyBorder="1" applyAlignment="1"/>
    <xf numFmtId="0" fontId="4" fillId="0" borderId="188" xfId="0" applyFont="1" applyBorder="1" applyAlignment="1">
      <alignment horizontal="center" vertical="center"/>
    </xf>
    <xf numFmtId="0" fontId="0" fillId="50" borderId="119" xfId="0" applyFill="1" applyBorder="1" applyAlignment="1" applyProtection="1">
      <alignment horizontal="center" vertical="center"/>
      <protection locked="0"/>
    </xf>
    <xf numFmtId="0" fontId="4" fillId="0" borderId="190" xfId="0" applyFont="1" applyBorder="1" applyAlignment="1">
      <alignment horizontal="center" vertical="center"/>
    </xf>
    <xf numFmtId="0" fontId="4" fillId="0" borderId="191" xfId="0" applyFont="1" applyBorder="1" applyAlignment="1">
      <alignment horizontal="center" vertical="center"/>
    </xf>
    <xf numFmtId="0" fontId="5" fillId="0" borderId="187" xfId="0" applyFont="1" applyBorder="1" applyAlignment="1">
      <alignment vertical="center" wrapText="1"/>
    </xf>
    <xf numFmtId="0" fontId="0" fillId="0" borderId="190" xfId="0" applyBorder="1" applyAlignment="1">
      <alignment horizontal="center" vertical="center"/>
    </xf>
    <xf numFmtId="0" fontId="4" fillId="50" borderId="180" xfId="0" applyFont="1" applyFill="1" applyBorder="1" applyAlignment="1" applyProtection="1">
      <alignment horizontal="center" vertical="center"/>
      <protection locked="0"/>
    </xf>
    <xf numFmtId="0" fontId="0" fillId="0" borderId="205" xfId="0" applyBorder="1" applyAlignment="1">
      <alignment horizontal="center" vertical="center"/>
    </xf>
    <xf numFmtId="0" fontId="4" fillId="50" borderId="206" xfId="0" applyFont="1" applyFill="1" applyBorder="1" applyAlignment="1" applyProtection="1">
      <alignment horizontal="center" vertical="center"/>
      <protection locked="0"/>
    </xf>
    <xf numFmtId="0" fontId="0" fillId="0" borderId="195" xfId="0" applyBorder="1" applyAlignment="1">
      <alignment horizontal="center" vertical="center"/>
    </xf>
    <xf numFmtId="0" fontId="0" fillId="0" borderId="168" xfId="0" applyBorder="1" applyAlignment="1">
      <alignment horizontal="center" vertical="center"/>
    </xf>
    <xf numFmtId="0" fontId="0" fillId="50" borderId="118" xfId="0" applyFill="1" applyBorder="1" applyAlignment="1" applyProtection="1">
      <alignment horizontal="center" vertical="center"/>
      <protection locked="0"/>
    </xf>
    <xf numFmtId="0" fontId="0" fillId="0" borderId="191" xfId="0" applyBorder="1" applyAlignment="1">
      <alignment horizontal="center" vertical="center"/>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0" fillId="0" borderId="0" xfId="0" applyAlignment="1">
      <alignment horizontal="center" vertical="center"/>
    </xf>
    <xf numFmtId="0" fontId="10" fillId="0" borderId="2" xfId="63" applyFont="1" applyFill="1" applyBorder="1" applyAlignment="1">
      <alignment horizontal="center" vertical="center"/>
    </xf>
    <xf numFmtId="0" fontId="11" fillId="0" borderId="4" xfId="63" applyFont="1" applyFill="1" applyBorder="1" applyAlignment="1">
      <alignment horizontal="center" vertical="center"/>
    </xf>
    <xf numFmtId="0" fontId="13" fillId="0" borderId="0" xfId="0" applyFont="1" applyFill="1" applyAlignment="1">
      <alignment horizontal="center" vertical="center"/>
    </xf>
    <xf numFmtId="167" fontId="13" fillId="0" borderId="0" xfId="63" applyNumberFormat="1" applyFont="1" applyFill="1" applyAlignment="1">
      <alignment horizontal="center" vertical="center"/>
    </xf>
    <xf numFmtId="0" fontId="13" fillId="0" borderId="0" xfId="63" applyFont="1" applyFill="1" applyAlignment="1">
      <alignment horizontal="center" vertical="center"/>
    </xf>
    <xf numFmtId="49" fontId="20" fillId="0" borderId="0" xfId="63" applyNumberFormat="1" applyFont="1" applyFill="1" applyAlignment="1">
      <alignment horizontal="center" vertical="center"/>
    </xf>
    <xf numFmtId="0" fontId="5" fillId="0" borderId="0" xfId="63" applyFont="1" applyFill="1" applyAlignment="1">
      <alignment horizontal="center" vertical="center"/>
    </xf>
    <xf numFmtId="0" fontId="0" fillId="0" borderId="0" xfId="0" applyFill="1" applyAlignment="1">
      <alignment horizontal="center" vertical="center"/>
    </xf>
    <xf numFmtId="167" fontId="5" fillId="0" borderId="0" xfId="63" applyNumberFormat="1" applyFont="1" applyFill="1" applyAlignment="1">
      <alignment horizontal="center" vertical="center"/>
    </xf>
    <xf numFmtId="0" fontId="13" fillId="0" borderId="0" xfId="63" applyFont="1" applyFill="1" applyBorder="1" applyAlignment="1">
      <alignment horizontal="center" vertical="center"/>
    </xf>
    <xf numFmtId="0" fontId="8" fillId="0" borderId="0" xfId="63" applyFont="1" applyFill="1" applyAlignment="1">
      <alignment horizontal="center" vertical="center"/>
    </xf>
    <xf numFmtId="2" fontId="76" fillId="0" borderId="0" xfId="63" applyNumberFormat="1" applyFont="1" applyFill="1" applyAlignment="1">
      <alignment horizontal="center" vertical="center"/>
    </xf>
    <xf numFmtId="167" fontId="76" fillId="0" borderId="0" xfId="63" applyNumberFormat="1" applyFont="1" applyFill="1" applyAlignment="1">
      <alignment horizontal="center" vertical="center"/>
    </xf>
    <xf numFmtId="0" fontId="76" fillId="0" borderId="0" xfId="63" applyFont="1" applyFill="1" applyAlignment="1">
      <alignment horizontal="center" vertical="center"/>
    </xf>
    <xf numFmtId="0" fontId="80" fillId="0" borderId="0" xfId="63" applyFont="1" applyFill="1" applyAlignment="1">
      <alignment horizontal="center" vertical="center"/>
    </xf>
    <xf numFmtId="0" fontId="76" fillId="0" borderId="0" xfId="78" applyFont="1" applyFill="1" applyAlignment="1">
      <alignment horizontal="center" vertical="center"/>
    </xf>
    <xf numFmtId="49" fontId="5" fillId="0" borderId="2" xfId="63" applyNumberFormat="1" applyFont="1" applyFill="1" applyBorder="1" applyAlignment="1">
      <alignment horizontal="center" vertical="center"/>
    </xf>
    <xf numFmtId="0" fontId="5" fillId="0" borderId="3" xfId="63" applyFont="1" applyFill="1" applyBorder="1" applyAlignment="1">
      <alignment horizontal="center" vertical="center"/>
    </xf>
    <xf numFmtId="167" fontId="5" fillId="0" borderId="2" xfId="63" applyNumberFormat="1" applyFont="1" applyFill="1" applyBorder="1" applyAlignment="1">
      <alignment horizontal="center" vertical="center"/>
    </xf>
    <xf numFmtId="167" fontId="5" fillId="0" borderId="3" xfId="63" applyNumberFormat="1" applyFont="1" applyFill="1" applyBorder="1" applyAlignment="1">
      <alignment horizontal="center" vertical="center"/>
    </xf>
    <xf numFmtId="0" fontId="10" fillId="0" borderId="48" xfId="63" applyFont="1" applyFill="1" applyBorder="1" applyAlignment="1">
      <alignment horizontal="center" vertical="center"/>
    </xf>
    <xf numFmtId="2" fontId="5"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13" fillId="0" borderId="4" xfId="63" applyNumberFormat="1" applyFont="1" applyFill="1" applyBorder="1" applyAlignment="1">
      <alignment horizontal="center" vertical="center"/>
    </xf>
    <xf numFmtId="167" fontId="5" fillId="0" borderId="4" xfId="63" applyNumberFormat="1" applyFont="1" applyFill="1" applyBorder="1" applyAlignment="1">
      <alignment horizontal="center" vertical="center"/>
    </xf>
    <xf numFmtId="0" fontId="5" fillId="0" borderId="4" xfId="63" applyFont="1" applyFill="1" applyBorder="1" applyAlignment="1">
      <alignment horizontal="center" vertical="center"/>
    </xf>
    <xf numFmtId="0" fontId="10" fillId="0" borderId="12" xfId="63" applyFont="1" applyFill="1" applyBorder="1" applyAlignment="1">
      <alignment horizontal="center" vertical="center"/>
    </xf>
    <xf numFmtId="2" fontId="5"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9" fontId="5" fillId="0" borderId="4" xfId="63" applyNumberFormat="1" applyFont="1" applyFill="1" applyBorder="1" applyAlignment="1">
      <alignment horizontal="center" vertical="center"/>
    </xf>
    <xf numFmtId="0" fontId="81" fillId="0" borderId="12" xfId="63" applyFont="1" applyFill="1" applyBorder="1" applyAlignment="1">
      <alignment horizontal="center" vertical="center"/>
    </xf>
    <xf numFmtId="0" fontId="81" fillId="0" borderId="0" xfId="63" applyFont="1" applyFill="1" applyAlignment="1">
      <alignment horizontal="center" vertical="center"/>
    </xf>
    <xf numFmtId="166" fontId="11" fillId="0" borderId="25" xfId="63" applyNumberFormat="1" applyFont="1" applyFill="1" applyBorder="1" applyAlignment="1">
      <alignment horizontal="center" vertical="center"/>
    </xf>
    <xf numFmtId="0" fontId="0" fillId="0" borderId="0" xfId="0" applyFill="1" applyBorder="1" applyAlignment="1">
      <alignment horizontal="center" vertical="center"/>
    </xf>
    <xf numFmtId="0" fontId="13" fillId="0" borderId="9" xfId="0" applyFont="1" applyFill="1" applyBorder="1" applyAlignment="1">
      <alignment horizontal="center" vertical="center"/>
    </xf>
    <xf numFmtId="49" fontId="13" fillId="0" borderId="17" xfId="63" applyNumberFormat="1" applyFont="1" applyFill="1" applyBorder="1" applyAlignment="1">
      <alignment horizontal="center" vertical="center"/>
    </xf>
    <xf numFmtId="0" fontId="5" fillId="0" borderId="18" xfId="63" applyFont="1" applyFill="1" applyBorder="1" applyAlignment="1">
      <alignment horizontal="center" vertical="center"/>
    </xf>
    <xf numFmtId="2" fontId="5" fillId="0" borderId="49" xfId="63" applyNumberFormat="1" applyFont="1" applyFill="1" applyBorder="1" applyAlignment="1">
      <alignment horizontal="center" vertical="center" wrapText="1"/>
    </xf>
    <xf numFmtId="167" fontId="5" fillId="0" borderId="19" xfId="63" applyNumberFormat="1" applyFont="1" applyFill="1" applyBorder="1" applyAlignment="1">
      <alignment horizontal="center" vertical="center"/>
    </xf>
    <xf numFmtId="167" fontId="5" fillId="0" borderId="20" xfId="63" applyNumberFormat="1" applyFont="1" applyFill="1" applyBorder="1" applyAlignment="1">
      <alignment horizontal="center" vertical="center"/>
    </xf>
    <xf numFmtId="0" fontId="10" fillId="0" borderId="22" xfId="63" applyFont="1" applyFill="1" applyBorder="1" applyAlignment="1">
      <alignment horizontal="center" vertical="center"/>
    </xf>
    <xf numFmtId="167" fontId="5" fillId="0" borderId="49" xfId="63" applyNumberFormat="1" applyFont="1" applyFill="1" applyBorder="1" applyAlignment="1">
      <alignment horizontal="center" vertical="center"/>
    </xf>
    <xf numFmtId="168" fontId="13" fillId="0" borderId="17" xfId="63" applyNumberFormat="1" applyFill="1" applyBorder="1" applyAlignment="1">
      <alignment horizontal="center" vertical="center"/>
    </xf>
    <xf numFmtId="168" fontId="13" fillId="0" borderId="20" xfId="63" applyNumberFormat="1" applyFill="1" applyBorder="1" applyAlignment="1">
      <alignment horizontal="center" vertical="center"/>
    </xf>
    <xf numFmtId="168" fontId="13" fillId="0" borderId="22" xfId="63" applyNumberFormat="1" applyFill="1" applyBorder="1" applyAlignment="1">
      <alignment horizontal="center" vertical="center"/>
    </xf>
    <xf numFmtId="168" fontId="10" fillId="0" borderId="19" xfId="63" applyNumberFormat="1" applyFont="1" applyFill="1" applyBorder="1" applyAlignment="1">
      <alignment horizontal="center" vertical="center"/>
    </xf>
    <xf numFmtId="168" fontId="10" fillId="0" borderId="20" xfId="63" applyNumberFormat="1" applyFont="1" applyFill="1" applyBorder="1" applyAlignment="1">
      <alignment horizontal="center" vertical="center"/>
    </xf>
    <xf numFmtId="168" fontId="10" fillId="0" borderId="51" xfId="63" applyNumberFormat="1" applyFont="1" applyFill="1" applyBorder="1" applyAlignment="1">
      <alignment horizontal="center" vertical="center"/>
    </xf>
    <xf numFmtId="168" fontId="10" fillId="0" borderId="18" xfId="63" applyNumberFormat="1" applyFont="1" applyFill="1" applyBorder="1" applyAlignment="1">
      <alignment horizontal="center" vertical="center" wrapText="1"/>
    </xf>
    <xf numFmtId="166" fontId="10" fillId="0" borderId="49" xfId="63" applyNumberFormat="1" applyFont="1" applyFill="1" applyBorder="1" applyAlignment="1">
      <alignment horizontal="center" vertical="center"/>
    </xf>
    <xf numFmtId="2" fontId="5" fillId="0" borderId="17" xfId="0" applyNumberFormat="1" applyFont="1" applyFill="1" applyBorder="1" applyAlignment="1">
      <alignment horizontal="center" vertical="center"/>
    </xf>
    <xf numFmtId="0" fontId="11" fillId="0" borderId="17" xfId="63" applyFont="1" applyFill="1" applyBorder="1" applyAlignment="1">
      <alignment horizontal="center" vertical="center"/>
    </xf>
    <xf numFmtId="166" fontId="11" fillId="0" borderId="51" xfId="63" applyNumberFormat="1" applyFont="1" applyFill="1" applyBorder="1" applyAlignment="1">
      <alignment horizontal="center" vertical="center"/>
    </xf>
    <xf numFmtId="49" fontId="5" fillId="0" borderId="26" xfId="63" applyNumberFormat="1" applyFont="1" applyFill="1" applyBorder="1" applyAlignment="1">
      <alignment horizontal="center" vertical="center"/>
    </xf>
    <xf numFmtId="1" fontId="4" fillId="0" borderId="0" xfId="63" applyNumberFormat="1" applyFont="1" applyFill="1" applyBorder="1" applyAlignment="1">
      <alignment horizontal="center" vertical="center"/>
    </xf>
    <xf numFmtId="167" fontId="13" fillId="0" borderId="52" xfId="63" applyNumberFormat="1" applyFont="1" applyFill="1" applyBorder="1" applyAlignment="1">
      <alignment horizontal="center" vertical="center"/>
    </xf>
    <xf numFmtId="0" fontId="13" fillId="0" borderId="27" xfId="63" applyFont="1" applyFill="1" applyBorder="1" applyAlignment="1">
      <alignment horizontal="center" vertical="center"/>
    </xf>
    <xf numFmtId="0" fontId="13" fillId="0" borderId="28" xfId="63" applyFont="1" applyFill="1" applyBorder="1" applyAlignment="1">
      <alignment horizontal="center" vertical="center"/>
    </xf>
    <xf numFmtId="0" fontId="13" fillId="0" borderId="6" xfId="63" applyFont="1" applyFill="1" applyBorder="1" applyAlignment="1">
      <alignment horizontal="center" vertical="center"/>
    </xf>
    <xf numFmtId="0" fontId="13" fillId="0" borderId="26" xfId="63" applyFont="1" applyFill="1" applyBorder="1" applyAlignment="1">
      <alignment horizontal="center" vertical="center"/>
    </xf>
    <xf numFmtId="0" fontId="13" fillId="0" borderId="56" xfId="63" applyFont="1" applyFill="1" applyBorder="1" applyAlignment="1">
      <alignment horizontal="center" vertical="center"/>
    </xf>
    <xf numFmtId="0" fontId="13" fillId="0" borderId="24" xfId="0" applyFont="1" applyFill="1" applyBorder="1" applyAlignment="1">
      <alignment horizontal="center" vertical="center"/>
    </xf>
    <xf numFmtId="0" fontId="13" fillId="0" borderId="13" xfId="0" applyFont="1" applyFill="1" applyBorder="1" applyAlignment="1">
      <alignment horizontal="center" vertical="center"/>
    </xf>
    <xf numFmtId="167" fontId="13" fillId="0" borderId="10" xfId="63" applyNumberFormat="1" applyFont="1" applyFill="1" applyBorder="1" applyAlignment="1">
      <alignment horizontal="center" vertical="center"/>
    </xf>
    <xf numFmtId="167" fontId="13" fillId="0" borderId="6" xfId="63" applyNumberFormat="1" applyFont="1" applyFill="1" applyBorder="1" applyAlignment="1">
      <alignment horizontal="center" vertical="center"/>
    </xf>
    <xf numFmtId="167" fontId="13" fillId="0" borderId="28" xfId="63" applyNumberFormat="1" applyFont="1" applyFill="1" applyBorder="1" applyAlignment="1">
      <alignment horizontal="center" vertical="center"/>
    </xf>
    <xf numFmtId="167" fontId="13" fillId="0" borderId="67" xfId="63" applyNumberFormat="1" applyFont="1" applyFill="1" applyBorder="1" applyAlignment="1">
      <alignment horizontal="center" vertical="center"/>
    </xf>
    <xf numFmtId="167" fontId="13" fillId="0" borderId="56" xfId="63" applyNumberFormat="1" applyFont="1" applyFill="1" applyBorder="1" applyAlignment="1">
      <alignment horizontal="center" vertical="center"/>
    </xf>
    <xf numFmtId="167" fontId="13" fillId="0" borderId="26" xfId="63" applyNumberFormat="1" applyFont="1" applyFill="1" applyBorder="1" applyAlignment="1">
      <alignment horizontal="center" vertical="center"/>
    </xf>
    <xf numFmtId="167" fontId="13" fillId="0" borderId="29" xfId="63" applyNumberFormat="1" applyFont="1" applyFill="1" applyBorder="1" applyAlignment="1">
      <alignment horizontal="center" vertical="center"/>
    </xf>
    <xf numFmtId="0" fontId="4" fillId="0" borderId="4" xfId="0" applyFont="1" applyFill="1" applyBorder="1" applyAlignment="1">
      <alignment horizontal="center" vertical="center"/>
    </xf>
    <xf numFmtId="167" fontId="54" fillId="0" borderId="4" xfId="0" applyNumberFormat="1"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0" applyFont="1" applyFill="1" applyBorder="1" applyAlignment="1">
      <alignment horizontal="center" vertical="center"/>
    </xf>
    <xf numFmtId="167" fontId="54" fillId="0" borderId="4" xfId="0" applyNumberFormat="1" applyFont="1" applyBorder="1" applyAlignment="1">
      <alignment horizontal="center" vertical="center"/>
    </xf>
    <xf numFmtId="167" fontId="54" fillId="0" borderId="0" xfId="0" applyNumberFormat="1" applyFont="1" applyBorder="1" applyAlignment="1">
      <alignment horizontal="center" vertical="center"/>
    </xf>
    <xf numFmtId="49" fontId="5" fillId="0" borderId="30" xfId="63" applyNumberFormat="1" applyFont="1" applyFill="1" applyBorder="1" applyAlignment="1">
      <alignment horizontal="center" vertical="center"/>
    </xf>
    <xf numFmtId="167" fontId="13" fillId="0" borderId="53" xfId="63" applyNumberFormat="1" applyFont="1" applyFill="1" applyBorder="1" applyAlignment="1">
      <alignment horizontal="center" vertical="center"/>
    </xf>
    <xf numFmtId="167" fontId="13" fillId="0" borderId="32" xfId="63" applyNumberFormat="1" applyFont="1" applyFill="1" applyBorder="1" applyAlignment="1">
      <alignment horizontal="center" vertical="center"/>
    </xf>
    <xf numFmtId="167" fontId="13" fillId="0" borderId="33" xfId="63" applyNumberFormat="1" applyFont="1" applyFill="1" applyBorder="1" applyAlignment="1">
      <alignment horizontal="center" vertical="center"/>
    </xf>
    <xf numFmtId="167" fontId="13" fillId="0" borderId="31" xfId="63" applyNumberFormat="1" applyFont="1" applyFill="1" applyBorder="1" applyAlignment="1">
      <alignment horizontal="center" vertical="center"/>
    </xf>
    <xf numFmtId="0" fontId="13" fillId="0" borderId="30" xfId="63" applyFont="1" applyFill="1" applyBorder="1" applyAlignment="1">
      <alignment horizontal="center" vertical="center"/>
    </xf>
    <xf numFmtId="167" fontId="11" fillId="0" borderId="12" xfId="63" applyNumberFormat="1" applyFont="1" applyFill="1" applyBorder="1" applyAlignment="1">
      <alignment horizontal="center" vertical="center"/>
    </xf>
    <xf numFmtId="167" fontId="13" fillId="0" borderId="50" xfId="63" applyNumberFormat="1" applyFont="1" applyFill="1" applyBorder="1" applyAlignment="1">
      <alignment horizontal="center" vertical="center"/>
    </xf>
    <xf numFmtId="167" fontId="13" fillId="0" borderId="34" xfId="63" applyNumberFormat="1" applyFont="1" applyFill="1" applyBorder="1" applyAlignment="1">
      <alignment horizontal="center" vertical="center"/>
    </xf>
    <xf numFmtId="167" fontId="11" fillId="0" borderId="0" xfId="63" applyNumberFormat="1" applyFont="1" applyFill="1" applyBorder="1" applyAlignment="1">
      <alignment horizontal="center" vertical="center"/>
    </xf>
    <xf numFmtId="167" fontId="11" fillId="0" borderId="25" xfId="63" applyNumberFormat="1" applyFont="1" applyFill="1" applyBorder="1" applyAlignment="1">
      <alignment horizontal="center" vertical="center"/>
    </xf>
    <xf numFmtId="167" fontId="13" fillId="0" borderId="30" xfId="63" applyNumberFormat="1" applyFont="1" applyFill="1" applyBorder="1" applyAlignment="1">
      <alignment horizontal="center" vertical="center"/>
    </xf>
    <xf numFmtId="167" fontId="13" fillId="0" borderId="35" xfId="63" applyNumberFormat="1" applyFont="1" applyFill="1" applyBorder="1" applyAlignment="1">
      <alignment horizontal="center" vertical="center"/>
    </xf>
    <xf numFmtId="0" fontId="83" fillId="0" borderId="4"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9"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22" xfId="0" applyFont="1" applyFill="1" applyBorder="1" applyAlignment="1">
      <alignment horizontal="center" vertical="center"/>
    </xf>
    <xf numFmtId="0" fontId="13" fillId="0" borderId="53" xfId="63" applyFont="1" applyFill="1" applyBorder="1" applyAlignment="1">
      <alignment horizontal="center" vertical="center"/>
    </xf>
    <xf numFmtId="167" fontId="13" fillId="0" borderId="12" xfId="63" applyNumberFormat="1" applyFont="1" applyFill="1" applyBorder="1" applyAlignment="1">
      <alignment horizontal="center" vertical="center"/>
    </xf>
    <xf numFmtId="167" fontId="13" fillId="0" borderId="23" xfId="63" applyNumberFormat="1" applyFont="1" applyFill="1" applyBorder="1" applyAlignment="1">
      <alignment horizontal="center" vertical="center"/>
    </xf>
    <xf numFmtId="167" fontId="13" fillId="0" borderId="8" xfId="63" applyNumberFormat="1" applyFont="1" applyFill="1" applyBorder="1" applyAlignment="1">
      <alignment horizontal="center" vertical="center"/>
    </xf>
    <xf numFmtId="167" fontId="13" fillId="0" borderId="0" xfId="63" applyNumberFormat="1" applyFont="1" applyFill="1" applyBorder="1" applyAlignment="1">
      <alignment horizontal="center" vertical="center"/>
    </xf>
    <xf numFmtId="167" fontId="13" fillId="0" borderId="4" xfId="63" applyNumberFormat="1" applyFont="1" applyFill="1" applyBorder="1" applyAlignment="1">
      <alignment horizontal="center" vertical="center"/>
    </xf>
    <xf numFmtId="167" fontId="13" fillId="0" borderId="9" xfId="63" applyNumberFormat="1" applyFont="1" applyFill="1" applyBorder="1" applyAlignment="1">
      <alignment horizontal="center" vertical="center"/>
    </xf>
    <xf numFmtId="167" fontId="13" fillId="0" borderId="24" xfId="63" applyNumberFormat="1" applyFont="1" applyFill="1" applyBorder="1" applyAlignment="1">
      <alignment horizontal="center" vertical="center"/>
    </xf>
    <xf numFmtId="167" fontId="13" fillId="0" borderId="25" xfId="63" applyNumberFormat="1" applyFont="1" applyFill="1" applyBorder="1" applyAlignment="1">
      <alignment horizontal="center" vertical="center"/>
    </xf>
    <xf numFmtId="167" fontId="13" fillId="0" borderId="24" xfId="0" applyNumberFormat="1" applyFont="1" applyFill="1" applyBorder="1" applyAlignment="1">
      <alignment horizontal="center" vertical="center"/>
    </xf>
    <xf numFmtId="167" fontId="13" fillId="0" borderId="8" xfId="0" applyNumberFormat="1" applyFont="1" applyFill="1" applyBorder="1" applyAlignment="1">
      <alignment horizontal="center" vertical="center"/>
    </xf>
    <xf numFmtId="167" fontId="13" fillId="0" borderId="13" xfId="0" applyNumberFormat="1" applyFont="1" applyFill="1" applyBorder="1" applyAlignment="1">
      <alignment horizontal="center" vertical="center"/>
    </xf>
    <xf numFmtId="167" fontId="13" fillId="0" borderId="13" xfId="63" applyNumberFormat="1" applyFont="1" applyFill="1" applyBorder="1" applyAlignment="1">
      <alignment horizontal="center" vertical="center"/>
    </xf>
    <xf numFmtId="0" fontId="16" fillId="0" borderId="0" xfId="0" applyFont="1" applyFill="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1" fontId="13" fillId="0" borderId="0" xfId="63" applyNumberFormat="1" applyFont="1" applyFill="1" applyBorder="1" applyAlignment="1">
      <alignment horizontal="center" vertical="center"/>
    </xf>
    <xf numFmtId="49" fontId="13" fillId="0" borderId="30" xfId="63" applyNumberFormat="1" applyFont="1" applyFill="1" applyBorder="1" applyAlignment="1">
      <alignment horizontal="center" vertical="center"/>
    </xf>
    <xf numFmtId="0" fontId="4" fillId="0" borderId="0" xfId="0" applyFont="1" applyFill="1" applyAlignment="1">
      <alignment horizontal="center" vertical="center"/>
    </xf>
    <xf numFmtId="49" fontId="13" fillId="0" borderId="72" xfId="63" applyNumberFormat="1" applyFont="1" applyFill="1" applyBorder="1" applyAlignment="1">
      <alignment horizontal="center" vertical="center"/>
    </xf>
    <xf numFmtId="0" fontId="13" fillId="0" borderId="6" xfId="0" applyFont="1" applyFill="1" applyBorder="1" applyAlignment="1">
      <alignment horizontal="center" vertical="center"/>
    </xf>
    <xf numFmtId="0" fontId="0" fillId="0" borderId="6" xfId="0" applyFill="1" applyBorder="1" applyAlignment="1">
      <alignment horizontal="center" vertical="center"/>
    </xf>
    <xf numFmtId="1" fontId="13" fillId="0" borderId="6" xfId="63" applyNumberFormat="1" applyFont="1" applyFill="1" applyBorder="1" applyAlignment="1">
      <alignment horizontal="center" vertical="center"/>
    </xf>
    <xf numFmtId="0" fontId="13" fillId="0" borderId="31" xfId="63" applyFont="1" applyFill="1" applyBorder="1" applyAlignment="1">
      <alignment horizontal="center" vertical="center"/>
    </xf>
    <xf numFmtId="0" fontId="13" fillId="0" borderId="31" xfId="0" applyFont="1" applyFill="1" applyBorder="1" applyAlignment="1">
      <alignment horizontal="center" vertical="center"/>
    </xf>
    <xf numFmtId="0" fontId="0" fillId="0" borderId="31" xfId="0" applyFill="1" applyBorder="1" applyAlignment="1">
      <alignment horizontal="center" vertical="center"/>
    </xf>
    <xf numFmtId="1" fontId="13" fillId="0" borderId="31" xfId="63" applyNumberFormat="1" applyFont="1" applyFill="1" applyBorder="1" applyAlignment="1">
      <alignment horizontal="center" vertical="center"/>
    </xf>
    <xf numFmtId="49" fontId="21" fillId="0" borderId="4" xfId="63" applyNumberFormat="1" applyFont="1" applyFill="1" applyBorder="1" applyAlignment="1">
      <alignment horizontal="center" vertical="center"/>
    </xf>
    <xf numFmtId="49" fontId="16" fillId="0" borderId="4" xfId="63" applyNumberFormat="1" applyFont="1" applyFill="1" applyBorder="1" applyAlignment="1">
      <alignment horizontal="center" vertical="center"/>
    </xf>
    <xf numFmtId="49" fontId="16" fillId="0" borderId="17" xfId="63" applyNumberFormat="1" applyFont="1" applyFill="1" applyBorder="1" applyAlignment="1">
      <alignment horizontal="center" vertical="center"/>
    </xf>
    <xf numFmtId="2" fontId="0" fillId="0" borderId="0" xfId="0" applyNumberFormat="1" applyFill="1" applyAlignment="1">
      <alignment horizontal="center" vertical="center"/>
    </xf>
    <xf numFmtId="49" fontId="13" fillId="0" borderId="0" xfId="63" applyNumberFormat="1" applyFont="1" applyFill="1" applyAlignment="1">
      <alignment horizontal="center" vertical="center"/>
    </xf>
    <xf numFmtId="49" fontId="5" fillId="0" borderId="0" xfId="63" applyNumberFormat="1" applyFont="1" applyFill="1" applyAlignment="1">
      <alignment horizontal="left" vertical="center"/>
    </xf>
    <xf numFmtId="49" fontId="5" fillId="0" borderId="3" xfId="63" applyNumberFormat="1" applyFont="1" applyFill="1" applyBorder="1" applyAlignment="1">
      <alignment horizontal="left" vertical="center"/>
    </xf>
    <xf numFmtId="49" fontId="5" fillId="0" borderId="0" xfId="63" applyNumberFormat="1" applyFont="1" applyFill="1" applyBorder="1" applyAlignment="1">
      <alignment horizontal="left" vertical="center"/>
    </xf>
    <xf numFmtId="49" fontId="13" fillId="0" borderId="18" xfId="63" applyNumberFormat="1" applyFont="1" applyFill="1" applyBorder="1" applyAlignment="1">
      <alignment horizontal="left" vertical="center"/>
    </xf>
    <xf numFmtId="49" fontId="13" fillId="0" borderId="6" xfId="63" applyNumberFormat="1" applyFont="1" applyFill="1" applyBorder="1" applyAlignment="1">
      <alignment horizontal="left" vertical="center"/>
    </xf>
    <xf numFmtId="49" fontId="5" fillId="0" borderId="31" xfId="63" applyNumberFormat="1" applyFont="1" applyFill="1" applyBorder="1" applyAlignment="1">
      <alignment horizontal="left" vertical="center"/>
    </xf>
    <xf numFmtId="49" fontId="13" fillId="0" borderId="0" xfId="63" applyNumberFormat="1" applyFont="1" applyFill="1" applyBorder="1" applyAlignment="1">
      <alignment horizontal="left" vertical="center"/>
    </xf>
    <xf numFmtId="0" fontId="0" fillId="0" borderId="0" xfId="0" applyAlignment="1">
      <alignment horizontal="left" vertical="center"/>
    </xf>
    <xf numFmtId="49" fontId="13" fillId="0" borderId="0" xfId="63" applyNumberFormat="1" applyFont="1" applyFill="1" applyAlignment="1">
      <alignment horizontal="left" vertical="center"/>
    </xf>
    <xf numFmtId="0" fontId="4" fillId="0" borderId="0" xfId="0" applyFont="1" applyFill="1" applyBorder="1" applyAlignment="1">
      <alignment horizontal="center"/>
    </xf>
    <xf numFmtId="0" fontId="4" fillId="0" borderId="17" xfId="0" applyFont="1" applyBorder="1" applyAlignment="1" applyProtection="1">
      <alignment vertical="center"/>
      <protection hidden="1"/>
    </xf>
    <xf numFmtId="0" fontId="0" fillId="0" borderId="18" xfId="0" applyBorder="1" applyAlignment="1" applyProtection="1">
      <alignment vertical="center"/>
      <protection hidden="1"/>
    </xf>
    <xf numFmtId="0" fontId="4" fillId="0" borderId="54" xfId="0" applyFont="1" applyBorder="1" applyAlignment="1" applyProtection="1">
      <alignment vertical="center"/>
      <protection hidden="1"/>
    </xf>
    <xf numFmtId="0" fontId="0" fillId="0" borderId="55" xfId="0" applyBorder="1" applyAlignment="1" applyProtection="1">
      <alignment vertical="center"/>
      <protection hidden="1"/>
    </xf>
    <xf numFmtId="0" fontId="0" fillId="0" borderId="55" xfId="0" applyBorder="1" applyAlignment="1">
      <alignment vertical="center"/>
    </xf>
    <xf numFmtId="0" fontId="0" fillId="0" borderId="18" xfId="0" applyBorder="1" applyAlignment="1">
      <alignment vertical="center"/>
    </xf>
    <xf numFmtId="0" fontId="17" fillId="0" borderId="0" xfId="0" applyFont="1"/>
    <xf numFmtId="0" fontId="62" fillId="0" borderId="48" xfId="0" applyFont="1" applyBorder="1" applyAlignment="1">
      <alignment vertical="top"/>
    </xf>
    <xf numFmtId="0" fontId="54" fillId="0" borderId="48" xfId="0" applyFont="1" applyBorder="1" applyAlignment="1">
      <alignment horizontal="center" vertical="top"/>
    </xf>
    <xf numFmtId="0" fontId="54" fillId="0" borderId="16" xfId="0" applyFont="1" applyBorder="1" applyAlignment="1">
      <alignment horizontal="center" vertical="top"/>
    </xf>
    <xf numFmtId="0" fontId="54" fillId="0" borderId="2" xfId="0" applyFont="1" applyBorder="1" applyAlignment="1">
      <alignment horizontal="center" vertical="top"/>
    </xf>
    <xf numFmtId="0" fontId="54" fillId="0" borderId="82" xfId="0" applyFont="1" applyBorder="1" applyAlignment="1">
      <alignment horizontal="center" vertical="top"/>
    </xf>
    <xf numFmtId="0" fontId="4" fillId="0" borderId="12" xfId="0" applyFont="1" applyBorder="1" applyAlignment="1">
      <alignment vertical="top" wrapText="1"/>
    </xf>
    <xf numFmtId="0" fontId="54" fillId="0" borderId="12" xfId="0" applyFont="1" applyBorder="1" applyAlignment="1">
      <alignment horizontal="center" vertical="top"/>
    </xf>
    <xf numFmtId="0" fontId="54" fillId="0" borderId="0" xfId="0" applyFont="1" applyAlignment="1">
      <alignment horizontal="center" vertical="top"/>
    </xf>
    <xf numFmtId="167" fontId="54" fillId="0" borderId="4" xfId="0" applyNumberFormat="1" applyFont="1" applyBorder="1" applyAlignment="1">
      <alignment horizontal="center" vertical="top"/>
    </xf>
    <xf numFmtId="167" fontId="54" fillId="0" borderId="8" xfId="0" applyNumberFormat="1" applyFont="1" applyBorder="1" applyAlignment="1">
      <alignment horizontal="center" vertical="top"/>
    </xf>
    <xf numFmtId="0" fontId="54" fillId="0" borderId="12" xfId="0" applyFont="1" applyBorder="1" applyAlignment="1">
      <alignment vertical="top" wrapText="1"/>
    </xf>
    <xf numFmtId="0" fontId="4" fillId="0" borderId="0" xfId="0" applyFont="1" applyAlignment="1">
      <alignment horizontal="center" vertical="top"/>
    </xf>
    <xf numFmtId="0" fontId="62" fillId="0" borderId="53" xfId="0" applyFont="1" applyBorder="1" applyAlignment="1">
      <alignment vertical="top" wrapText="1"/>
    </xf>
    <xf numFmtId="0" fontId="54" fillId="0" borderId="53" xfId="0" applyFont="1" applyBorder="1" applyAlignment="1">
      <alignment horizontal="center" vertical="top"/>
    </xf>
    <xf numFmtId="167" fontId="54" fillId="0" borderId="30" xfId="0" applyNumberFormat="1" applyFont="1" applyBorder="1" applyAlignment="1">
      <alignment horizontal="center" vertical="top"/>
    </xf>
    <xf numFmtId="167" fontId="54" fillId="0" borderId="33" xfId="0" applyNumberFormat="1" applyFont="1" applyBorder="1" applyAlignment="1">
      <alignment horizontal="center" vertical="top"/>
    </xf>
    <xf numFmtId="0" fontId="4" fillId="0" borderId="12" xfId="0" quotePrefix="1" applyFont="1" applyBorder="1" applyAlignment="1">
      <alignment vertical="top" wrapText="1"/>
    </xf>
    <xf numFmtId="0" fontId="54" fillId="0" borderId="12" xfId="0" quotePrefix="1" applyFont="1" applyBorder="1" applyAlignment="1">
      <alignment horizontal="center" vertical="top"/>
    </xf>
    <xf numFmtId="0" fontId="54" fillId="0" borderId="9" xfId="0" quotePrefix="1" applyFont="1" applyBorder="1" applyAlignment="1">
      <alignment horizontal="center" vertical="top"/>
    </xf>
    <xf numFmtId="0" fontId="62" fillId="0" borderId="53" xfId="0" quotePrefix="1" applyFont="1" applyBorder="1" applyAlignment="1">
      <alignment vertical="top" wrapText="1"/>
    </xf>
    <xf numFmtId="0" fontId="54" fillId="0" borderId="53" xfId="0" quotePrefix="1" applyFont="1" applyBorder="1" applyAlignment="1">
      <alignment horizontal="center" vertical="top"/>
    </xf>
    <xf numFmtId="0" fontId="54" fillId="0" borderId="50" xfId="0" quotePrefix="1" applyFont="1" applyBorder="1" applyAlignment="1">
      <alignment horizontal="center" vertical="top"/>
    </xf>
    <xf numFmtId="0" fontId="54" fillId="0" borderId="8" xfId="0" applyFont="1" applyBorder="1" applyAlignment="1">
      <alignment horizontal="center" vertical="top"/>
    </xf>
    <xf numFmtId="0" fontId="23" fillId="39" borderId="8" xfId="63" applyFont="1" applyFill="1" applyBorder="1" applyAlignment="1">
      <alignment vertical="center"/>
    </xf>
    <xf numFmtId="49" fontId="4" fillId="0" borderId="0" xfId="63" applyNumberFormat="1" applyFont="1" applyFill="1" applyAlignment="1">
      <alignment horizontal="left" vertical="center"/>
    </xf>
    <xf numFmtId="167" fontId="13" fillId="0" borderId="0" xfId="63" applyNumberFormat="1" applyFont="1" applyFill="1" applyAlignment="1">
      <alignment horizontal="left" vertical="center"/>
    </xf>
    <xf numFmtId="1" fontId="0" fillId="0" borderId="193" xfId="0" applyNumberFormat="1" applyBorder="1" applyAlignment="1">
      <alignment horizontal="center" vertical="center"/>
    </xf>
    <xf numFmtId="1" fontId="0" fillId="0" borderId="22" xfId="0" applyNumberFormat="1" applyBorder="1" applyAlignment="1">
      <alignment horizontal="center" vertical="center"/>
    </xf>
    <xf numFmtId="0" fontId="4" fillId="0" borderId="42" xfId="0" applyFont="1" applyBorder="1" applyAlignment="1" applyProtection="1">
      <alignment horizontal="center" vertical="center"/>
      <protection hidden="1"/>
    </xf>
    <xf numFmtId="2" fontId="0" fillId="0" borderId="168" xfId="0" applyNumberFormat="1" applyBorder="1" applyAlignment="1">
      <alignment horizontal="center" vertical="center"/>
    </xf>
    <xf numFmtId="2" fontId="0" fillId="0" borderId="198" xfId="0" applyNumberFormat="1" applyBorder="1" applyAlignment="1">
      <alignment horizontal="center" vertical="center"/>
    </xf>
    <xf numFmtId="0" fontId="0" fillId="0" borderId="52" xfId="0" applyBorder="1" applyAlignment="1" applyProtection="1">
      <alignment shrinkToFit="1"/>
      <protection hidden="1"/>
    </xf>
    <xf numFmtId="2" fontId="0" fillId="0" borderId="222" xfId="0" applyNumberFormat="1" applyBorder="1" applyAlignment="1">
      <alignment horizontal="center" vertical="center"/>
    </xf>
    <xf numFmtId="2" fontId="0" fillId="0" borderId="223" xfId="0" applyNumberFormat="1" applyBorder="1" applyAlignment="1">
      <alignment horizontal="center" vertical="center"/>
    </xf>
    <xf numFmtId="2" fontId="0" fillId="0" borderId="224" xfId="0" applyNumberFormat="1" applyBorder="1" applyAlignment="1">
      <alignment horizontal="center" vertical="center"/>
    </xf>
    <xf numFmtId="2" fontId="0" fillId="0" borderId="225" xfId="0" applyNumberFormat="1" applyBorder="1" applyAlignment="1">
      <alignment horizontal="center" vertical="center"/>
    </xf>
    <xf numFmtId="2" fontId="0" fillId="0" borderId="226" xfId="0" applyNumberFormat="1" applyBorder="1" applyAlignment="1">
      <alignment horizontal="center" vertical="center"/>
    </xf>
    <xf numFmtId="2" fontId="0" fillId="0" borderId="227" xfId="0" applyNumberFormat="1" applyBorder="1" applyAlignment="1">
      <alignment horizontal="center" vertical="center"/>
    </xf>
    <xf numFmtId="2" fontId="0" fillId="0" borderId="127" xfId="0" applyNumberFormat="1" applyBorder="1" applyAlignment="1">
      <alignment horizontal="center" vertical="center"/>
    </xf>
    <xf numFmtId="2" fontId="0" fillId="0" borderId="167" xfId="0" applyNumberFormat="1" applyBorder="1" applyAlignment="1">
      <alignment horizontal="center" vertical="center"/>
    </xf>
    <xf numFmtId="2" fontId="0" fillId="0" borderId="228" xfId="0" applyNumberFormat="1" applyBorder="1" applyAlignment="1">
      <alignment horizontal="center" vertical="center"/>
    </xf>
    <xf numFmtId="0" fontId="86" fillId="51" borderId="7" xfId="0" applyFont="1" applyFill="1" applyBorder="1" applyAlignment="1" applyProtection="1">
      <alignment horizontal="center"/>
      <protection hidden="1"/>
    </xf>
    <xf numFmtId="0" fontId="41" fillId="51" borderId="7" xfId="0" applyFont="1" applyFill="1" applyBorder="1" applyAlignment="1">
      <alignment horizontal="center"/>
    </xf>
    <xf numFmtId="0" fontId="0" fillId="0" borderId="0" xfId="0" applyAlignment="1">
      <alignment horizontal="center"/>
    </xf>
    <xf numFmtId="0" fontId="4" fillId="50" borderId="7" xfId="0" applyFont="1" applyFill="1" applyBorder="1"/>
    <xf numFmtId="0" fontId="4" fillId="0" borderId="0" xfId="0" applyNumberFormat="1" applyFont="1"/>
    <xf numFmtId="0" fontId="4" fillId="0" borderId="0" xfId="0" applyFont="1" applyAlignment="1"/>
    <xf numFmtId="0" fontId="5" fillId="0" borderId="0" xfId="0" applyFont="1"/>
    <xf numFmtId="0" fontId="4" fillId="0" borderId="0" xfId="0" applyFont="1" applyBorder="1" applyAlignment="1">
      <alignment horizontal="center"/>
    </xf>
    <xf numFmtId="0" fontId="4" fillId="0" borderId="33" xfId="0" applyFont="1" applyBorder="1" applyAlignment="1">
      <alignment horizontal="center"/>
    </xf>
    <xf numFmtId="0" fontId="4" fillId="0" borderId="0" xfId="0" applyFont="1" applyProtection="1">
      <protection locked="0"/>
    </xf>
    <xf numFmtId="0" fontId="86" fillId="51" borderId="8" xfId="0" applyFont="1" applyFill="1" applyBorder="1" applyAlignment="1">
      <alignment horizontal="left" vertical="center"/>
    </xf>
    <xf numFmtId="0" fontId="4" fillId="0" borderId="146" xfId="0" applyFont="1" applyBorder="1" applyAlignment="1" applyProtection="1">
      <alignment shrinkToFit="1"/>
      <protection hidden="1"/>
    </xf>
    <xf numFmtId="167" fontId="4" fillId="0" borderId="127" xfId="0" applyNumberFormat="1" applyFont="1" applyBorder="1" applyAlignment="1">
      <alignment horizontal="center"/>
    </xf>
    <xf numFmtId="167" fontId="4" fillId="0" borderId="229" xfId="0" applyNumberFormat="1" applyFont="1" applyBorder="1" applyAlignment="1">
      <alignment horizontal="center"/>
    </xf>
    <xf numFmtId="167" fontId="4" fillId="0" borderId="152" xfId="0" applyNumberFormat="1" applyFont="1" applyBorder="1" applyAlignment="1">
      <alignment horizontal="center"/>
    </xf>
    <xf numFmtId="167" fontId="4" fillId="0" borderId="175" xfId="0" applyNumberFormat="1" applyFont="1" applyBorder="1" applyAlignment="1">
      <alignment horizontal="center"/>
    </xf>
    <xf numFmtId="167" fontId="4" fillId="0" borderId="228" xfId="0" applyNumberFormat="1" applyFont="1" applyBorder="1" applyAlignment="1">
      <alignment horizontal="center"/>
    </xf>
    <xf numFmtId="0" fontId="4" fillId="0" borderId="88" xfId="0" applyFont="1" applyBorder="1" applyAlignment="1" applyProtection="1">
      <alignment shrinkToFit="1"/>
      <protection hidden="1"/>
    </xf>
    <xf numFmtId="167" fontId="4" fillId="0" borderId="69" xfId="0" applyNumberFormat="1" applyFont="1" applyBorder="1" applyAlignment="1">
      <alignment horizontal="center"/>
    </xf>
    <xf numFmtId="167" fontId="0" fillId="0" borderId="230" xfId="0" applyNumberFormat="1" applyBorder="1" applyAlignment="1">
      <alignment horizontal="center"/>
    </xf>
    <xf numFmtId="167" fontId="0" fillId="0" borderId="141" xfId="0" applyNumberFormat="1" applyBorder="1" applyAlignment="1">
      <alignment horizontal="center"/>
    </xf>
    <xf numFmtId="167" fontId="0" fillId="0" borderId="66" xfId="0" applyNumberFormat="1" applyBorder="1" applyAlignment="1">
      <alignment horizontal="center"/>
    </xf>
    <xf numFmtId="167" fontId="0" fillId="0" borderId="69" xfId="0" applyNumberFormat="1" applyBorder="1" applyAlignment="1">
      <alignment horizontal="center"/>
    </xf>
    <xf numFmtId="167" fontId="0" fillId="0" borderId="212" xfId="0" applyNumberFormat="1" applyBorder="1" applyAlignment="1">
      <alignment horizontal="center"/>
    </xf>
    <xf numFmtId="167" fontId="4" fillId="0" borderId="66" xfId="0" applyNumberFormat="1" applyFont="1" applyBorder="1" applyAlignment="1">
      <alignment horizontal="center"/>
    </xf>
    <xf numFmtId="0" fontId="4" fillId="0" borderId="231" xfId="0" applyFont="1" applyBorder="1" applyAlignment="1" applyProtection="1">
      <alignment shrinkToFit="1"/>
      <protection hidden="1"/>
    </xf>
    <xf numFmtId="167" fontId="4" fillId="0" borderId="70" xfId="0" applyNumberFormat="1" applyFont="1" applyBorder="1" applyAlignment="1">
      <alignment horizontal="center"/>
    </xf>
    <xf numFmtId="167" fontId="4" fillId="0" borderId="186" xfId="0" applyNumberFormat="1" applyFont="1" applyBorder="1" applyAlignment="1">
      <alignment horizontal="center"/>
    </xf>
    <xf numFmtId="167" fontId="4" fillId="0" borderId="233" xfId="0" applyNumberFormat="1" applyFont="1" applyBorder="1" applyAlignment="1">
      <alignment horizontal="center"/>
    </xf>
    <xf numFmtId="167" fontId="4" fillId="0" borderId="184" xfId="0" applyNumberFormat="1" applyFont="1" applyBorder="1" applyAlignment="1">
      <alignment horizontal="center"/>
    </xf>
    <xf numFmtId="167" fontId="4" fillId="0" borderId="203" xfId="0" applyNumberFormat="1" applyFont="1" applyBorder="1" applyAlignment="1">
      <alignment horizontal="center"/>
    </xf>
    <xf numFmtId="0" fontId="4" fillId="0" borderId="146" xfId="0" applyFont="1" applyBorder="1" applyAlignment="1" applyProtection="1">
      <alignment horizontal="left"/>
      <protection hidden="1"/>
    </xf>
    <xf numFmtId="0" fontId="4" fillId="0" borderId="88" xfId="0" applyFont="1" applyBorder="1" applyAlignment="1" applyProtection="1">
      <alignment horizontal="left"/>
      <protection hidden="1"/>
    </xf>
    <xf numFmtId="0" fontId="4" fillId="0" borderId="231" xfId="0" applyFont="1" applyBorder="1" applyAlignment="1" applyProtection="1">
      <alignment horizontal="left"/>
      <protection hidden="1"/>
    </xf>
    <xf numFmtId="0" fontId="4" fillId="0" borderId="52" xfId="0" applyFont="1" applyBorder="1" applyProtection="1">
      <protection hidden="1"/>
    </xf>
    <xf numFmtId="0" fontId="4" fillId="0" borderId="34" xfId="0" applyFont="1" applyBorder="1" applyAlignment="1" applyProtection="1">
      <alignment horizontal="center" vertical="center"/>
      <protection hidden="1"/>
    </xf>
    <xf numFmtId="0" fontId="4" fillId="0" borderId="31" xfId="0" applyFont="1" applyBorder="1" applyAlignment="1" applyProtection="1">
      <alignment horizontal="center" vertical="center"/>
      <protection hidden="1"/>
    </xf>
    <xf numFmtId="2" fontId="4" fillId="0" borderId="31" xfId="0" applyNumberFormat="1"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7"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2" fontId="4" fillId="0" borderId="6"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0" fillId="50" borderId="119" xfId="0" applyFill="1" applyBorder="1" applyAlignment="1" applyProtection="1">
      <alignment horizontal="center" vertical="center"/>
      <protection locked="0"/>
    </xf>
    <xf numFmtId="0" fontId="0" fillId="50" borderId="180" xfId="0" applyFill="1" applyBorder="1" applyAlignment="1" applyProtection="1">
      <alignment horizontal="center" vertical="center"/>
      <protection locked="0"/>
    </xf>
    <xf numFmtId="0" fontId="0" fillId="50" borderId="211" xfId="0" applyFill="1" applyBorder="1" applyAlignment="1" applyProtection="1">
      <alignment horizontal="center" vertical="center"/>
      <protection locked="0"/>
    </xf>
    <xf numFmtId="0" fontId="0" fillId="0" borderId="0" xfId="0" applyAlignment="1">
      <alignment horizontal="center"/>
    </xf>
    <xf numFmtId="49" fontId="4" fillId="50" borderId="6" xfId="0" applyNumberFormat="1" applyFont="1" applyFill="1" applyBorder="1" applyAlignment="1" applyProtection="1">
      <alignment horizontal="left" vertical="center"/>
      <protection locked="0"/>
    </xf>
    <xf numFmtId="0" fontId="0" fillId="50" borderId="7" xfId="0" applyFill="1" applyBorder="1" applyAlignment="1" applyProtection="1">
      <alignment horizontal="center" vertical="center"/>
      <protection locked="0"/>
    </xf>
    <xf numFmtId="0" fontId="0" fillId="50" borderId="6" xfId="0" applyFill="1" applyBorder="1" applyAlignment="1" applyProtection="1">
      <alignment vertical="center"/>
      <protection locked="0"/>
    </xf>
    <xf numFmtId="0" fontId="0" fillId="50" borderId="31" xfId="0" applyFill="1" applyBorder="1" applyAlignment="1" applyProtection="1">
      <alignment vertical="center"/>
      <protection locked="0"/>
    </xf>
    <xf numFmtId="0" fontId="5" fillId="50" borderId="152" xfId="0" applyFont="1" applyFill="1" applyBorder="1" applyAlignment="1" applyProtection="1">
      <alignment horizontal="center" vertical="center"/>
      <protection locked="0"/>
    </xf>
    <xf numFmtId="0" fontId="5" fillId="50" borderId="154" xfId="0" applyFont="1" applyFill="1" applyBorder="1" applyAlignment="1" applyProtection="1">
      <alignment horizontal="center" vertical="center"/>
      <protection locked="0"/>
    </xf>
    <xf numFmtId="0" fontId="5" fillId="50" borderId="153" xfId="0" applyFont="1" applyFill="1" applyBorder="1" applyAlignment="1" applyProtection="1">
      <alignment horizontal="center" vertical="center"/>
      <protection locked="0"/>
    </xf>
    <xf numFmtId="0" fontId="5" fillId="50" borderId="155" xfId="0" applyFont="1" applyFill="1" applyBorder="1" applyAlignment="1" applyProtection="1">
      <alignment horizontal="center" vertical="center"/>
      <protection locked="0"/>
    </xf>
    <xf numFmtId="0" fontId="5" fillId="50" borderId="67" xfId="0" applyFont="1" applyFill="1" applyBorder="1" applyAlignment="1" applyProtection="1">
      <alignment horizontal="center" vertical="center"/>
      <protection locked="0"/>
    </xf>
    <xf numFmtId="0" fontId="5" fillId="50" borderId="156" xfId="0" applyFont="1" applyFill="1" applyBorder="1" applyAlignment="1" applyProtection="1">
      <alignment horizontal="center" vertical="center"/>
      <protection locked="0"/>
    </xf>
    <xf numFmtId="0" fontId="5" fillId="50" borderId="158" xfId="0" applyFont="1" applyFill="1" applyBorder="1" applyAlignment="1" applyProtection="1">
      <alignment horizontal="center" vertical="center"/>
      <protection locked="0"/>
    </xf>
    <xf numFmtId="0" fontId="5" fillId="50" borderId="157" xfId="0" applyFont="1" applyFill="1" applyBorder="1" applyAlignment="1" applyProtection="1">
      <alignment horizontal="center" vertical="center"/>
      <protection locked="0"/>
    </xf>
    <xf numFmtId="0" fontId="5" fillId="50" borderId="151"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39" xfId="0" applyFont="1" applyFill="1" applyBorder="1" applyAlignment="1" applyProtection="1">
      <alignment horizontal="center" vertical="center"/>
      <protection locked="0"/>
    </xf>
    <xf numFmtId="0" fontId="5" fillId="50" borderId="10" xfId="0" applyFont="1" applyFill="1" applyBorder="1" applyAlignment="1" applyProtection="1">
      <alignment horizontal="center" vertical="center"/>
      <protection locked="0"/>
    </xf>
    <xf numFmtId="0" fontId="5" fillId="50" borderId="45" xfId="0" applyFont="1" applyFill="1" applyBorder="1" applyAlignment="1" applyProtection="1">
      <alignment horizontal="center" vertical="center"/>
      <protection locked="0"/>
    </xf>
    <xf numFmtId="0" fontId="5" fillId="50" borderId="89" xfId="0" applyFont="1" applyFill="1" applyBorder="1" applyAlignment="1" applyProtection="1">
      <alignment horizontal="center" vertical="center"/>
      <protection locked="0"/>
    </xf>
    <xf numFmtId="0" fontId="5" fillId="50" borderId="77" xfId="0" applyFont="1" applyFill="1" applyBorder="1" applyAlignment="1" applyProtection="1">
      <alignment horizontal="center" vertical="center"/>
      <protection locked="0"/>
    </xf>
    <xf numFmtId="0" fontId="4" fillId="50" borderId="137" xfId="0" applyFont="1" applyFill="1" applyBorder="1" applyAlignment="1" applyProtection="1">
      <alignment horizontal="center" vertical="center"/>
      <protection locked="0"/>
    </xf>
    <xf numFmtId="0" fontId="4" fillId="50" borderId="140" xfId="0" applyFont="1" applyFill="1" applyBorder="1" applyAlignment="1" applyProtection="1">
      <alignment horizontal="center" vertical="center"/>
      <protection locked="0"/>
    </xf>
    <xf numFmtId="0" fontId="4" fillId="50" borderId="77" xfId="0" applyFont="1" applyFill="1" applyBorder="1" applyAlignment="1" applyProtection="1">
      <alignment horizontal="center" vertical="center"/>
      <protection locked="0"/>
    </xf>
    <xf numFmtId="0" fontId="5" fillId="50" borderId="74" xfId="43" applyFont="1" applyFill="1" applyBorder="1" applyAlignment="1" applyProtection="1">
      <alignment horizontal="center"/>
      <protection locked="0"/>
    </xf>
    <xf numFmtId="2" fontId="5" fillId="50" borderId="90" xfId="0" applyNumberFormat="1" applyFont="1" applyFill="1" applyBorder="1" applyAlignment="1" applyProtection="1">
      <alignment horizontal="center" vertical="center"/>
      <protection locked="0"/>
    </xf>
    <xf numFmtId="0" fontId="5" fillId="50" borderId="166" xfId="0" applyFont="1" applyFill="1" applyBorder="1" applyAlignment="1" applyProtection="1">
      <alignment horizontal="center" vertical="center"/>
      <protection locked="0"/>
    </xf>
    <xf numFmtId="0" fontId="5" fillId="50" borderId="167" xfId="0" applyFont="1" applyFill="1" applyBorder="1" applyAlignment="1" applyProtection="1">
      <alignment horizontal="center" vertical="center"/>
      <protection locked="0"/>
    </xf>
    <xf numFmtId="0" fontId="5" fillId="50" borderId="168" xfId="0" applyFont="1" applyFill="1" applyBorder="1" applyAlignment="1" applyProtection="1">
      <alignment horizontal="center" vertical="center"/>
      <protection locked="0"/>
    </xf>
    <xf numFmtId="0" fontId="5" fillId="50" borderId="118" xfId="0" applyFont="1" applyFill="1" applyBorder="1" applyAlignment="1" applyProtection="1">
      <alignment horizontal="center" vertical="center"/>
      <protection locked="0"/>
    </xf>
    <xf numFmtId="0" fontId="5" fillId="50" borderId="165" xfId="0" applyFont="1" applyFill="1" applyBorder="1" applyAlignment="1" applyProtection="1">
      <alignment horizontal="center" vertical="center"/>
      <protection locked="0"/>
    </xf>
    <xf numFmtId="0" fontId="5" fillId="50" borderId="76" xfId="0" applyFont="1" applyFill="1" applyBorder="1" applyAlignment="1" applyProtection="1">
      <alignment horizontal="center" vertical="center"/>
      <protection locked="0"/>
    </xf>
    <xf numFmtId="1" fontId="5" fillId="50" borderId="146" xfId="0" applyNumberFormat="1" applyFont="1" applyFill="1" applyBorder="1" applyAlignment="1" applyProtection="1">
      <alignment horizontal="center" vertical="center"/>
      <protection locked="0"/>
    </xf>
    <xf numFmtId="1" fontId="5" fillId="50" borderId="157" xfId="0" applyNumberFormat="1" applyFont="1" applyFill="1" applyBorder="1" applyAlignment="1" applyProtection="1">
      <alignment horizontal="center" vertical="center"/>
      <protection locked="0"/>
    </xf>
    <xf numFmtId="1" fontId="5" fillId="50" borderId="150" xfId="0" applyNumberFormat="1" applyFont="1" applyFill="1" applyBorder="1" applyAlignment="1" applyProtection="1">
      <alignment horizontal="center" vertical="center"/>
      <protection locked="0"/>
    </xf>
    <xf numFmtId="1" fontId="5" fillId="50" borderId="65" xfId="0" applyNumberFormat="1" applyFont="1" applyFill="1" applyBorder="1" applyAlignment="1" applyProtection="1">
      <alignment horizontal="center" vertical="center"/>
      <protection locked="0"/>
    </xf>
    <xf numFmtId="1" fontId="5" fillId="50" borderId="49" xfId="0" applyNumberFormat="1" applyFont="1" applyFill="1" applyBorder="1" applyAlignment="1" applyProtection="1">
      <alignment horizontal="center" vertical="center"/>
      <protection locked="0"/>
    </xf>
    <xf numFmtId="1" fontId="5" fillId="50" borderId="22" xfId="0" applyNumberFormat="1" applyFont="1" applyFill="1" applyBorder="1" applyAlignment="1" applyProtection="1">
      <alignment horizontal="center" vertical="center"/>
      <protection locked="0"/>
    </xf>
    <xf numFmtId="1" fontId="5" fillId="50" borderId="142" xfId="0" applyNumberFormat="1" applyFont="1" applyFill="1" applyBorder="1" applyAlignment="1" applyProtection="1">
      <alignment horizontal="center" vertical="center"/>
      <protection locked="0"/>
    </xf>
    <xf numFmtId="1" fontId="5" fillId="50" borderId="147" xfId="0" applyNumberFormat="1" applyFont="1" applyFill="1" applyBorder="1" applyAlignment="1" applyProtection="1">
      <alignment horizontal="center" vertical="center"/>
      <protection locked="0"/>
    </xf>
    <xf numFmtId="1" fontId="5" fillId="50" borderId="51" xfId="0" applyNumberFormat="1" applyFont="1" applyFill="1" applyBorder="1" applyAlignment="1" applyProtection="1">
      <alignment horizontal="center" vertical="center"/>
      <protection locked="0"/>
    </xf>
    <xf numFmtId="1" fontId="0" fillId="50" borderId="175" xfId="0" applyNumberFormat="1" applyFill="1" applyBorder="1" applyAlignment="1" applyProtection="1">
      <alignment horizontal="center" vertical="center"/>
      <protection locked="0"/>
    </xf>
    <xf numFmtId="1" fontId="0" fillId="50" borderId="66" xfId="0" applyNumberFormat="1" applyFill="1" applyBorder="1" applyAlignment="1" applyProtection="1">
      <alignment horizontal="center" vertical="center"/>
      <protection locked="0"/>
    </xf>
    <xf numFmtId="1" fontId="0" fillId="50" borderId="195" xfId="0" applyNumberFormat="1" applyFill="1" applyBorder="1" applyAlignment="1" applyProtection="1">
      <alignment horizontal="center" vertical="center"/>
      <protection locked="0"/>
    </xf>
    <xf numFmtId="1" fontId="0" fillId="50" borderId="65" xfId="0" applyNumberFormat="1" applyFill="1" applyBorder="1" applyAlignment="1" applyProtection="1">
      <alignment horizontal="center" vertical="center"/>
      <protection locked="0"/>
    </xf>
    <xf numFmtId="1" fontId="0" fillId="50" borderId="168" xfId="0" applyNumberFormat="1" applyFill="1" applyBorder="1" applyAlignment="1" applyProtection="1">
      <alignment horizontal="center" vertical="center"/>
      <protection locked="0"/>
    </xf>
    <xf numFmtId="167" fontId="0" fillId="50" borderId="69" xfId="0" applyNumberFormat="1" applyFill="1" applyBorder="1" applyAlignment="1" applyProtection="1">
      <alignment horizontal="center" vertical="center"/>
      <protection locked="0"/>
    </xf>
    <xf numFmtId="167" fontId="0" fillId="50" borderId="194" xfId="0" applyNumberFormat="1" applyFill="1" applyBorder="1" applyAlignment="1" applyProtection="1">
      <alignment horizontal="center" vertical="center"/>
      <protection locked="0"/>
    </xf>
    <xf numFmtId="167" fontId="0" fillId="50" borderId="96" xfId="0" applyNumberFormat="1" applyFill="1" applyBorder="1" applyAlignment="1" applyProtection="1">
      <alignment horizontal="center" vertical="center"/>
      <protection locked="0"/>
    </xf>
    <xf numFmtId="1" fontId="0" fillId="50" borderId="191" xfId="0" applyNumberFormat="1" applyFill="1" applyBorder="1" applyAlignment="1" applyProtection="1">
      <alignment horizontal="center" vertical="center"/>
      <protection locked="0"/>
    </xf>
    <xf numFmtId="1" fontId="0" fillId="50" borderId="22" xfId="0" applyNumberFormat="1" applyFill="1" applyBorder="1" applyAlignment="1" applyProtection="1">
      <alignment horizontal="center" vertical="center"/>
      <protection locked="0"/>
    </xf>
    <xf numFmtId="167" fontId="0" fillId="50" borderId="70" xfId="0" applyNumberFormat="1" applyFill="1" applyBorder="1" applyAlignment="1" applyProtection="1">
      <alignment horizontal="center" vertical="center"/>
      <protection locked="0"/>
    </xf>
    <xf numFmtId="167" fontId="0" fillId="50" borderId="183" xfId="0" applyNumberFormat="1" applyFill="1" applyBorder="1" applyAlignment="1" applyProtection="1">
      <alignment horizontal="center" vertical="center"/>
      <protection locked="0"/>
    </xf>
    <xf numFmtId="167" fontId="0" fillId="50" borderId="98" xfId="0" applyNumberFormat="1" applyFill="1" applyBorder="1" applyAlignment="1" applyProtection="1">
      <alignment horizontal="center" vertical="center"/>
      <protection locked="0"/>
    </xf>
    <xf numFmtId="0" fontId="4" fillId="50" borderId="172" xfId="0" applyFont="1" applyFill="1" applyBorder="1" applyAlignment="1" applyProtection="1">
      <alignment horizontal="center" vertical="center"/>
      <protection locked="0"/>
    </xf>
    <xf numFmtId="0" fontId="13" fillId="50" borderId="172" xfId="0" applyFont="1" applyFill="1" applyBorder="1" applyAlignment="1" applyProtection="1">
      <alignment horizontal="center" vertical="center"/>
      <protection locked="0"/>
    </xf>
    <xf numFmtId="0" fontId="13" fillId="50" borderId="20" xfId="0" applyFont="1" applyFill="1" applyBorder="1" applyAlignment="1" applyProtection="1">
      <alignment horizontal="center" vertical="center"/>
      <protection locked="0"/>
    </xf>
    <xf numFmtId="0" fontId="0" fillId="0" borderId="0" xfId="0" applyFill="1" applyAlignment="1">
      <alignment horizontal="center" vertical="center"/>
    </xf>
    <xf numFmtId="0" fontId="4" fillId="0" borderId="0" xfId="0" applyFont="1" applyAlignment="1" applyProtection="1">
      <alignment horizontal="center" vertical="center"/>
      <protection hidden="1"/>
    </xf>
    <xf numFmtId="1" fontId="0" fillId="0" borderId="0" xfId="0" applyNumberFormat="1" applyAlignment="1" applyProtection="1">
      <alignment horizontal="center" vertical="center"/>
      <protection hidden="1"/>
    </xf>
    <xf numFmtId="2" fontId="4" fillId="0" borderId="0" xfId="0" applyNumberFormat="1" applyFont="1" applyAlignment="1" applyProtection="1">
      <alignment horizontal="center" vertical="center"/>
      <protection hidden="1"/>
    </xf>
    <xf numFmtId="0" fontId="4" fillId="0" borderId="0" xfId="0" applyFont="1" applyAlignment="1">
      <alignment vertical="center" wrapText="1"/>
    </xf>
    <xf numFmtId="0" fontId="86" fillId="51" borderId="42" xfId="0" applyFont="1" applyFill="1" applyBorder="1" applyAlignment="1">
      <alignment horizontal="left" vertical="center"/>
    </xf>
    <xf numFmtId="0" fontId="57" fillId="0" borderId="0" xfId="63" applyFont="1" applyFill="1" applyBorder="1" applyAlignment="1">
      <alignment horizontal="center" vertical="center"/>
    </xf>
    <xf numFmtId="0" fontId="57" fillId="0" borderId="0" xfId="63" applyFont="1" applyFill="1" applyBorder="1" applyAlignment="1">
      <alignment vertical="center"/>
    </xf>
    <xf numFmtId="0" fontId="34" fillId="0" borderId="0" xfId="0" applyFont="1"/>
    <xf numFmtId="0" fontId="4" fillId="0" borderId="0" xfId="0" applyFont="1" applyFill="1" applyAlignment="1" applyProtection="1">
      <alignment horizontal="center" vertical="center"/>
      <protection locked="0"/>
    </xf>
    <xf numFmtId="0" fontId="95" fillId="0" borderId="0" xfId="80" applyFont="1"/>
    <xf numFmtId="0" fontId="95" fillId="0" borderId="234" xfId="80" applyFont="1" applyFill="1" applyBorder="1" applyAlignment="1">
      <alignment horizontal="left"/>
    </xf>
    <xf numFmtId="0" fontId="97" fillId="4" borderId="234" xfId="80" applyFont="1" applyFill="1" applyBorder="1" applyAlignment="1">
      <alignment horizontal="center" wrapText="1"/>
    </xf>
    <xf numFmtId="0" fontId="97" fillId="4" borderId="234" xfId="80" applyFont="1" applyFill="1" applyBorder="1" applyAlignment="1">
      <alignment horizontal="center" vertical="center" wrapText="1"/>
    </xf>
    <xf numFmtId="0" fontId="97" fillId="0" borderId="234" xfId="80" applyFont="1" applyFill="1" applyBorder="1" applyAlignment="1">
      <alignment horizontal="center" vertical="center" wrapText="1"/>
    </xf>
    <xf numFmtId="0" fontId="97" fillId="4" borderId="235" xfId="80" applyFont="1" applyFill="1" applyBorder="1" applyAlignment="1">
      <alignment horizontal="center" vertical="center" wrapText="1"/>
    </xf>
    <xf numFmtId="0" fontId="95" fillId="0" borderId="28" xfId="80" applyFont="1" applyBorder="1"/>
    <xf numFmtId="0" fontId="95" fillId="0" borderId="7" xfId="80" applyFont="1" applyBorder="1"/>
    <xf numFmtId="0" fontId="95" fillId="0" borderId="234" xfId="80" applyFont="1" applyBorder="1"/>
    <xf numFmtId="0" fontId="18" fillId="47" borderId="7" xfId="0" applyFont="1" applyFill="1" applyBorder="1" applyAlignment="1">
      <alignment horizontal="center"/>
    </xf>
    <xf numFmtId="0" fontId="99" fillId="50" borderId="28" xfId="80" applyFont="1" applyFill="1" applyBorder="1" applyProtection="1">
      <protection locked="0"/>
    </xf>
    <xf numFmtId="0" fontId="99" fillId="50" borderId="28" xfId="80" applyFont="1" applyFill="1" applyBorder="1" applyAlignment="1" applyProtection="1">
      <alignment horizontal="center" vertical="center"/>
      <protection locked="0"/>
    </xf>
    <xf numFmtId="17" fontId="99" fillId="50" borderId="28" xfId="80" applyNumberFormat="1" applyFont="1" applyFill="1" applyBorder="1" applyAlignment="1" applyProtection="1">
      <alignment horizontal="center" vertical="center"/>
      <protection locked="0"/>
    </xf>
    <xf numFmtId="0" fontId="99" fillId="50" borderId="7" xfId="80" applyFont="1" applyFill="1" applyBorder="1" applyProtection="1">
      <protection locked="0"/>
    </xf>
    <xf numFmtId="0" fontId="99" fillId="50" borderId="7" xfId="80" applyFont="1" applyFill="1" applyBorder="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center"/>
    </xf>
    <xf numFmtId="0" fontId="99" fillId="50" borderId="7" xfId="80" applyFont="1" applyFill="1" applyBorder="1" applyAlignment="1" applyProtection="1">
      <alignment vertical="center"/>
      <protection locked="0"/>
    </xf>
    <xf numFmtId="0" fontId="4" fillId="0" borderId="188" xfId="0" applyFont="1" applyBorder="1" applyAlignment="1">
      <alignment horizontal="center" vertical="center"/>
    </xf>
    <xf numFmtId="0" fontId="0" fillId="0" borderId="229" xfId="0" applyFill="1" applyBorder="1" applyAlignment="1" applyProtection="1">
      <alignment horizontal="center" vertical="center"/>
    </xf>
    <xf numFmtId="0" fontId="0" fillId="0" borderId="230" xfId="0" applyFill="1" applyBorder="1" applyAlignment="1" applyProtection="1">
      <alignment horizontal="center" vertical="center"/>
    </xf>
    <xf numFmtId="0" fontId="5" fillId="0" borderId="0" xfId="0" applyFont="1" applyAlignment="1"/>
    <xf numFmtId="0" fontId="96" fillId="0" borderId="6" xfId="80" applyFont="1" applyBorder="1" applyAlignment="1">
      <alignment horizontal="center"/>
    </xf>
    <xf numFmtId="0" fontId="54" fillId="0" borderId="0" xfId="76" applyFont="1" applyAlignment="1">
      <alignment vertical="center"/>
    </xf>
    <xf numFmtId="0" fontId="4" fillId="0" borderId="0" xfId="0" applyFont="1" applyFill="1" applyAlignment="1">
      <alignment vertical="center"/>
    </xf>
    <xf numFmtId="0" fontId="4" fillId="0" borderId="0" xfId="0" applyFont="1" applyAlignment="1" applyProtection="1">
      <alignment horizontal="center" vertical="center"/>
      <protection hidden="1"/>
    </xf>
    <xf numFmtId="0" fontId="16" fillId="50" borderId="69" xfId="0" applyFont="1" applyFill="1" applyBorder="1" applyAlignment="1" applyProtection="1">
      <alignment vertical="center"/>
      <protection locked="0"/>
    </xf>
    <xf numFmtId="0" fontId="16" fillId="50" borderId="96" xfId="0" applyFont="1" applyFill="1" applyBorder="1" applyAlignment="1" applyProtection="1">
      <alignment vertical="center"/>
      <protection locked="0"/>
    </xf>
    <xf numFmtId="0" fontId="16" fillId="50" borderId="70" xfId="0" applyFont="1" applyFill="1" applyBorder="1" applyAlignment="1" applyProtection="1">
      <alignment vertical="center"/>
      <protection locked="0"/>
    </xf>
    <xf numFmtId="0" fontId="16" fillId="50" borderId="98" xfId="0" applyFont="1" applyFill="1" applyBorder="1" applyAlignment="1" applyProtection="1">
      <alignment vertical="center"/>
      <protection locked="0"/>
    </xf>
    <xf numFmtId="167" fontId="4" fillId="0" borderId="4" xfId="0" applyNumberFormat="1" applyFont="1" applyBorder="1" applyAlignment="1" applyProtection="1">
      <alignment horizontal="center" vertical="center" wrapText="1"/>
      <protection hidden="1"/>
    </xf>
    <xf numFmtId="167" fontId="4" fillId="0" borderId="0" xfId="0" applyNumberFormat="1" applyFont="1" applyBorder="1" applyAlignment="1" applyProtection="1">
      <alignment horizontal="center" vertical="center" wrapText="1"/>
      <protection hidden="1"/>
    </xf>
    <xf numFmtId="167" fontId="4" fillId="0" borderId="9" xfId="0" applyNumberFormat="1" applyFont="1" applyBorder="1" applyAlignment="1" applyProtection="1">
      <alignment horizontal="center" vertical="center" wrapText="1"/>
      <protection hidden="1"/>
    </xf>
    <xf numFmtId="0" fontId="5" fillId="0" borderId="0" xfId="0" applyFont="1" applyFill="1" applyBorder="1" applyAlignment="1">
      <alignment horizontal="center" vertical="center"/>
    </xf>
    <xf numFmtId="0" fontId="4" fillId="47" borderId="17" xfId="0" applyFont="1" applyFill="1" applyBorder="1" applyAlignment="1">
      <alignment horizontal="center"/>
    </xf>
    <xf numFmtId="0" fontId="4" fillId="47" borderId="22" xfId="0" applyFont="1" applyFill="1" applyBorder="1" applyAlignment="1">
      <alignment horizontal="center"/>
    </xf>
    <xf numFmtId="0" fontId="4" fillId="47" borderId="2"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7" xfId="0" applyFont="1" applyFill="1" applyBorder="1" applyAlignment="1">
      <alignment horizontal="center" vertical="center" wrapText="1"/>
    </xf>
    <xf numFmtId="0" fontId="4" fillId="47" borderId="1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69" xfId="0" applyFont="1" applyBorder="1" applyAlignment="1" applyProtection="1">
      <alignment horizontal="center" vertical="center" wrapText="1"/>
      <protection hidden="1"/>
    </xf>
    <xf numFmtId="0" fontId="4" fillId="0" borderId="96" xfId="0" applyFont="1" applyBorder="1" applyAlignment="1" applyProtection="1">
      <alignment horizontal="center" vertical="center" wrapText="1"/>
      <protection hidden="1"/>
    </xf>
    <xf numFmtId="0" fontId="16" fillId="50" borderId="68" xfId="0" applyFont="1" applyFill="1" applyBorder="1" applyAlignment="1" applyProtection="1">
      <alignment vertical="center"/>
      <protection locked="0"/>
    </xf>
    <xf numFmtId="0" fontId="16" fillId="50" borderId="99" xfId="0" applyFont="1" applyFill="1" applyBorder="1" applyAlignment="1" applyProtection="1">
      <alignment vertical="center"/>
      <protection locked="0"/>
    </xf>
    <xf numFmtId="0" fontId="17" fillId="47" borderId="1" xfId="43" applyFont="1" applyFill="1" applyBorder="1" applyAlignment="1" applyProtection="1">
      <alignment horizontal="center"/>
    </xf>
    <xf numFmtId="0" fontId="17" fillId="47" borderId="5" xfId="43" applyFont="1" applyFill="1" applyBorder="1" applyAlignment="1" applyProtection="1">
      <alignment horizontal="center"/>
    </xf>
    <xf numFmtId="0" fontId="17" fillId="47" borderId="11" xfId="43" applyFont="1" applyFill="1" applyBorder="1" applyAlignment="1" applyProtection="1">
      <alignment horizontal="center"/>
    </xf>
    <xf numFmtId="0" fontId="5" fillId="0" borderId="54" xfId="0" applyFont="1" applyFill="1" applyBorder="1" applyAlignment="1" applyProtection="1">
      <alignment horizontal="center" vertical="center"/>
      <protection hidden="1"/>
    </xf>
    <xf numFmtId="0" fontId="5" fillId="0" borderId="55" xfId="0" applyFont="1" applyFill="1" applyBorder="1" applyAlignment="1" applyProtection="1">
      <alignment horizontal="center" vertical="center"/>
      <protection hidden="1"/>
    </xf>
    <xf numFmtId="0" fontId="5" fillId="0" borderId="62" xfId="0" applyFont="1" applyFill="1" applyBorder="1" applyAlignment="1" applyProtection="1">
      <alignment horizontal="center" vertical="center"/>
      <protection hidden="1"/>
    </xf>
    <xf numFmtId="0" fontId="4" fillId="0" borderId="84"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3" fillId="0" borderId="72" xfId="43" applyFont="1" applyFill="1" applyBorder="1" applyAlignment="1" applyProtection="1">
      <alignment horizontal="center" vertical="center"/>
    </xf>
    <xf numFmtId="0" fontId="13" fillId="0" borderId="42" xfId="43" applyFont="1" applyFill="1" applyBorder="1" applyAlignment="1" applyProtection="1">
      <alignment horizontal="center" vertical="center"/>
    </xf>
    <xf numFmtId="0" fontId="4" fillId="0" borderId="72"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72" xfId="43" applyFont="1" applyFill="1" applyBorder="1" applyAlignment="1" applyProtection="1">
      <alignment horizontal="center" vertical="center"/>
    </xf>
    <xf numFmtId="0" fontId="4" fillId="0" borderId="42" xfId="43" applyFont="1" applyFill="1" applyBorder="1" applyAlignment="1" applyProtection="1">
      <alignment horizontal="center" vertical="center"/>
    </xf>
    <xf numFmtId="0" fontId="4" fillId="0" borderId="54" xfId="43" applyFont="1" applyFill="1" applyBorder="1" applyAlignment="1" applyProtection="1">
      <alignment horizontal="center" vertical="center"/>
    </xf>
    <xf numFmtId="0" fontId="4" fillId="0" borderId="61" xfId="43" applyFont="1" applyFill="1" applyBorder="1" applyAlignment="1" applyProtection="1">
      <alignment horizontal="center" vertical="center"/>
    </xf>
    <xf numFmtId="1" fontId="4" fillId="0" borderId="17" xfId="0" applyNumberFormat="1" applyFont="1" applyBorder="1" applyAlignment="1" applyProtection="1">
      <alignment horizontal="center" vertical="center"/>
      <protection hidden="1"/>
    </xf>
    <xf numFmtId="1" fontId="4" fillId="0" borderId="22" xfId="0" applyNumberFormat="1" applyFont="1" applyBorder="1" applyAlignment="1" applyProtection="1">
      <alignment horizontal="center" vertical="center"/>
      <protection hidden="1"/>
    </xf>
    <xf numFmtId="0" fontId="28" fillId="42" borderId="18" xfId="0" applyFont="1" applyFill="1" applyBorder="1" applyAlignment="1" applyProtection="1">
      <alignment horizontal="center" vertical="center"/>
      <protection hidden="1"/>
    </xf>
    <xf numFmtId="0" fontId="28" fillId="42" borderId="5" xfId="0" applyFont="1" applyFill="1" applyBorder="1" applyAlignment="1" applyProtection="1">
      <alignment horizontal="center" vertical="center"/>
      <protection hidden="1"/>
    </xf>
    <xf numFmtId="0" fontId="28" fillId="42" borderId="11" xfId="0" applyFont="1" applyFill="1" applyBorder="1" applyAlignment="1" applyProtection="1">
      <alignment horizontal="center" vertical="center"/>
      <protection hidden="1"/>
    </xf>
    <xf numFmtId="1" fontId="5" fillId="0" borderId="17" xfId="0" applyNumberFormat="1" applyFont="1" applyBorder="1" applyAlignment="1" applyProtection="1">
      <alignment horizontal="center"/>
      <protection hidden="1"/>
    </xf>
    <xf numFmtId="1" fontId="5" fillId="0" borderId="22" xfId="0" applyNumberFormat="1" applyFont="1" applyBorder="1" applyAlignment="1" applyProtection="1">
      <alignment horizontal="center"/>
      <protection hidden="1"/>
    </xf>
    <xf numFmtId="0" fontId="4" fillId="47" borderId="221" xfId="0" applyFont="1" applyFill="1" applyBorder="1" applyAlignment="1">
      <alignment horizontal="center" vertical="center"/>
    </xf>
    <xf numFmtId="0" fontId="4" fillId="47" borderId="197" xfId="0" applyFont="1" applyFill="1" applyBorder="1" applyAlignment="1">
      <alignment horizontal="center" vertical="center"/>
    </xf>
    <xf numFmtId="1" fontId="0" fillId="0" borderId="21" xfId="0" applyNumberFormat="1" applyBorder="1" applyAlignment="1">
      <alignment horizontal="center" vertical="center"/>
    </xf>
    <xf numFmtId="0" fontId="0" fillId="0" borderId="76" xfId="0" applyBorder="1" applyAlignment="1">
      <alignment horizontal="center" vertical="center"/>
    </xf>
    <xf numFmtId="0" fontId="4" fillId="0" borderId="17" xfId="0" applyFont="1" applyBorder="1" applyAlignment="1">
      <alignment horizontal="left" vertical="center"/>
    </xf>
    <xf numFmtId="0" fontId="0" fillId="0" borderId="18" xfId="0" applyBorder="1" applyAlignment="1">
      <alignment horizontal="left" vertical="center"/>
    </xf>
    <xf numFmtId="0" fontId="5" fillId="47" borderId="1" xfId="0" applyFont="1" applyFill="1" applyBorder="1" applyAlignment="1">
      <alignment horizontal="center" vertical="center"/>
    </xf>
    <xf numFmtId="0" fontId="5" fillId="47" borderId="5" xfId="0" applyFont="1" applyFill="1" applyBorder="1" applyAlignment="1">
      <alignment horizontal="center" vertical="center"/>
    </xf>
    <xf numFmtId="1" fontId="5" fillId="0" borderId="128" xfId="0" applyNumberFormat="1" applyFont="1" applyBorder="1" applyAlignment="1" applyProtection="1">
      <alignment horizontal="center" vertical="center"/>
      <protection hidden="1"/>
    </xf>
    <xf numFmtId="1" fontId="5" fillId="0" borderId="129" xfId="0" applyNumberFormat="1" applyFont="1" applyBorder="1" applyAlignment="1" applyProtection="1">
      <alignment horizontal="center" vertical="center"/>
      <protection hidden="1"/>
    </xf>
    <xf numFmtId="1" fontId="5" fillId="0" borderId="130" xfId="0" applyNumberFormat="1" applyFont="1" applyBorder="1" applyAlignment="1" applyProtection="1">
      <alignment horizontal="center" vertical="center"/>
      <protection hidden="1"/>
    </xf>
    <xf numFmtId="1" fontId="5" fillId="0" borderId="125" xfId="0" applyNumberFormat="1" applyFont="1" applyBorder="1" applyAlignment="1" applyProtection="1">
      <alignment horizontal="center" vertical="center"/>
      <protection hidden="1"/>
    </xf>
    <xf numFmtId="1" fontId="5" fillId="0" borderId="133" xfId="0" applyNumberFormat="1" applyFont="1" applyBorder="1" applyAlignment="1" applyProtection="1">
      <alignment horizontal="center" vertical="center"/>
      <protection hidden="1"/>
    </xf>
    <xf numFmtId="1" fontId="5" fillId="0" borderId="134" xfId="0" applyNumberFormat="1" applyFont="1" applyBorder="1" applyAlignment="1" applyProtection="1">
      <alignment horizontal="center" vertical="center"/>
      <protection hidden="1"/>
    </xf>
    <xf numFmtId="0" fontId="4" fillId="0" borderId="4"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9" xfId="0" applyBorder="1" applyAlignment="1" applyProtection="1">
      <alignment horizontal="left"/>
      <protection hidden="1"/>
    </xf>
    <xf numFmtId="0" fontId="0" fillId="47" borderId="3" xfId="0" applyFill="1" applyBorder="1" applyAlignment="1" applyProtection="1">
      <alignment horizontal="center"/>
      <protection hidden="1"/>
    </xf>
    <xf numFmtId="0" fontId="0" fillId="47" borderId="16" xfId="0" applyFill="1" applyBorder="1" applyAlignment="1" applyProtection="1">
      <alignment horizontal="center"/>
      <protection hidden="1"/>
    </xf>
    <xf numFmtId="0" fontId="0" fillId="47" borderId="18" xfId="0" applyFill="1" applyBorder="1" applyAlignment="1" applyProtection="1">
      <alignment horizontal="center"/>
      <protection hidden="1"/>
    </xf>
    <xf numFmtId="0" fontId="0" fillId="47" borderId="22" xfId="0" applyFill="1" applyBorder="1" applyAlignment="1" applyProtection="1">
      <alignment horizontal="center"/>
      <protection hidden="1"/>
    </xf>
    <xf numFmtId="1" fontId="0" fillId="0" borderId="2" xfId="0" applyNumberFormat="1" applyBorder="1" applyAlignment="1" applyProtection="1">
      <alignment horizontal="center"/>
      <protection hidden="1"/>
    </xf>
    <xf numFmtId="1" fontId="0" fillId="0" borderId="16" xfId="0" applyNumberFormat="1" applyBorder="1" applyAlignment="1" applyProtection="1">
      <alignment horizontal="center"/>
      <protection hidden="1"/>
    </xf>
    <xf numFmtId="1" fontId="0" fillId="0" borderId="4" xfId="0" applyNumberFormat="1" applyBorder="1" applyAlignment="1" applyProtection="1">
      <alignment horizontal="center"/>
      <protection hidden="1"/>
    </xf>
    <xf numFmtId="1" fontId="0" fillId="0" borderId="9" xfId="0" applyNumberFormat="1" applyBorder="1" applyAlignment="1" applyProtection="1">
      <alignment horizontal="center"/>
      <protection hidden="1"/>
    </xf>
    <xf numFmtId="0" fontId="5" fillId="47" borderId="2" xfId="0" applyFont="1" applyFill="1" applyBorder="1" applyAlignment="1" applyProtection="1">
      <alignment horizontal="center"/>
      <protection hidden="1"/>
    </xf>
    <xf numFmtId="0" fontId="5" fillId="47" borderId="16" xfId="0" applyFont="1" applyFill="1" applyBorder="1" applyAlignment="1" applyProtection="1">
      <alignment horizontal="center"/>
      <protection hidden="1"/>
    </xf>
    <xf numFmtId="0" fontId="5" fillId="47" borderId="17" xfId="0" applyFont="1" applyFill="1" applyBorder="1" applyAlignment="1" applyProtection="1">
      <alignment horizontal="center"/>
      <protection hidden="1"/>
    </xf>
    <xf numFmtId="0" fontId="5" fillId="47" borderId="22" xfId="0" applyFont="1" applyFill="1" applyBorder="1" applyAlignment="1" applyProtection="1">
      <alignment horizontal="center"/>
      <protection hidden="1"/>
    </xf>
    <xf numFmtId="1" fontId="5" fillId="0" borderId="2" xfId="0" applyNumberFormat="1" applyFont="1" applyBorder="1" applyAlignment="1" applyProtection="1">
      <alignment horizontal="center"/>
      <protection hidden="1"/>
    </xf>
    <xf numFmtId="1" fontId="5" fillId="0" borderId="16"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5" fillId="0" borderId="9" xfId="0" applyNumberFormat="1" applyFont="1" applyBorder="1" applyAlignment="1" applyProtection="1">
      <alignment horizontal="center"/>
      <protection hidden="1"/>
    </xf>
    <xf numFmtId="0" fontId="7" fillId="47" borderId="2" xfId="0" applyFont="1" applyFill="1" applyBorder="1" applyAlignment="1" applyProtection="1">
      <alignment horizontal="left" vertical="center"/>
      <protection hidden="1"/>
    </xf>
    <xf numFmtId="0" fontId="7" fillId="47" borderId="3" xfId="0" applyFont="1" applyFill="1" applyBorder="1" applyAlignment="1" applyProtection="1">
      <alignment horizontal="left" vertical="center"/>
      <protection hidden="1"/>
    </xf>
    <xf numFmtId="0" fontId="7" fillId="47" borderId="16" xfId="0" applyFont="1" applyFill="1" applyBorder="1" applyAlignment="1" applyProtection="1">
      <alignment horizontal="left" vertical="center"/>
      <protection hidden="1"/>
    </xf>
    <xf numFmtId="0" fontId="7" fillId="47" borderId="17" xfId="0" applyFont="1" applyFill="1" applyBorder="1" applyAlignment="1" applyProtection="1">
      <alignment horizontal="left" vertical="center"/>
      <protection hidden="1"/>
    </xf>
    <xf numFmtId="0" fontId="7" fillId="47" borderId="18" xfId="0" applyFont="1" applyFill="1" applyBorder="1" applyAlignment="1" applyProtection="1">
      <alignment horizontal="left" vertical="center"/>
      <protection hidden="1"/>
    </xf>
    <xf numFmtId="0" fontId="7" fillId="47" borderId="22" xfId="0" applyFont="1" applyFill="1" applyBorder="1" applyAlignment="1" applyProtection="1">
      <alignment horizontal="left" vertical="center"/>
      <protection hidden="1"/>
    </xf>
    <xf numFmtId="1" fontId="5" fillId="0" borderId="131" xfId="0" applyNumberFormat="1" applyFont="1" applyBorder="1" applyAlignment="1" applyProtection="1">
      <alignment horizontal="center" vertical="center"/>
      <protection hidden="1"/>
    </xf>
    <xf numFmtId="1" fontId="5" fillId="0" borderId="132" xfId="0" applyNumberFormat="1" applyFont="1" applyBorder="1" applyAlignment="1" applyProtection="1">
      <alignment horizontal="center" vertical="center"/>
      <protection hidden="1"/>
    </xf>
    <xf numFmtId="0" fontId="4" fillId="0" borderId="72" xfId="0" applyFont="1" applyBorder="1" applyAlignment="1" applyProtection="1">
      <alignment horizontal="left" vertical="center"/>
      <protection hidden="1"/>
    </xf>
    <xf numFmtId="0" fontId="13" fillId="0" borderId="73" xfId="0" applyFont="1" applyBorder="1" applyAlignment="1" applyProtection="1">
      <alignment horizontal="left" vertical="center"/>
      <protection hidden="1"/>
    </xf>
    <xf numFmtId="0" fontId="13" fillId="0" borderId="42" xfId="0" applyFont="1" applyBorder="1" applyAlignment="1" applyProtection="1">
      <alignment horizontal="left" vertical="center"/>
      <protection hidden="1"/>
    </xf>
    <xf numFmtId="0" fontId="32" fillId="0" borderId="71" xfId="0" applyFont="1" applyFill="1" applyBorder="1" applyAlignment="1" applyProtection="1">
      <alignment horizontal="left" vertical="center"/>
      <protection hidden="1"/>
    </xf>
    <xf numFmtId="0" fontId="32" fillId="0" borderId="42" xfId="0" applyFont="1" applyFill="1" applyBorder="1" applyAlignment="1" applyProtection="1">
      <alignment horizontal="left" vertical="center"/>
      <protection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5" fillId="50" borderId="160" xfId="0" applyFont="1" applyFill="1" applyBorder="1" applyAlignment="1" applyProtection="1">
      <alignment horizontal="center" vertical="center"/>
      <protection locked="0"/>
    </xf>
    <xf numFmtId="0" fontId="5" fillId="50" borderId="161" xfId="0" applyFont="1" applyFill="1" applyBorder="1" applyAlignment="1" applyProtection="1">
      <alignment horizontal="center" vertical="center"/>
      <protection locked="0"/>
    </xf>
    <xf numFmtId="0" fontId="17" fillId="46" borderId="1" xfId="0" applyFont="1" applyFill="1" applyBorder="1" applyAlignment="1" applyProtection="1">
      <alignment horizontal="left" vertical="center"/>
    </xf>
    <xf numFmtId="0" fontId="17" fillId="46" borderId="5" xfId="0" applyFont="1" applyFill="1" applyBorder="1" applyAlignment="1" applyProtection="1">
      <alignment horizontal="left" vertical="center"/>
    </xf>
    <xf numFmtId="0" fontId="17" fillId="46" borderId="11" xfId="0" applyFont="1" applyFill="1" applyBorder="1" applyAlignment="1" applyProtection="1">
      <alignment horizontal="left" vertical="center"/>
    </xf>
    <xf numFmtId="0" fontId="4" fillId="47" borderId="2" xfId="0" applyFont="1" applyFill="1" applyBorder="1" applyAlignment="1">
      <alignment horizontal="center" vertical="center"/>
    </xf>
    <xf numFmtId="0" fontId="4" fillId="47" borderId="16" xfId="0" applyFont="1" applyFill="1" applyBorder="1" applyAlignment="1">
      <alignment horizontal="center" vertical="center"/>
    </xf>
    <xf numFmtId="0" fontId="4" fillId="47" borderId="17" xfId="0" applyFont="1" applyFill="1" applyBorder="1" applyAlignment="1">
      <alignment horizontal="center" vertical="center"/>
    </xf>
    <xf numFmtId="0" fontId="4" fillId="47" borderId="22" xfId="0" applyFont="1" applyFill="1" applyBorder="1" applyAlignment="1">
      <alignment horizontal="center" vertical="center"/>
    </xf>
    <xf numFmtId="1" fontId="5" fillId="0" borderId="116" xfId="0" applyNumberFormat="1" applyFont="1" applyBorder="1" applyAlignment="1" applyProtection="1">
      <alignment horizontal="center" vertical="center"/>
      <protection hidden="1"/>
    </xf>
    <xf numFmtId="1" fontId="5" fillId="0" borderId="117"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63" xfId="0" applyNumberFormat="1" applyFont="1" applyBorder="1" applyAlignment="1" applyProtection="1">
      <alignment horizontal="center" vertical="center"/>
      <protection hidden="1"/>
    </xf>
    <xf numFmtId="0" fontId="4" fillId="0" borderId="72" xfId="0"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5" fillId="0" borderId="61"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50" borderId="163" xfId="0" applyFont="1" applyFill="1" applyBorder="1" applyAlignment="1" applyProtection="1">
      <alignment horizontal="center" vertical="center"/>
      <protection locked="0"/>
    </xf>
    <xf numFmtId="0" fontId="5" fillId="50" borderId="145" xfId="0" applyFont="1" applyFill="1" applyBorder="1" applyAlignment="1" applyProtection="1">
      <alignment horizontal="center" vertical="center"/>
      <protection locked="0"/>
    </xf>
    <xf numFmtId="0" fontId="5" fillId="50" borderId="162" xfId="0" applyFont="1" applyFill="1" applyBorder="1" applyAlignment="1" applyProtection="1">
      <alignment horizontal="center" vertical="center"/>
      <protection locked="0"/>
    </xf>
    <xf numFmtId="0" fontId="5" fillId="50" borderId="80" xfId="0"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86" xfId="0" applyFont="1" applyFill="1" applyBorder="1" applyAlignment="1" applyProtection="1">
      <alignment horizontal="left" vertical="center"/>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5" fillId="50" borderId="133" xfId="0" applyFont="1" applyFill="1" applyBorder="1" applyAlignment="1" applyProtection="1">
      <alignment horizontal="center" vertical="center"/>
      <protection locked="0"/>
    </xf>
    <xf numFmtId="0" fontId="5" fillId="50" borderId="148" xfId="0" applyFont="1" applyFill="1" applyBorder="1" applyAlignment="1" applyProtection="1">
      <alignment horizontal="center" vertical="center"/>
      <protection locked="0"/>
    </xf>
    <xf numFmtId="0" fontId="13" fillId="0" borderId="92" xfId="0" applyFont="1" applyBorder="1" applyAlignment="1" applyProtection="1">
      <alignment horizontal="left" vertical="center"/>
    </xf>
    <xf numFmtId="0" fontId="13" fillId="0" borderId="71" xfId="0" applyFont="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71" xfId="0" applyFont="1" applyFill="1" applyBorder="1" applyAlignment="1" applyProtection="1">
      <alignment horizontal="left" vertical="center"/>
    </xf>
    <xf numFmtId="0" fontId="13" fillId="0" borderId="93" xfId="0" applyFont="1" applyBorder="1" applyAlignment="1" applyProtection="1">
      <alignment horizontal="left" vertical="center"/>
    </xf>
    <xf numFmtId="0" fontId="13" fillId="0" borderId="36" xfId="0" applyFont="1" applyBorder="1" applyAlignment="1" applyProtection="1">
      <alignment horizontal="left" vertical="center"/>
    </xf>
    <xf numFmtId="0" fontId="5" fillId="47" borderId="1" xfId="0" applyFont="1" applyFill="1" applyBorder="1" applyAlignment="1" applyProtection="1">
      <alignment horizontal="left" vertical="center"/>
    </xf>
    <xf numFmtId="0" fontId="5" fillId="47" borderId="5" xfId="0" applyFont="1" applyFill="1" applyBorder="1" applyAlignment="1" applyProtection="1">
      <alignment horizontal="left" vertical="center"/>
    </xf>
    <xf numFmtId="0" fontId="5" fillId="47" borderId="11" xfId="0" applyFont="1" applyFill="1" applyBorder="1" applyAlignment="1" applyProtection="1">
      <alignment horizontal="left" vertical="center"/>
    </xf>
    <xf numFmtId="0" fontId="5" fillId="50" borderId="164" xfId="0" applyFont="1" applyFill="1" applyBorder="1" applyAlignment="1" applyProtection="1">
      <alignment horizontal="center" vertical="center"/>
      <protection locked="0"/>
    </xf>
    <xf numFmtId="0" fontId="5" fillId="50" borderId="134"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4" fillId="50" borderId="69" xfId="0" applyFont="1" applyFill="1" applyBorder="1" applyAlignment="1" applyProtection="1">
      <alignment horizontal="center" vertical="center"/>
      <protection locked="0"/>
    </xf>
    <xf numFmtId="0" fontId="4" fillId="50" borderId="96" xfId="0" applyFont="1" applyFill="1" applyBorder="1" applyAlignment="1" applyProtection="1">
      <alignment horizontal="center" vertical="center"/>
      <protection locked="0"/>
    </xf>
    <xf numFmtId="0" fontId="4" fillId="50" borderId="139" xfId="0" applyFont="1" applyFill="1" applyBorder="1" applyAlignment="1" applyProtection="1">
      <alignment horizontal="center" vertical="center"/>
      <protection locked="0"/>
    </xf>
    <xf numFmtId="0" fontId="4" fillId="50" borderId="17" xfId="0" applyFont="1" applyFill="1" applyBorder="1" applyAlignment="1" applyProtection="1">
      <alignment horizontal="center" vertical="center"/>
      <protection locked="0"/>
    </xf>
    <xf numFmtId="0" fontId="4" fillId="50" borderId="18" xfId="0" applyFont="1" applyFill="1" applyBorder="1" applyAlignment="1" applyProtection="1">
      <alignment horizontal="center" vertical="center"/>
      <protection locked="0"/>
    </xf>
    <xf numFmtId="0" fontId="4" fillId="50" borderId="6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hidden="1"/>
    </xf>
    <xf numFmtId="0" fontId="4" fillId="0" borderId="92" xfId="0" applyFont="1" applyFill="1" applyBorder="1" applyAlignment="1" applyProtection="1">
      <alignment horizontal="left" vertical="center"/>
      <protection hidden="1"/>
    </xf>
    <xf numFmtId="0" fontId="13" fillId="0" borderId="7" xfId="0" applyFont="1" applyFill="1" applyBorder="1" applyAlignment="1" applyProtection="1">
      <alignment horizontal="left" vertical="center"/>
      <protection hidden="1"/>
    </xf>
    <xf numFmtId="0" fontId="13" fillId="0" borderId="92" xfId="0" applyFont="1" applyFill="1" applyBorder="1" applyAlignment="1" applyProtection="1">
      <alignment horizontal="left" vertical="center"/>
      <protection hidden="1"/>
    </xf>
    <xf numFmtId="0" fontId="13" fillId="0" borderId="32" xfId="0" applyFont="1" applyFill="1" applyBorder="1" applyAlignment="1" applyProtection="1">
      <alignment horizontal="left" vertical="center"/>
      <protection hidden="1"/>
    </xf>
    <xf numFmtId="0" fontId="13" fillId="0" borderId="33" xfId="0" applyFont="1" applyFill="1" applyBorder="1" applyAlignment="1" applyProtection="1">
      <alignment horizontal="left" vertical="center"/>
      <protection hidden="1"/>
    </xf>
    <xf numFmtId="0" fontId="4" fillId="50" borderId="100" xfId="0" applyFont="1" applyFill="1" applyBorder="1" applyAlignment="1" applyProtection="1">
      <alignment horizontal="center" vertical="center"/>
      <protection locked="0"/>
    </xf>
    <xf numFmtId="0" fontId="4" fillId="50" borderId="46" xfId="0" applyFont="1" applyFill="1" applyBorder="1" applyAlignment="1" applyProtection="1">
      <alignment horizontal="center" vertical="center"/>
      <protection locked="0"/>
    </xf>
    <xf numFmtId="0" fontId="4" fillId="50" borderId="141" xfId="0" applyFont="1" applyFill="1" applyBorder="1" applyAlignment="1" applyProtection="1">
      <alignment horizontal="center" vertical="center"/>
      <protection locked="0"/>
    </xf>
    <xf numFmtId="0" fontId="4" fillId="50" borderId="21" xfId="0" applyFont="1" applyFill="1" applyBorder="1" applyAlignment="1" applyProtection="1">
      <alignment horizontal="center" vertical="center"/>
      <protection locked="0"/>
    </xf>
    <xf numFmtId="0" fontId="4" fillId="47" borderId="2" xfId="0" applyFont="1" applyFill="1" applyBorder="1" applyAlignment="1" applyProtection="1">
      <alignment horizontal="center" vertical="center"/>
    </xf>
    <xf numFmtId="0" fontId="4" fillId="47" borderId="3" xfId="0" applyFont="1" applyFill="1" applyBorder="1" applyAlignment="1" applyProtection="1">
      <alignment horizontal="center" vertical="center"/>
    </xf>
    <xf numFmtId="0" fontId="4" fillId="47" borderId="94" xfId="0" applyFont="1" applyFill="1" applyBorder="1" applyAlignment="1" applyProtection="1">
      <alignment horizontal="center" vertical="center"/>
    </xf>
    <xf numFmtId="0" fontId="4" fillId="47" borderId="26" xfId="0" applyFont="1" applyFill="1" applyBorder="1" applyAlignment="1" applyProtection="1">
      <alignment horizontal="center" vertical="center"/>
    </xf>
    <xf numFmtId="0" fontId="4" fillId="47" borderId="6" xfId="0" applyFont="1" applyFill="1" applyBorder="1" applyAlignment="1" applyProtection="1">
      <alignment horizontal="center" vertical="center"/>
    </xf>
    <xf numFmtId="0" fontId="4" fillId="47" borderId="40" xfId="0" applyFont="1" applyFill="1" applyBorder="1" applyAlignment="1" applyProtection="1">
      <alignment horizontal="center" vertical="center"/>
    </xf>
    <xf numFmtId="0" fontId="16" fillId="47" borderId="83" xfId="0" applyFont="1" applyFill="1" applyBorder="1" applyAlignment="1" applyProtection="1">
      <alignment horizontal="center" vertical="center" wrapText="1"/>
    </xf>
    <xf numFmtId="0" fontId="16" fillId="47" borderId="94" xfId="0" applyFont="1" applyFill="1" applyBorder="1" applyAlignment="1" applyProtection="1">
      <alignment horizontal="center" vertical="center" wrapText="1"/>
    </xf>
    <xf numFmtId="0" fontId="16" fillId="47" borderId="67" xfId="0" applyFont="1" applyFill="1" applyBorder="1" applyAlignment="1" applyProtection="1">
      <alignment horizontal="center" vertical="center" wrapText="1"/>
    </xf>
    <xf numFmtId="0" fontId="16" fillId="47" borderId="40" xfId="0" applyFont="1" applyFill="1" applyBorder="1" applyAlignment="1" applyProtection="1">
      <alignment horizontal="center" vertical="center" wrapText="1"/>
    </xf>
    <xf numFmtId="0" fontId="16" fillId="47" borderId="3" xfId="0" applyFont="1" applyFill="1" applyBorder="1" applyAlignment="1" applyProtection="1">
      <alignment horizontal="center" vertical="center" wrapText="1"/>
    </xf>
    <xf numFmtId="0" fontId="16" fillId="47" borderId="0" xfId="0" applyFont="1" applyFill="1" applyBorder="1" applyAlignment="1" applyProtection="1">
      <alignment horizontal="center" vertical="center" wrapText="1"/>
    </xf>
    <xf numFmtId="0" fontId="4" fillId="50" borderId="135" xfId="0" applyFont="1" applyFill="1" applyBorder="1" applyAlignment="1" applyProtection="1">
      <alignment horizontal="center" vertical="center"/>
      <protection locked="0"/>
    </xf>
    <xf numFmtId="0" fontId="4" fillId="50" borderId="136" xfId="0" applyFont="1" applyFill="1" applyBorder="1" applyAlignment="1" applyProtection="1">
      <alignment horizontal="center" vertical="center"/>
      <protection locked="0"/>
    </xf>
    <xf numFmtId="0" fontId="4" fillId="47" borderId="83" xfId="0" applyFont="1" applyFill="1" applyBorder="1" applyAlignment="1" applyProtection="1">
      <alignment horizontal="center" vertical="center"/>
      <protection hidden="1"/>
    </xf>
    <xf numFmtId="0" fontId="13" fillId="47" borderId="94" xfId="0" applyFont="1" applyFill="1" applyBorder="1" applyAlignment="1" applyProtection="1">
      <alignment horizontal="center" vertical="center"/>
      <protection hidden="1"/>
    </xf>
    <xf numFmtId="0" fontId="4" fillId="47" borderId="67" xfId="0" applyFont="1" applyFill="1" applyBorder="1" applyAlignment="1" applyProtection="1">
      <alignment horizontal="center" vertical="center"/>
      <protection hidden="1"/>
    </xf>
    <xf numFmtId="0" fontId="4" fillId="47" borderId="6" xfId="0" applyFont="1" applyFill="1" applyBorder="1" applyAlignment="1" applyProtection="1">
      <alignment horizontal="center" vertical="center"/>
      <protection hidden="1"/>
    </xf>
    <xf numFmtId="0" fontId="4" fillId="47" borderId="10" xfId="0" applyFont="1" applyFill="1" applyBorder="1" applyAlignment="1" applyProtection="1">
      <alignment horizontal="center" vertical="center"/>
      <protection hidden="1"/>
    </xf>
    <xf numFmtId="1" fontId="4" fillId="0" borderId="100" xfId="0" applyNumberFormat="1" applyFont="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1" fontId="4" fillId="0" borderId="141" xfId="0" applyNumberFormat="1" applyFont="1" applyBorder="1" applyAlignment="1" applyProtection="1">
      <alignment horizontal="center" vertical="center"/>
      <protection hidden="1"/>
    </xf>
    <xf numFmtId="1" fontId="4" fillId="0" borderId="139" xfId="0" applyNumberFormat="1"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1" fontId="8" fillId="0" borderId="7" xfId="0" applyNumberFormat="1"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28" fillId="0" borderId="0" xfId="0" applyFont="1" applyAlignment="1" applyProtection="1">
      <alignment horizontal="center" vertical="center"/>
    </xf>
    <xf numFmtId="49" fontId="4" fillId="50" borderId="73" xfId="0" applyNumberFormat="1" applyFont="1" applyFill="1" applyBorder="1" applyAlignment="1" applyProtection="1">
      <alignment horizontal="left" vertical="center"/>
      <protection locked="0"/>
    </xf>
    <xf numFmtId="49" fontId="0" fillId="50" borderId="73" xfId="0" applyNumberFormat="1" applyFill="1" applyBorder="1" applyAlignment="1" applyProtection="1">
      <alignment horizontal="left" vertical="center"/>
      <protection locked="0"/>
    </xf>
    <xf numFmtId="0" fontId="5" fillId="47" borderId="24" xfId="0" applyFont="1" applyFill="1" applyBorder="1" applyAlignment="1" applyProtection="1">
      <alignment horizontal="center" vertical="center"/>
    </xf>
    <xf numFmtId="0" fontId="5" fillId="47" borderId="9" xfId="0" applyFont="1" applyFill="1" applyBorder="1" applyAlignment="1" applyProtection="1">
      <alignment horizontal="center" vertical="center"/>
    </xf>
    <xf numFmtId="0" fontId="5" fillId="47" borderId="2" xfId="0" applyFont="1" applyFill="1" applyBorder="1" applyAlignment="1" applyProtection="1">
      <alignment horizontal="center" vertical="center"/>
    </xf>
    <xf numFmtId="0" fontId="5" fillId="47" borderId="16" xfId="0" applyFont="1" applyFill="1" applyBorder="1" applyAlignment="1" applyProtection="1">
      <alignment horizontal="center" vertical="center"/>
    </xf>
    <xf numFmtId="0" fontId="18" fillId="0" borderId="0" xfId="0" applyFont="1" applyAlignment="1" applyProtection="1">
      <alignment horizontal="center" vertical="center"/>
    </xf>
    <xf numFmtId="0" fontId="28" fillId="0" borderId="0" xfId="0" applyFont="1" applyAlignment="1" applyProtection="1">
      <alignment horizontal="center" vertical="center"/>
      <protection hidden="1"/>
    </xf>
    <xf numFmtId="49" fontId="4" fillId="50" borderId="6" xfId="0" applyNumberFormat="1" applyFont="1" applyFill="1" applyBorder="1" applyAlignment="1" applyProtection="1">
      <alignment horizontal="left" vertical="center"/>
      <protection locked="0"/>
    </xf>
    <xf numFmtId="49" fontId="0" fillId="50" borderId="6" xfId="0" applyNumberFormat="1" applyFill="1" applyBorder="1" applyAlignment="1" applyProtection="1">
      <alignment horizontal="left" vertical="center"/>
      <protection locked="0"/>
    </xf>
    <xf numFmtId="0" fontId="5" fillId="47" borderId="0" xfId="0" applyFont="1" applyFill="1" applyBorder="1" applyAlignment="1" applyProtection="1">
      <alignment horizontal="center" vertical="center"/>
    </xf>
    <xf numFmtId="0" fontId="5" fillId="47" borderId="13" xfId="0" applyFont="1" applyFill="1" applyBorder="1" applyAlignment="1" applyProtection="1">
      <alignment horizontal="center" vertical="center"/>
    </xf>
    <xf numFmtId="0" fontId="5" fillId="47" borderId="3" xfId="0" applyFont="1" applyFill="1" applyBorder="1" applyAlignment="1" applyProtection="1">
      <alignment horizontal="center" vertical="center"/>
    </xf>
    <xf numFmtId="0" fontId="67" fillId="0" borderId="0" xfId="0" applyFont="1" applyAlignment="1" applyProtection="1">
      <alignment horizontal="center" vertical="center"/>
    </xf>
    <xf numFmtId="0" fontId="73" fillId="0" borderId="24" xfId="74" applyBorder="1" applyAlignment="1">
      <alignment horizontal="left" vertical="center"/>
    </xf>
    <xf numFmtId="0" fontId="73" fillId="0" borderId="0" xfId="74" applyAlignment="1">
      <alignment horizontal="left" vertical="center"/>
    </xf>
    <xf numFmtId="0" fontId="4" fillId="0" borderId="34" xfId="0" applyFont="1" applyFill="1" applyBorder="1" applyAlignment="1" applyProtection="1">
      <alignment horizontal="center" vertical="center"/>
      <protection locked="0" hidden="1"/>
    </xf>
    <xf numFmtId="0" fontId="13" fillId="0" borderId="31" xfId="0" applyFont="1" applyFill="1" applyBorder="1" applyAlignment="1" applyProtection="1">
      <alignment horizontal="center" vertical="center"/>
      <protection locked="0" hidden="1"/>
    </xf>
    <xf numFmtId="0" fontId="13" fillId="0" borderId="44" xfId="0" applyFont="1" applyFill="1" applyBorder="1" applyAlignment="1" applyProtection="1">
      <alignment horizontal="center" vertical="center"/>
      <protection locked="0" hidden="1"/>
    </xf>
    <xf numFmtId="0" fontId="13" fillId="0" borderId="2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locked="0" hidden="1"/>
    </xf>
    <xf numFmtId="0" fontId="13" fillId="0" borderId="13" xfId="0" applyFont="1" applyFill="1" applyBorder="1" applyAlignment="1" applyProtection="1">
      <alignment horizontal="center" vertical="center"/>
      <protection locked="0" hidden="1"/>
    </xf>
    <xf numFmtId="0" fontId="13" fillId="0" borderId="72"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9"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3" fillId="0" borderId="34" xfId="0" applyFont="1" applyFill="1" applyBorder="1" applyAlignment="1" applyProtection="1">
      <alignment horizontal="center" vertical="center"/>
      <protection locked="0" hidden="1"/>
    </xf>
    <xf numFmtId="0" fontId="13" fillId="0" borderId="0" xfId="0" applyFont="1" applyFill="1" applyBorder="1" applyAlignment="1" applyProtection="1">
      <alignment horizontal="center" vertical="center"/>
      <protection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4" xfId="0" applyBorder="1" applyAlignment="1" applyProtection="1">
      <alignment horizontal="center" vertical="center"/>
      <protection locked="0" hidden="1"/>
    </xf>
    <xf numFmtId="0" fontId="5" fillId="47" borderId="4" xfId="0" applyFont="1" applyFill="1" applyBorder="1" applyAlignment="1" applyProtection="1">
      <alignment horizontal="center" vertical="center"/>
    </xf>
    <xf numFmtId="0" fontId="17" fillId="47" borderId="4" xfId="0" applyFont="1" applyFill="1" applyBorder="1" applyAlignment="1" applyProtection="1">
      <alignment horizontal="center" vertical="center" wrapText="1"/>
      <protection hidden="1"/>
    </xf>
    <xf numFmtId="0" fontId="17" fillId="47" borderId="0" xfId="0" applyFont="1" applyFill="1" applyBorder="1" applyAlignment="1" applyProtection="1">
      <alignment horizontal="center" vertical="center" wrapText="1"/>
      <protection hidden="1"/>
    </xf>
    <xf numFmtId="0" fontId="17" fillId="47" borderId="9" xfId="0" applyFont="1" applyFill="1" applyBorder="1" applyAlignment="1" applyProtection="1">
      <alignment horizontal="center" vertical="center" wrapText="1"/>
      <protection hidden="1"/>
    </xf>
    <xf numFmtId="0" fontId="17" fillId="47" borderId="17" xfId="0" applyFont="1" applyFill="1" applyBorder="1" applyAlignment="1" applyProtection="1">
      <alignment horizontal="center" vertical="center" wrapText="1"/>
      <protection hidden="1"/>
    </xf>
    <xf numFmtId="0" fontId="17" fillId="47" borderId="18" xfId="0" applyFont="1" applyFill="1" applyBorder="1" applyAlignment="1" applyProtection="1">
      <alignment horizontal="center" vertical="center" wrapText="1"/>
      <protection hidden="1"/>
    </xf>
    <xf numFmtId="0" fontId="17" fillId="47" borderId="22" xfId="0" applyFont="1" applyFill="1" applyBorder="1" applyAlignment="1" applyProtection="1">
      <alignment horizontal="center" vertical="center" wrapText="1"/>
      <protection hidden="1"/>
    </xf>
    <xf numFmtId="0" fontId="5" fillId="0" borderId="0" xfId="0" applyFont="1" applyBorder="1" applyAlignment="1" applyProtection="1">
      <alignment horizontal="center" textRotation="90"/>
      <protection locked="0" hidden="1"/>
    </xf>
    <xf numFmtId="0" fontId="13" fillId="0" borderId="0" xfId="0" applyFont="1" applyBorder="1" applyAlignment="1" applyProtection="1">
      <alignment horizontal="center" textRotation="90"/>
      <protection locked="0" hidden="1"/>
    </xf>
    <xf numFmtId="0" fontId="5" fillId="3" borderId="0" xfId="0" applyFont="1" applyFill="1" applyBorder="1" applyAlignment="1" applyProtection="1">
      <alignment horizontal="center" textRotation="90"/>
      <protection locked="0" hidden="1"/>
    </xf>
    <xf numFmtId="0" fontId="4" fillId="47" borderId="2" xfId="43" applyFont="1" applyFill="1" applyBorder="1" applyAlignment="1" applyProtection="1">
      <alignment horizontal="center" vertical="center"/>
      <protection hidden="1"/>
    </xf>
    <xf numFmtId="0" fontId="4" fillId="47" borderId="3" xfId="43" applyFont="1" applyFill="1" applyBorder="1" applyAlignment="1" applyProtection="1">
      <alignment horizontal="center" vertical="center"/>
      <protection hidden="1"/>
    </xf>
    <xf numFmtId="0" fontId="4" fillId="47" borderId="16" xfId="43" applyFont="1" applyFill="1" applyBorder="1" applyAlignment="1" applyProtection="1">
      <alignment horizontal="center" vertical="center"/>
      <protection hidden="1"/>
    </xf>
    <xf numFmtId="0" fontId="4" fillId="47" borderId="26" xfId="43" applyFont="1" applyFill="1" applyBorder="1" applyAlignment="1" applyProtection="1">
      <alignment horizontal="center" vertical="center"/>
      <protection hidden="1"/>
    </xf>
    <xf numFmtId="0" fontId="4" fillId="47" borderId="6" xfId="43" applyFont="1" applyFill="1" applyBorder="1" applyAlignment="1" applyProtection="1">
      <alignment horizontal="center" vertical="center"/>
      <protection hidden="1"/>
    </xf>
    <xf numFmtId="0" fontId="4" fillId="47" borderId="10" xfId="43" applyFont="1" applyFill="1" applyBorder="1" applyAlignment="1" applyProtection="1">
      <alignment horizontal="center" vertical="center"/>
      <protection hidden="1"/>
    </xf>
    <xf numFmtId="1" fontId="13" fillId="0" borderId="17" xfId="43" applyNumberFormat="1" applyFont="1" applyFill="1" applyBorder="1" applyAlignment="1" applyProtection="1">
      <alignment horizontal="center" vertical="center"/>
      <protection hidden="1"/>
    </xf>
    <xf numFmtId="1" fontId="13" fillId="0" borderId="18" xfId="43" applyNumberFormat="1" applyFont="1" applyFill="1" applyBorder="1" applyAlignment="1" applyProtection="1">
      <alignment horizontal="center" vertical="center"/>
      <protection hidden="1"/>
    </xf>
    <xf numFmtId="1" fontId="13" fillId="0" borderId="22" xfId="43" applyNumberFormat="1" applyFont="1" applyFill="1" applyBorder="1" applyAlignment="1" applyProtection="1">
      <alignment horizontal="center" vertical="center"/>
      <protection hidden="1"/>
    </xf>
    <xf numFmtId="0" fontId="13" fillId="0" borderId="57" xfId="43" applyFont="1" applyFill="1" applyBorder="1" applyAlignment="1" applyProtection="1">
      <alignment horizontal="center" vertical="center"/>
    </xf>
    <xf numFmtId="0" fontId="13" fillId="0" borderId="58" xfId="43" applyFont="1" applyFill="1" applyBorder="1" applyAlignment="1" applyProtection="1">
      <alignment horizontal="center" vertical="center"/>
    </xf>
    <xf numFmtId="0" fontId="13" fillId="47" borderId="6" xfId="43" applyFont="1" applyFill="1" applyBorder="1" applyAlignment="1" applyProtection="1">
      <alignment horizontal="center" vertical="center"/>
      <protection hidden="1"/>
    </xf>
    <xf numFmtId="0" fontId="13" fillId="47" borderId="10" xfId="43" applyFont="1" applyFill="1" applyBorder="1" applyAlignment="1" applyProtection="1">
      <alignment horizontal="center" vertical="center"/>
      <protection hidden="1"/>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5" fillId="50" borderId="127" xfId="0" applyFont="1" applyFill="1" applyBorder="1" applyAlignment="1" applyProtection="1">
      <alignment horizontal="center" vertical="center"/>
      <protection locked="0"/>
    </xf>
    <xf numFmtId="0" fontId="5" fillId="50" borderId="171" xfId="0" applyFont="1" applyFill="1" applyBorder="1" applyAlignment="1" applyProtection="1">
      <alignment horizontal="center" vertical="center"/>
      <protection locked="0"/>
    </xf>
    <xf numFmtId="0" fontId="5" fillId="50" borderId="157" xfId="0" applyFont="1" applyFill="1" applyBorder="1" applyAlignment="1" applyProtection="1">
      <alignment horizontal="center" vertical="center"/>
      <protection locked="0"/>
    </xf>
    <xf numFmtId="0" fontId="5" fillId="50" borderId="68" xfId="0" applyFont="1" applyFill="1" applyBorder="1" applyAlignment="1" applyProtection="1">
      <alignment horizontal="center" vertical="center"/>
      <protection locked="0"/>
    </xf>
    <xf numFmtId="0" fontId="5" fillId="50" borderId="99" xfId="0" applyFont="1" applyFill="1" applyBorder="1" applyAlignment="1" applyProtection="1">
      <alignment horizontal="center" vertical="center"/>
      <protection locked="0"/>
    </xf>
    <xf numFmtId="0" fontId="5" fillId="50" borderId="65" xfId="0" applyFont="1" applyFill="1" applyBorder="1" applyAlignment="1" applyProtection="1">
      <alignment horizontal="center" vertical="center"/>
      <protection locked="0"/>
    </xf>
    <xf numFmtId="0" fontId="5" fillId="50" borderId="17" xfId="0" applyFont="1" applyFill="1" applyBorder="1" applyAlignment="1" applyProtection="1">
      <alignment horizontal="center" vertical="center"/>
      <protection locked="0"/>
    </xf>
    <xf numFmtId="0" fontId="5" fillId="50" borderId="18" xfId="0" applyFont="1" applyFill="1" applyBorder="1" applyAlignment="1" applyProtection="1">
      <alignment horizontal="center" vertical="center"/>
      <protection locked="0"/>
    </xf>
    <xf numFmtId="0" fontId="5" fillId="50" borderId="22" xfId="0" applyFont="1" applyFill="1" applyBorder="1" applyAlignment="1" applyProtection="1">
      <alignment horizontal="center" vertical="center"/>
      <protection locked="0"/>
    </xf>
    <xf numFmtId="0" fontId="5" fillId="50" borderId="81" xfId="0" applyFont="1" applyFill="1" applyBorder="1" applyAlignment="1" applyProtection="1">
      <alignment horizontal="center" vertical="center"/>
      <protection locked="0"/>
    </xf>
    <xf numFmtId="0" fontId="13" fillId="0" borderId="84" xfId="0" applyFont="1" applyBorder="1" applyAlignment="1" applyProtection="1">
      <alignment horizontal="left" vertical="center"/>
    </xf>
    <xf numFmtId="0" fontId="13" fillId="0" borderId="37" xfId="0" applyFont="1" applyBorder="1" applyAlignment="1" applyProtection="1">
      <alignment horizontal="left" vertical="center"/>
    </xf>
    <xf numFmtId="0" fontId="13" fillId="0" borderId="72" xfId="0" applyFont="1" applyBorder="1" applyAlignment="1" applyProtection="1">
      <alignment horizontal="left" vertical="center"/>
    </xf>
    <xf numFmtId="0" fontId="13" fillId="0" borderId="73" xfId="0" applyFont="1" applyBorder="1" applyAlignment="1" applyProtection="1">
      <alignment horizontal="left" vertical="center"/>
    </xf>
    <xf numFmtId="0" fontId="13" fillId="0" borderId="7" xfId="0" applyFont="1" applyBorder="1" applyAlignment="1" applyProtection="1">
      <alignment horizontal="left" vertical="center"/>
    </xf>
    <xf numFmtId="0" fontId="5" fillId="47" borderId="83" xfId="0" applyFont="1" applyFill="1" applyBorder="1" applyAlignment="1" applyProtection="1">
      <alignment horizontal="center" vertical="center"/>
    </xf>
    <xf numFmtId="0" fontId="5" fillId="47" borderId="94" xfId="0" applyFont="1" applyFill="1" applyBorder="1" applyAlignment="1" applyProtection="1">
      <alignment horizontal="center" vertical="center"/>
    </xf>
    <xf numFmtId="0" fontId="5" fillId="50" borderId="126" xfId="0" applyFont="1" applyFill="1" applyBorder="1" applyAlignment="1" applyProtection="1">
      <alignment horizontal="center" vertical="center"/>
      <protection locked="0"/>
    </xf>
    <xf numFmtId="0" fontId="5" fillId="50" borderId="143" xfId="0" applyFont="1" applyFill="1" applyBorder="1" applyAlignment="1" applyProtection="1">
      <alignment horizontal="center" vertical="center"/>
      <protection locked="0"/>
    </xf>
    <xf numFmtId="0" fontId="13" fillId="0" borderId="58" xfId="0" applyFont="1" applyBorder="1" applyAlignment="1" applyProtection="1">
      <alignment horizontal="left" vertical="center"/>
    </xf>
    <xf numFmtId="0" fontId="5" fillId="47" borderId="21" xfId="0" applyFont="1" applyFill="1" applyBorder="1" applyAlignment="1" applyProtection="1">
      <alignment horizontal="center" vertical="center"/>
    </xf>
    <xf numFmtId="0" fontId="5" fillId="47" borderId="18" xfId="0" applyFont="1" applyFill="1" applyBorder="1" applyAlignment="1" applyProtection="1">
      <alignment horizontal="center" vertical="center"/>
    </xf>
    <xf numFmtId="0" fontId="13" fillId="0" borderId="86" xfId="0" applyFont="1" applyBorder="1" applyAlignment="1" applyProtection="1">
      <alignment horizontal="left" vertical="center"/>
    </xf>
    <xf numFmtId="0" fontId="5" fillId="50" borderId="170" xfId="0" applyFont="1" applyFill="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hidden="1"/>
    </xf>
    <xf numFmtId="1" fontId="5" fillId="0" borderId="9" xfId="0" applyNumberFormat="1" applyFont="1" applyBorder="1" applyAlignment="1" applyProtection="1">
      <alignment horizontal="center" vertical="center"/>
      <protection hidden="1"/>
    </xf>
    <xf numFmtId="0" fontId="53" fillId="46" borderId="5" xfId="0" applyFont="1" applyFill="1" applyBorder="1" applyAlignment="1" applyProtection="1">
      <alignment horizontal="center" vertical="center" wrapText="1"/>
      <protection hidden="1"/>
    </xf>
    <xf numFmtId="0" fontId="53" fillId="46" borderId="11" xfId="0" applyFont="1" applyFill="1" applyBorder="1" applyAlignment="1" applyProtection="1">
      <alignment horizontal="center" vertical="center" wrapText="1"/>
      <protection hidden="1"/>
    </xf>
    <xf numFmtId="1" fontId="5" fillId="0" borderId="187" xfId="0" applyNumberFormat="1" applyFont="1" applyBorder="1" applyAlignment="1" applyProtection="1">
      <alignment horizontal="center" vertical="center"/>
      <protection hidden="1"/>
    </xf>
    <xf numFmtId="1" fontId="5" fillId="0" borderId="192" xfId="0" applyNumberFormat="1" applyFont="1" applyBorder="1" applyAlignment="1" applyProtection="1">
      <alignment horizontal="center" vertical="center"/>
      <protection hidden="1"/>
    </xf>
    <xf numFmtId="1" fontId="5" fillId="0" borderId="165" xfId="0" applyNumberFormat="1" applyFont="1" applyBorder="1" applyAlignment="1" applyProtection="1">
      <alignment horizontal="center" vertical="center"/>
      <protection hidden="1"/>
    </xf>
    <xf numFmtId="1" fontId="5" fillId="0" borderId="219" xfId="0" applyNumberFormat="1" applyFont="1" applyBorder="1" applyAlignment="1" applyProtection="1">
      <alignment horizontal="center" vertical="center"/>
      <protection hidden="1"/>
    </xf>
    <xf numFmtId="0" fontId="16" fillId="0" borderId="58" xfId="0" applyFont="1" applyFill="1" applyBorder="1" applyAlignment="1" applyProtection="1">
      <alignment horizontal="left" vertical="center"/>
    </xf>
    <xf numFmtId="0" fontId="16" fillId="0" borderId="60" xfId="0" applyFont="1" applyFill="1" applyBorder="1" applyAlignment="1" applyProtection="1">
      <alignment horizontal="left" vertical="center"/>
    </xf>
    <xf numFmtId="1" fontId="5" fillId="0" borderId="69" xfId="0" applyNumberFormat="1" applyFont="1" applyBorder="1" applyAlignment="1" applyProtection="1">
      <alignment horizontal="center" vertical="center"/>
      <protection hidden="1"/>
    </xf>
    <xf numFmtId="1" fontId="5" fillId="0" borderId="97" xfId="0" applyNumberFormat="1" applyFont="1" applyBorder="1" applyAlignment="1" applyProtection="1">
      <alignment horizontal="center" vertical="center"/>
      <protection hidden="1"/>
    </xf>
    <xf numFmtId="0" fontId="4" fillId="47" borderId="3" xfId="0" applyFont="1" applyFill="1" applyBorder="1" applyAlignment="1">
      <alignment horizontal="center" vertical="center"/>
    </xf>
    <xf numFmtId="0" fontId="5" fillId="50" borderId="169" xfId="0" applyFont="1" applyFill="1" applyBorder="1" applyAlignment="1" applyProtection="1">
      <alignment horizontal="center" vertical="center"/>
      <protection locked="0"/>
    </xf>
    <xf numFmtId="0" fontId="5" fillId="0" borderId="91" xfId="0" applyFont="1" applyFill="1" applyBorder="1" applyAlignment="1" applyProtection="1">
      <alignment horizontal="center" vertical="center"/>
    </xf>
    <xf numFmtId="0" fontId="5" fillId="0" borderId="86" xfId="0" applyFont="1" applyFill="1" applyBorder="1" applyAlignment="1" applyProtection="1">
      <alignment horizontal="center" vertical="center"/>
    </xf>
    <xf numFmtId="1" fontId="5" fillId="0" borderId="17" xfId="0" applyNumberFormat="1" applyFont="1" applyBorder="1" applyAlignment="1" applyProtection="1">
      <alignment horizontal="center" vertical="center"/>
      <protection hidden="1"/>
    </xf>
    <xf numFmtId="1" fontId="5" fillId="0" borderId="22"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protection hidden="1"/>
    </xf>
    <xf numFmtId="1" fontId="5" fillId="0" borderId="11" xfId="0" applyNumberFormat="1" applyFont="1" applyBorder="1" applyAlignment="1" applyProtection="1">
      <alignment horizontal="center"/>
      <protection hidden="1"/>
    </xf>
    <xf numFmtId="0" fontId="7" fillId="0" borderId="0" xfId="0" applyFont="1" applyFill="1" applyBorder="1" applyAlignment="1" applyProtection="1">
      <alignment horizontal="left" vertical="center"/>
    </xf>
    <xf numFmtId="0" fontId="4" fillId="0" borderId="188" xfId="0" applyFont="1" applyBorder="1" applyAlignment="1">
      <alignment horizontal="center" vertical="center"/>
    </xf>
    <xf numFmtId="0" fontId="4" fillId="0" borderId="188" xfId="0" applyFont="1" applyBorder="1" applyAlignment="1" applyProtection="1">
      <alignment horizontal="center" vertical="center"/>
      <protection hidden="1"/>
    </xf>
    <xf numFmtId="0" fontId="0" fillId="50" borderId="203" xfId="0" applyFill="1" applyBorder="1" applyAlignment="1" applyProtection="1">
      <alignment horizontal="center" vertical="center"/>
      <protection locked="0"/>
    </xf>
    <xf numFmtId="0" fontId="0" fillId="50" borderId="98" xfId="0" applyFill="1" applyBorder="1" applyAlignment="1" applyProtection="1">
      <alignment horizontal="center" vertical="center"/>
      <protection locked="0"/>
    </xf>
    <xf numFmtId="0" fontId="0" fillId="50" borderId="119" xfId="0" applyFill="1" applyBorder="1" applyAlignment="1" applyProtection="1">
      <alignment horizontal="center" vertical="center"/>
      <protection locked="0"/>
    </xf>
    <xf numFmtId="0" fontId="4" fillId="0" borderId="200" xfId="0" applyFont="1" applyBorder="1" applyAlignment="1">
      <alignment horizontal="center" vertical="center"/>
    </xf>
    <xf numFmtId="0" fontId="4" fillId="0" borderId="55" xfId="0" applyFont="1" applyBorder="1" applyAlignment="1">
      <alignment horizontal="center" vertical="center"/>
    </xf>
    <xf numFmtId="0" fontId="4" fillId="0" borderId="201" xfId="0" applyFont="1" applyBorder="1" applyAlignment="1">
      <alignment horizontal="center" vertical="center"/>
    </xf>
    <xf numFmtId="0" fontId="0" fillId="50" borderId="202" xfId="0" applyFill="1" applyBorder="1" applyAlignment="1" applyProtection="1">
      <alignment horizontal="center" vertical="center"/>
      <protection locked="0"/>
    </xf>
    <xf numFmtId="0" fontId="0" fillId="50" borderId="136" xfId="0" applyFill="1" applyBorder="1" applyAlignment="1" applyProtection="1">
      <alignment horizontal="center" vertical="center"/>
      <protection locked="0"/>
    </xf>
    <xf numFmtId="0" fontId="0" fillId="50" borderId="180" xfId="0" applyFill="1" applyBorder="1" applyAlignment="1" applyProtection="1">
      <alignment horizontal="center" vertical="center"/>
      <protection locked="0"/>
    </xf>
    <xf numFmtId="0" fontId="0" fillId="50" borderId="212" xfId="0" applyFill="1" applyBorder="1" applyAlignment="1" applyProtection="1">
      <alignment horizontal="center" vertical="center"/>
      <protection locked="0"/>
    </xf>
    <xf numFmtId="0" fontId="0" fillId="50" borderId="96" xfId="0" applyFill="1" applyBorder="1" applyAlignment="1" applyProtection="1">
      <alignment horizontal="center" vertical="center"/>
      <protection locked="0"/>
    </xf>
    <xf numFmtId="0" fontId="0" fillId="50" borderId="211" xfId="0" applyFill="1" applyBorder="1" applyAlignment="1" applyProtection="1">
      <alignment horizontal="center" vertical="center"/>
      <protection locked="0"/>
    </xf>
    <xf numFmtId="0" fontId="0" fillId="50" borderId="207" xfId="0" applyFill="1" applyBorder="1" applyAlignment="1" applyProtection="1">
      <alignment horizontal="center" vertical="center"/>
      <protection locked="0"/>
    </xf>
    <xf numFmtId="0" fontId="0" fillId="50" borderId="115" xfId="0" applyFill="1" applyBorder="1" applyAlignment="1" applyProtection="1">
      <alignment horizontal="center" vertical="center"/>
      <protection locked="0"/>
    </xf>
    <xf numFmtId="0" fontId="0" fillId="50" borderId="206" xfId="0" applyFill="1" applyBorder="1" applyAlignment="1" applyProtection="1">
      <alignment horizontal="center" vertical="center"/>
      <protection locked="0"/>
    </xf>
    <xf numFmtId="0" fontId="17" fillId="0" borderId="0" xfId="0" applyFont="1" applyAlignment="1" applyProtection="1">
      <alignment horizontal="left" wrapText="1"/>
      <protection hidden="1"/>
    </xf>
    <xf numFmtId="0" fontId="4" fillId="0" borderId="1"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5" fillId="0" borderId="204"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6" xfId="0" applyFont="1" applyFill="1" applyBorder="1" applyAlignment="1">
      <alignment horizontal="center"/>
    </xf>
    <xf numFmtId="0" fontId="13" fillId="0" borderId="1" xfId="0" applyFont="1" applyBorder="1" applyAlignment="1">
      <alignment horizontal="center"/>
    </xf>
    <xf numFmtId="0" fontId="13" fillId="0" borderId="5" xfId="0" applyFont="1" applyBorder="1" applyAlignment="1">
      <alignment horizontal="center"/>
    </xf>
    <xf numFmtId="0" fontId="4" fillId="0" borderId="192" xfId="0" applyFont="1" applyBorder="1" applyAlignment="1" applyProtection="1">
      <alignment horizontal="center" vertical="center"/>
      <protection hidden="1"/>
    </xf>
    <xf numFmtId="0" fontId="0" fillId="50" borderId="194" xfId="0" applyFill="1" applyBorder="1" applyAlignment="1" applyProtection="1">
      <alignment horizontal="center" vertical="center"/>
      <protection locked="0"/>
    </xf>
    <xf numFmtId="0" fontId="0" fillId="50" borderId="66" xfId="0" applyFill="1" applyBorder="1" applyAlignment="1" applyProtection="1">
      <alignment horizontal="center" vertical="center"/>
      <protection locked="0"/>
    </xf>
    <xf numFmtId="0" fontId="0" fillId="50" borderId="155" xfId="0" applyFill="1" applyBorder="1" applyAlignment="1" applyProtection="1">
      <alignment horizontal="center" vertical="center"/>
      <protection locked="0"/>
    </xf>
    <xf numFmtId="0" fontId="0" fillId="50" borderId="198" xfId="0" applyFill="1" applyBorder="1" applyAlignment="1" applyProtection="1">
      <alignment horizontal="center" vertical="center"/>
      <protection locked="0"/>
    </xf>
    <xf numFmtId="0" fontId="0" fillId="50" borderId="181" xfId="0" applyFill="1" applyBorder="1" applyAlignment="1" applyProtection="1">
      <alignment horizontal="center" vertical="center"/>
      <protection locked="0"/>
    </xf>
    <xf numFmtId="0" fontId="0" fillId="50" borderId="182" xfId="0" applyFill="1" applyBorder="1" applyAlignment="1" applyProtection="1">
      <alignment horizontal="center" vertical="center"/>
      <protection locked="0"/>
    </xf>
    <xf numFmtId="0" fontId="0" fillId="50" borderId="208" xfId="0" applyFill="1" applyBorder="1" applyAlignment="1" applyProtection="1">
      <alignment horizontal="center" vertical="center"/>
      <protection locked="0"/>
    </xf>
    <xf numFmtId="0" fontId="0" fillId="50" borderId="209" xfId="0" applyFill="1" applyBorder="1" applyAlignment="1" applyProtection="1">
      <alignment horizontal="center" vertical="center"/>
      <protection locked="0"/>
    </xf>
    <xf numFmtId="0" fontId="0" fillId="50" borderId="183" xfId="0" applyFill="1" applyBorder="1" applyAlignment="1" applyProtection="1">
      <alignment horizontal="center" vertical="center"/>
      <protection locked="0"/>
    </xf>
    <xf numFmtId="0" fontId="0" fillId="50" borderId="184" xfId="0" applyFill="1" applyBorder="1" applyAlignment="1" applyProtection="1">
      <alignment horizontal="center" vertical="center"/>
      <protection locked="0"/>
    </xf>
    <xf numFmtId="0" fontId="4" fillId="0" borderId="200" xfId="0" applyFont="1" applyBorder="1" applyAlignment="1"/>
    <xf numFmtId="0" fontId="4" fillId="0" borderId="55" xfId="0" applyFont="1" applyBorder="1" applyAlignment="1"/>
    <xf numFmtId="0" fontId="4" fillId="0" borderId="201" xfId="0" applyFont="1" applyBorder="1" applyAlignment="1"/>
    <xf numFmtId="0" fontId="4" fillId="0" borderId="202" xfId="0" applyFont="1" applyFill="1" applyBorder="1" applyAlignment="1" applyProtection="1">
      <alignment horizontal="center" vertical="center"/>
    </xf>
    <xf numFmtId="0" fontId="0" fillId="0" borderId="136" xfId="0" applyFill="1" applyBorder="1" applyAlignment="1" applyProtection="1">
      <alignment horizontal="center" vertical="center"/>
    </xf>
    <xf numFmtId="0" fontId="0" fillId="0" borderId="180" xfId="0" applyFill="1" applyBorder="1" applyAlignment="1" applyProtection="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21"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 fillId="0" borderId="122" xfId="0" applyFont="1" applyBorder="1" applyAlignment="1" applyProtection="1">
      <alignment horizontal="center" vertical="center"/>
      <protection hidden="1"/>
    </xf>
    <xf numFmtId="0" fontId="0" fillId="0" borderId="122" xfId="0" applyBorder="1" applyAlignment="1" applyProtection="1">
      <alignment horizontal="center" vertical="center"/>
      <protection hidden="1"/>
    </xf>
    <xf numFmtId="0" fontId="4" fillId="0" borderId="123" xfId="0" applyFont="1" applyBorder="1" applyAlignment="1" applyProtection="1">
      <alignment horizontal="center" vertical="center"/>
      <protection hidden="1"/>
    </xf>
    <xf numFmtId="0" fontId="4" fillId="0" borderId="124" xfId="0" applyFont="1"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0" fillId="0" borderId="144" xfId="0" applyBorder="1" applyAlignment="1" applyProtection="1">
      <alignment horizontal="center" vertical="center"/>
      <protection hidden="1"/>
    </xf>
    <xf numFmtId="0" fontId="0" fillId="50" borderId="141" xfId="0" applyFill="1" applyBorder="1" applyAlignment="1" applyProtection="1">
      <alignment horizontal="center" vertical="center"/>
      <protection locked="0"/>
    </xf>
    <xf numFmtId="0" fontId="0" fillId="50" borderId="139" xfId="0" applyFill="1" applyBorder="1" applyAlignment="1" applyProtection="1">
      <alignment horizontal="center" vertical="center"/>
      <protection locked="0"/>
    </xf>
    <xf numFmtId="0" fontId="4" fillId="0" borderId="58" xfId="0" applyFont="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36" xfId="0" applyBorder="1" applyAlignment="1" applyProtection="1">
      <alignment horizontal="center"/>
      <protection hidden="1"/>
    </xf>
    <xf numFmtId="0" fontId="4" fillId="0" borderId="60"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86" xfId="0" applyBorder="1" applyAlignment="1" applyProtection="1">
      <alignment horizontal="center"/>
      <protection hidden="1"/>
    </xf>
    <xf numFmtId="0" fontId="5" fillId="0" borderId="128" xfId="0" applyFont="1" applyBorder="1" applyAlignment="1">
      <alignment horizontal="center" vertical="center"/>
    </xf>
    <xf numFmtId="0" fontId="5" fillId="0" borderId="160" xfId="0" applyFont="1" applyBorder="1" applyAlignment="1">
      <alignment horizontal="center" vertical="center"/>
    </xf>
    <xf numFmtId="0" fontId="0" fillId="50" borderId="186" xfId="0" applyFill="1" applyBorder="1" applyAlignment="1" applyProtection="1">
      <alignment horizontal="center" vertical="center"/>
      <protection locked="0"/>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59"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173"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50" borderId="172" xfId="0" applyFill="1" applyBorder="1" applyAlignment="1" applyProtection="1">
      <alignment horizontal="center" vertical="center"/>
      <protection locked="0"/>
    </xf>
    <xf numFmtId="0" fontId="0" fillId="50" borderId="147" xfId="0" applyFill="1" applyBorder="1" applyAlignment="1" applyProtection="1">
      <alignment horizontal="center" vertical="center"/>
      <protection locked="0"/>
    </xf>
    <xf numFmtId="0" fontId="0" fillId="0" borderId="172"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53" xfId="0" applyBorder="1" applyAlignment="1" applyProtection="1">
      <alignment horizontal="center" vertical="center"/>
      <protection hidden="1"/>
    </xf>
    <xf numFmtId="0" fontId="0" fillId="0" borderId="149"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50" borderId="185" xfId="0" applyFill="1" applyBorder="1" applyAlignment="1" applyProtection="1">
      <alignment horizontal="center" vertical="center"/>
      <protection locked="0"/>
    </xf>
    <xf numFmtId="0" fontId="4" fillId="0" borderId="188" xfId="0" applyFont="1" applyBorder="1" applyAlignment="1">
      <alignment horizontal="center" wrapText="1"/>
    </xf>
    <xf numFmtId="0" fontId="4" fillId="0" borderId="189" xfId="0" applyFont="1" applyBorder="1" applyAlignment="1">
      <alignment horizontal="center" wrapText="1"/>
    </xf>
    <xf numFmtId="0" fontId="4" fillId="0" borderId="4" xfId="0" applyFont="1" applyBorder="1" applyAlignment="1">
      <alignment horizontal="center" vertical="center" textRotation="90" wrapText="1"/>
    </xf>
    <xf numFmtId="0" fontId="0" fillId="0" borderId="4" xfId="0" applyBorder="1" applyAlignment="1">
      <alignment horizontal="center" vertical="center" textRotation="90" wrapText="1"/>
    </xf>
    <xf numFmtId="0" fontId="5" fillId="0" borderId="1" xfId="0" applyFont="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62" fillId="43" borderId="0" xfId="0" applyFont="1" applyFill="1" applyBorder="1" applyAlignment="1">
      <alignment horizontal="center"/>
    </xf>
    <xf numFmtId="0" fontId="62" fillId="43" borderId="24" xfId="0" applyFont="1" applyFill="1" applyBorder="1" applyAlignment="1">
      <alignment horizontal="center"/>
    </xf>
    <xf numFmtId="0" fontId="62" fillId="43" borderId="13" xfId="0" applyFont="1" applyFill="1" applyBorder="1" applyAlignment="1">
      <alignment horizontal="center"/>
    </xf>
    <xf numFmtId="0" fontId="62" fillId="43" borderId="9" xfId="0" applyFont="1" applyFill="1" applyBorder="1" applyAlignment="1">
      <alignment horizontal="center"/>
    </xf>
    <xf numFmtId="0" fontId="4" fillId="0" borderId="203" xfId="0" applyFont="1"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119" xfId="0" applyFill="1" applyBorder="1" applyAlignment="1" applyProtection="1">
      <alignment horizontal="center" vertical="center"/>
    </xf>
    <xf numFmtId="0" fontId="0" fillId="0" borderId="214" xfId="0" applyBorder="1" applyAlignment="1">
      <alignment horizontal="center"/>
    </xf>
    <xf numFmtId="0" fontId="5" fillId="0" borderId="215" xfId="0" applyFont="1" applyBorder="1" applyAlignment="1">
      <alignment horizontal="center" vertical="center"/>
    </xf>
    <xf numFmtId="0" fontId="5" fillId="0" borderId="81" xfId="0" applyFont="1" applyBorder="1" applyAlignment="1">
      <alignment horizontal="center" vertical="center"/>
    </xf>
    <xf numFmtId="0" fontId="5" fillId="0" borderId="129" xfId="0" applyFont="1" applyBorder="1" applyAlignment="1">
      <alignment horizontal="center" vertical="center"/>
    </xf>
    <xf numFmtId="0" fontId="5" fillId="0" borderId="80" xfId="0" applyFont="1" applyBorder="1" applyAlignment="1">
      <alignment horizontal="center" vertical="center"/>
    </xf>
    <xf numFmtId="0" fontId="5" fillId="0" borderId="216" xfId="0" applyFont="1" applyBorder="1" applyAlignment="1">
      <alignment horizontal="center" vertical="center"/>
    </xf>
    <xf numFmtId="0" fontId="5" fillId="0" borderId="161" xfId="0" applyFont="1" applyBorder="1" applyAlignment="1">
      <alignment horizontal="center" vertical="center"/>
    </xf>
    <xf numFmtId="0" fontId="62" fillId="43" borderId="2" xfId="0" applyFont="1" applyFill="1" applyBorder="1" applyAlignment="1">
      <alignment horizontal="center" vertical="center" wrapText="1"/>
    </xf>
    <xf numFmtId="0" fontId="62" fillId="43" borderId="3" xfId="0" applyFont="1" applyFill="1" applyBorder="1" applyAlignment="1">
      <alignment horizontal="center" vertical="center" wrapText="1"/>
    </xf>
    <xf numFmtId="0" fontId="62" fillId="43" borderId="16" xfId="0" applyFont="1" applyFill="1" applyBorder="1" applyAlignment="1">
      <alignment horizontal="center" vertical="center" wrapText="1"/>
    </xf>
    <xf numFmtId="0" fontId="62" fillId="43" borderId="4" xfId="0" applyFont="1" applyFill="1" applyBorder="1" applyAlignment="1">
      <alignment horizontal="center" vertical="center" wrapText="1"/>
    </xf>
    <xf numFmtId="0" fontId="62" fillId="43" borderId="0" xfId="0" applyFont="1" applyFill="1" applyBorder="1" applyAlignment="1">
      <alignment horizontal="center" vertical="center" wrapText="1"/>
    </xf>
    <xf numFmtId="0" fontId="62" fillId="43" borderId="9" xfId="0" applyFont="1" applyFill="1" applyBorder="1" applyAlignment="1">
      <alignment horizontal="center" vertical="center" wrapText="1"/>
    </xf>
    <xf numFmtId="0" fontId="62" fillId="43" borderId="17" xfId="0" applyFont="1" applyFill="1" applyBorder="1" applyAlignment="1">
      <alignment horizontal="center" vertical="center" wrapText="1"/>
    </xf>
    <xf numFmtId="0" fontId="62" fillId="43" borderId="18" xfId="0" applyFont="1" applyFill="1" applyBorder="1" applyAlignment="1">
      <alignment horizontal="center" vertical="center" wrapText="1"/>
    </xf>
    <xf numFmtId="0" fontId="62" fillId="43" borderId="213" xfId="0" applyFont="1" applyFill="1" applyBorder="1" applyAlignment="1">
      <alignment horizontal="center" vertical="center" wrapText="1"/>
    </xf>
    <xf numFmtId="0" fontId="62" fillId="43" borderId="22" xfId="0"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9" xfId="0" applyFont="1" applyBorder="1" applyAlignment="1">
      <alignment horizontal="center" vertical="center" wrapText="1"/>
    </xf>
    <xf numFmtId="0" fontId="5" fillId="0" borderId="217" xfId="0" applyFont="1" applyBorder="1" applyAlignment="1">
      <alignment horizontal="center" vertical="center"/>
    </xf>
    <xf numFmtId="0" fontId="5" fillId="0" borderId="179" xfId="0" applyFont="1" applyBorder="1" applyAlignment="1">
      <alignment horizontal="center" vertical="center"/>
    </xf>
    <xf numFmtId="0" fontId="5" fillId="43" borderId="3" xfId="0" applyFont="1" applyFill="1" applyBorder="1" applyAlignment="1">
      <alignment horizontal="center"/>
    </xf>
    <xf numFmtId="0" fontId="5" fillId="43" borderId="16" xfId="0" applyFont="1" applyFill="1" applyBorder="1" applyAlignment="1">
      <alignment horizontal="center"/>
    </xf>
    <xf numFmtId="167" fontId="4" fillId="0" borderId="127" xfId="0" applyNumberFormat="1" applyFont="1" applyBorder="1" applyAlignment="1">
      <alignment horizontal="center" vertical="center"/>
    </xf>
    <xf numFmtId="167" fontId="4" fillId="0" borderId="171" xfId="0" applyNumberFormat="1" applyFont="1" applyBorder="1" applyAlignment="1">
      <alignment horizontal="center" vertical="center"/>
    </xf>
    <xf numFmtId="167" fontId="4" fillId="0" borderId="69" xfId="0" applyNumberFormat="1" applyFont="1" applyBorder="1" applyAlignment="1">
      <alignment horizontal="center" vertical="center"/>
    </xf>
    <xf numFmtId="167" fontId="4" fillId="0" borderId="96" xfId="0" applyNumberFormat="1" applyFont="1" applyBorder="1" applyAlignment="1">
      <alignment horizontal="center" vertical="center"/>
    </xf>
    <xf numFmtId="167" fontId="4" fillId="0" borderId="70" xfId="0" applyNumberFormat="1" applyFont="1" applyBorder="1" applyAlignment="1">
      <alignment horizontal="center" vertical="center"/>
    </xf>
    <xf numFmtId="167" fontId="4" fillId="0" borderId="98" xfId="0" applyNumberFormat="1" applyFont="1" applyBorder="1" applyAlignment="1">
      <alignment horizontal="center" vertical="center"/>
    </xf>
    <xf numFmtId="167" fontId="4" fillId="0" borderId="228" xfId="0" applyNumberFormat="1" applyFont="1" applyBorder="1" applyAlignment="1">
      <alignment horizontal="center" vertical="center"/>
    </xf>
    <xf numFmtId="167" fontId="4" fillId="0" borderId="157" xfId="0" applyNumberFormat="1" applyFont="1" applyBorder="1" applyAlignment="1">
      <alignment horizontal="center" vertical="center"/>
    </xf>
    <xf numFmtId="167" fontId="4" fillId="0" borderId="212" xfId="0" applyNumberFormat="1" applyFont="1" applyBorder="1" applyAlignment="1">
      <alignment horizontal="center" vertical="center"/>
    </xf>
    <xf numFmtId="167" fontId="4" fillId="0" borderId="97" xfId="0" applyNumberFormat="1" applyFont="1" applyBorder="1" applyAlignment="1">
      <alignment horizontal="center" vertical="center"/>
    </xf>
    <xf numFmtId="167" fontId="4" fillId="0" borderId="203" xfId="0" applyNumberFormat="1" applyFont="1" applyBorder="1" applyAlignment="1">
      <alignment horizontal="center" vertical="center"/>
    </xf>
    <xf numFmtId="167" fontId="4" fillId="0" borderId="232" xfId="0" applyNumberFormat="1" applyFont="1" applyBorder="1" applyAlignment="1">
      <alignment horizontal="center" vertical="center"/>
    </xf>
    <xf numFmtId="0" fontId="0" fillId="0" borderId="0" xfId="0" applyAlignment="1">
      <alignment horizontal="center"/>
    </xf>
    <xf numFmtId="0" fontId="86" fillId="51" borderId="71" xfId="0" applyFont="1" applyFill="1" applyBorder="1" applyAlignment="1" applyProtection="1">
      <alignment horizontal="center"/>
      <protection hidden="1"/>
    </xf>
    <xf numFmtId="0" fontId="86" fillId="51" borderId="73" xfId="0" applyFont="1" applyFill="1" applyBorder="1" applyAlignment="1" applyProtection="1">
      <alignment horizontal="center"/>
      <protection hidden="1"/>
    </xf>
    <xf numFmtId="0" fontId="86" fillId="51" borderId="42" xfId="0" applyFont="1" applyFill="1" applyBorder="1" applyAlignment="1" applyProtection="1">
      <alignment horizontal="center"/>
      <protection hidden="1"/>
    </xf>
    <xf numFmtId="0" fontId="86" fillId="51" borderId="71" xfId="0" applyFont="1" applyFill="1" applyBorder="1" applyAlignment="1">
      <alignment horizontal="left" vertical="center"/>
    </xf>
    <xf numFmtId="0" fontId="86" fillId="51" borderId="42" xfId="0" applyFont="1" applyFill="1" applyBorder="1" applyAlignment="1">
      <alignment horizontal="left" vertical="center"/>
    </xf>
    <xf numFmtId="0" fontId="86" fillId="51" borderId="71" xfId="0" applyFont="1" applyFill="1" applyBorder="1" applyAlignment="1" applyProtection="1">
      <alignment horizontal="center" vertical="center"/>
      <protection hidden="1"/>
    </xf>
    <xf numFmtId="0" fontId="86" fillId="51" borderId="73" xfId="0" applyFont="1" applyFill="1" applyBorder="1" applyAlignment="1" applyProtection="1">
      <alignment horizontal="center" vertical="center"/>
      <protection hidden="1"/>
    </xf>
    <xf numFmtId="0" fontId="86" fillId="51" borderId="42" xfId="0" applyFont="1" applyFill="1" applyBorder="1" applyAlignment="1" applyProtection="1">
      <alignment horizontal="center" vertical="center"/>
      <protection hidden="1"/>
    </xf>
    <xf numFmtId="0" fontId="88" fillId="0" borderId="71" xfId="0" applyFont="1" applyBorder="1" applyAlignment="1">
      <alignment horizontal="center"/>
    </xf>
    <xf numFmtId="0" fontId="88" fillId="0" borderId="73" xfId="0" applyFont="1" applyBorder="1" applyAlignment="1">
      <alignment horizontal="center"/>
    </xf>
    <xf numFmtId="0" fontId="88" fillId="0" borderId="42" xfId="0" applyFont="1" applyBorder="1" applyAlignment="1">
      <alignment horizontal="center"/>
    </xf>
    <xf numFmtId="0" fontId="41" fillId="51" borderId="71" xfId="0" applyFont="1" applyFill="1" applyBorder="1" applyAlignment="1">
      <alignment horizontal="center"/>
    </xf>
    <xf numFmtId="0" fontId="41" fillId="51" borderId="42" xfId="0" applyFont="1" applyFill="1" applyBorder="1" applyAlignment="1">
      <alignment horizontal="center"/>
    </xf>
    <xf numFmtId="1" fontId="92" fillId="0" borderId="31" xfId="0" applyNumberFormat="1" applyFont="1" applyBorder="1" applyAlignment="1">
      <alignment horizontal="center" vertical="center"/>
    </xf>
    <xf numFmtId="0" fontId="92" fillId="0" borderId="31" xfId="0" applyFont="1" applyBorder="1" applyAlignment="1">
      <alignment horizontal="center"/>
    </xf>
    <xf numFmtId="0" fontId="88" fillId="54" borderId="0" xfId="0" applyFont="1" applyFill="1" applyAlignment="1">
      <alignment horizontal="center"/>
    </xf>
    <xf numFmtId="0" fontId="88" fillId="0" borderId="0" xfId="0" applyFont="1" applyAlignment="1">
      <alignment horizontal="center"/>
    </xf>
    <xf numFmtId="2" fontId="5" fillId="0" borderId="48" xfId="63" applyNumberFormat="1" applyFont="1" applyFill="1" applyBorder="1" applyAlignment="1">
      <alignment horizontal="center" vertical="center" wrapText="1"/>
    </xf>
    <xf numFmtId="2" fontId="5" fillId="0" borderId="12" xfId="63" applyNumberFormat="1" applyFont="1" applyFill="1" applyBorder="1" applyAlignment="1">
      <alignment horizontal="center" vertical="center" wrapText="1"/>
    </xf>
    <xf numFmtId="0" fontId="13" fillId="0" borderId="0" xfId="0" applyFont="1" applyFill="1" applyAlignment="1">
      <alignment horizontal="center" vertical="center"/>
    </xf>
    <xf numFmtId="0" fontId="10" fillId="0" borderId="2" xfId="63" applyFont="1" applyFill="1" applyBorder="1" applyAlignment="1">
      <alignment horizontal="center" vertical="center"/>
    </xf>
    <xf numFmtId="0" fontId="10" fillId="0" borderId="16" xfId="63" applyFont="1" applyFill="1" applyBorder="1" applyAlignment="1">
      <alignment horizontal="center" vertical="center"/>
    </xf>
    <xf numFmtId="0" fontId="10" fillId="0" borderId="4" xfId="63" applyFont="1" applyFill="1" applyBorder="1" applyAlignment="1">
      <alignment horizontal="center" vertical="center"/>
    </xf>
    <xf numFmtId="0" fontId="10" fillId="0" borderId="9" xfId="63"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10" fillId="0" borderId="3" xfId="63" applyFont="1" applyFill="1" applyBorder="1" applyAlignment="1">
      <alignment horizontal="center" vertical="center"/>
    </xf>
    <xf numFmtId="0" fontId="10" fillId="0" borderId="0" xfId="63" applyFont="1" applyFill="1" applyBorder="1" applyAlignment="1">
      <alignment horizontal="center" vertical="center"/>
    </xf>
    <xf numFmtId="0" fontId="10" fillId="0" borderId="0" xfId="63" applyFont="1" applyFill="1" applyAlignment="1">
      <alignment horizontal="center" vertical="center"/>
    </xf>
    <xf numFmtId="0" fontId="13" fillId="0" borderId="2" xfId="63" applyFill="1" applyBorder="1" applyAlignment="1">
      <alignment horizontal="center" vertical="center"/>
    </xf>
    <xf numFmtId="0" fontId="13" fillId="0" borderId="3" xfId="63" applyFill="1" applyBorder="1" applyAlignment="1">
      <alignment horizontal="center" vertical="center"/>
    </xf>
    <xf numFmtId="0" fontId="13" fillId="0" borderId="16" xfId="63" applyFill="1" applyBorder="1" applyAlignment="1">
      <alignment horizontal="center" vertical="center"/>
    </xf>
    <xf numFmtId="0" fontId="13" fillId="0" borderId="4" xfId="63" applyFill="1" applyBorder="1" applyAlignment="1">
      <alignment horizontal="center" vertical="center"/>
    </xf>
    <xf numFmtId="0" fontId="13" fillId="0" borderId="0" xfId="63" applyFill="1" applyBorder="1" applyAlignment="1">
      <alignment horizontal="center" vertical="center"/>
    </xf>
    <xf numFmtId="0" fontId="13" fillId="0" borderId="9" xfId="63" applyFill="1" applyBorder="1" applyAlignment="1">
      <alignment horizontal="center" vertical="center"/>
    </xf>
    <xf numFmtId="0" fontId="11" fillId="0" borderId="4" xfId="63" applyFont="1" applyFill="1" applyBorder="1" applyAlignment="1">
      <alignment horizontal="center" vertical="center"/>
    </xf>
    <xf numFmtId="0" fontId="11" fillId="0" borderId="0" xfId="63" applyFont="1" applyFill="1" applyBorder="1" applyAlignment="1">
      <alignment horizontal="center" vertical="center"/>
    </xf>
    <xf numFmtId="0" fontId="11" fillId="0" borderId="9" xfId="63" applyFont="1" applyFill="1" applyBorder="1" applyAlignment="1">
      <alignment horizontal="center" vertical="center"/>
    </xf>
    <xf numFmtId="0" fontId="0" fillId="0" borderId="3" xfId="0" applyFill="1" applyBorder="1" applyAlignment="1">
      <alignment horizontal="center" vertical="center"/>
    </xf>
    <xf numFmtId="0" fontId="0" fillId="0" borderId="16" xfId="0" applyFill="1" applyBorder="1" applyAlignment="1">
      <alignment horizontal="center" vertical="center"/>
    </xf>
    <xf numFmtId="0" fontId="4" fillId="0" borderId="9" xfId="0" applyFont="1" applyFill="1" applyBorder="1" applyAlignment="1">
      <alignment horizontal="center" vertical="center"/>
    </xf>
    <xf numFmtId="0" fontId="62" fillId="0" borderId="48" xfId="0" applyFont="1" applyBorder="1" applyAlignment="1">
      <alignment horizontal="center" textRotation="90"/>
    </xf>
    <xf numFmtId="0" fontId="62" fillId="0" borderId="12" xfId="0" applyFont="1" applyBorder="1" applyAlignment="1">
      <alignment horizontal="center" textRotation="90"/>
    </xf>
    <xf numFmtId="0" fontId="62" fillId="0" borderId="49" xfId="0" applyFont="1" applyBorder="1" applyAlignment="1">
      <alignment horizontal="center" textRotation="90"/>
    </xf>
    <xf numFmtId="0" fontId="62" fillId="0" borderId="4" xfId="0" applyFont="1" applyBorder="1" applyAlignment="1">
      <alignment horizontal="center"/>
    </xf>
    <xf numFmtId="0" fontId="62" fillId="0" borderId="9" xfId="0" applyFont="1" applyBorder="1" applyAlignment="1">
      <alignment horizontal="center"/>
    </xf>
    <xf numFmtId="0" fontId="61" fillId="38" borderId="44" xfId="63" applyFont="1" applyFill="1" applyBorder="1" applyAlignment="1">
      <alignment vertical="center"/>
    </xf>
    <xf numFmtId="0" fontId="57" fillId="0" borderId="40" xfId="63" applyFont="1" applyFill="1" applyBorder="1" applyAlignment="1">
      <alignment vertical="center"/>
    </xf>
    <xf numFmtId="49" fontId="61" fillId="38" borderId="43" xfId="63" applyNumberFormat="1" applyFont="1" applyFill="1" applyBorder="1" applyAlignment="1">
      <alignment horizontal="center" vertical="center"/>
    </xf>
    <xf numFmtId="49" fontId="61" fillId="38" borderId="39" xfId="63" applyNumberFormat="1" applyFont="1" applyFill="1" applyBorder="1" applyAlignment="1">
      <alignment horizontal="center" vertical="center"/>
    </xf>
    <xf numFmtId="0" fontId="61" fillId="38" borderId="44" xfId="63" applyFont="1" applyFill="1" applyBorder="1" applyAlignment="1">
      <alignment horizontal="left" vertical="center"/>
    </xf>
    <xf numFmtId="0" fontId="61" fillId="38" borderId="40" xfId="63" applyFont="1" applyFill="1" applyBorder="1" applyAlignment="1">
      <alignment horizontal="left" vertical="center"/>
    </xf>
    <xf numFmtId="49" fontId="23" fillId="39" borderId="33" xfId="63" applyNumberFormat="1" applyFont="1" applyFill="1" applyBorder="1" applyAlignment="1">
      <alignment horizontal="left" vertical="top"/>
    </xf>
    <xf numFmtId="49" fontId="23" fillId="39" borderId="8" xfId="63" applyNumberFormat="1" applyFont="1" applyFill="1" applyBorder="1" applyAlignment="1">
      <alignment horizontal="left" vertical="top"/>
    </xf>
    <xf numFmtId="49" fontId="23" fillId="39" borderId="33" xfId="63" applyNumberFormat="1" applyFont="1" applyFill="1" applyBorder="1" applyAlignment="1">
      <alignment horizontal="left" vertical="center"/>
    </xf>
    <xf numFmtId="49" fontId="23" fillId="39" borderId="28" xfId="63" applyNumberFormat="1" applyFont="1" applyFill="1" applyBorder="1" applyAlignment="1">
      <alignment horizontal="left" vertical="center"/>
    </xf>
    <xf numFmtId="49" fontId="61" fillId="38" borderId="15" xfId="63" applyNumberFormat="1" applyFont="1" applyFill="1" applyBorder="1" applyAlignment="1">
      <alignment horizontal="center" vertical="center"/>
    </xf>
    <xf numFmtId="0" fontId="57" fillId="0" borderId="39" xfId="63" applyFont="1" applyFill="1" applyBorder="1" applyAlignment="1">
      <alignment horizontal="center" vertical="center"/>
    </xf>
    <xf numFmtId="0" fontId="61" fillId="38" borderId="13" xfId="63" applyFont="1" applyFill="1" applyBorder="1" applyAlignment="1">
      <alignment vertical="center"/>
    </xf>
    <xf numFmtId="49" fontId="23" fillId="38" borderId="44" xfId="63" applyNumberFormat="1" applyFont="1" applyFill="1" applyBorder="1" applyAlignment="1">
      <alignment horizontal="left" vertical="center"/>
    </xf>
    <xf numFmtId="49" fontId="23" fillId="38" borderId="40" xfId="63" applyNumberFormat="1" applyFont="1" applyFill="1" applyBorder="1" applyAlignment="1">
      <alignment horizontal="left" vertical="center"/>
    </xf>
    <xf numFmtId="0" fontId="58" fillId="37" borderId="100" xfId="63" applyFont="1" applyFill="1" applyBorder="1" applyAlignment="1">
      <alignment horizontal="center" vertical="center"/>
    </xf>
    <xf numFmtId="0" fontId="59" fillId="0" borderId="46" xfId="63" applyFont="1" applyFill="1" applyBorder="1" applyAlignment="1">
      <alignment horizontal="center"/>
    </xf>
    <xf numFmtId="0" fontId="61" fillId="38" borderId="40" xfId="63" applyFont="1" applyFill="1" applyBorder="1" applyAlignment="1">
      <alignment vertical="center"/>
    </xf>
    <xf numFmtId="49" fontId="23" fillId="38" borderId="101" xfId="63" applyNumberFormat="1" applyFont="1" applyFill="1" applyBorder="1" applyAlignment="1">
      <alignment vertical="center"/>
    </xf>
    <xf numFmtId="0" fontId="57" fillId="0" borderId="102" xfId="63" applyFont="1" applyFill="1" applyBorder="1" applyAlignment="1">
      <alignment vertical="center"/>
    </xf>
    <xf numFmtId="0" fontId="17" fillId="0" borderId="0" xfId="76" applyFont="1" applyAlignment="1">
      <alignment horizontal="center" vertical="center" wrapText="1"/>
    </xf>
    <xf numFmtId="0" fontId="4" fillId="0" borderId="0" xfId="0" applyFont="1" applyAlignment="1">
      <alignment horizontal="left" vertical="center" wrapText="1"/>
    </xf>
    <xf numFmtId="0" fontId="4" fillId="0" borderId="34" xfId="0" applyFont="1" applyBorder="1" applyAlignment="1">
      <alignment horizontal="center"/>
    </xf>
    <xf numFmtId="0" fontId="4" fillId="0" borderId="44" xfId="0" applyFont="1" applyBorder="1" applyAlignment="1">
      <alignment horizontal="center"/>
    </xf>
    <xf numFmtId="0" fontId="4" fillId="0" borderId="6" xfId="0" applyFont="1" applyBorder="1" applyAlignment="1">
      <alignment horizontal="center"/>
    </xf>
    <xf numFmtId="0" fontId="4" fillId="0" borderId="67" xfId="0" applyFont="1" applyBorder="1" applyAlignment="1">
      <alignment horizontal="center"/>
    </xf>
    <xf numFmtId="0" fontId="4" fillId="0" borderId="40" xfId="0" applyFont="1" applyBorder="1" applyAlignment="1">
      <alignment horizontal="center"/>
    </xf>
    <xf numFmtId="0" fontId="4" fillId="50" borderId="34" xfId="0" applyFont="1" applyFill="1" applyBorder="1" applyAlignment="1" applyProtection="1">
      <alignment horizontal="left" vertical="top" wrapText="1"/>
      <protection locked="0"/>
    </xf>
    <xf numFmtId="0" fontId="4" fillId="50" borderId="31" xfId="0" applyFont="1" applyFill="1" applyBorder="1" applyAlignment="1" applyProtection="1">
      <alignment horizontal="left" vertical="top" wrapText="1"/>
      <protection locked="0"/>
    </xf>
    <xf numFmtId="0" fontId="4" fillId="50" borderId="44" xfId="0" applyFont="1" applyFill="1" applyBorder="1" applyAlignment="1" applyProtection="1">
      <alignment horizontal="left" vertical="top" wrapText="1"/>
      <protection locked="0"/>
    </xf>
    <xf numFmtId="0" fontId="4" fillId="50" borderId="24" xfId="0" applyFont="1" applyFill="1" applyBorder="1" applyAlignment="1" applyProtection="1">
      <alignment horizontal="left" vertical="top" wrapText="1"/>
      <protection locked="0"/>
    </xf>
    <xf numFmtId="0" fontId="4" fillId="50" borderId="0" xfId="0" applyFont="1" applyFill="1" applyBorder="1" applyAlignment="1" applyProtection="1">
      <alignment horizontal="left" vertical="top" wrapText="1"/>
      <protection locked="0"/>
    </xf>
    <xf numFmtId="0" fontId="4" fillId="50" borderId="13" xfId="0" applyFont="1" applyFill="1" applyBorder="1" applyAlignment="1" applyProtection="1">
      <alignment horizontal="left" vertical="top" wrapText="1"/>
      <protection locked="0"/>
    </xf>
    <xf numFmtId="0" fontId="4" fillId="50" borderId="67" xfId="0" applyFont="1" applyFill="1" applyBorder="1" applyAlignment="1" applyProtection="1">
      <alignment horizontal="left" vertical="top" wrapText="1"/>
      <protection locked="0"/>
    </xf>
    <xf numFmtId="0" fontId="4" fillId="50" borderId="6" xfId="0" applyFont="1" applyFill="1" applyBorder="1" applyAlignment="1" applyProtection="1">
      <alignment horizontal="left" vertical="top" wrapText="1"/>
      <protection locked="0"/>
    </xf>
    <xf numFmtId="0" fontId="4" fillId="50" borderId="40" xfId="0" applyFont="1" applyFill="1" applyBorder="1" applyAlignment="1" applyProtection="1">
      <alignment horizontal="left" vertical="top" wrapText="1"/>
      <protection locked="0"/>
    </xf>
    <xf numFmtId="0" fontId="4" fillId="50" borderId="71" xfId="0" applyFont="1" applyFill="1" applyBorder="1" applyAlignment="1" applyProtection="1">
      <alignment horizontal="center"/>
      <protection locked="0"/>
    </xf>
    <xf numFmtId="0" fontId="4" fillId="50" borderId="42"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0" fontId="4" fillId="0" borderId="31" xfId="0" applyFont="1" applyBorder="1" applyAlignment="1">
      <alignment horizontal="center"/>
    </xf>
    <xf numFmtId="0" fontId="28" fillId="0" borderId="0" xfId="0" applyFont="1" applyAlignment="1">
      <alignment horizontal="center" vertical="center"/>
    </xf>
    <xf numFmtId="0" fontId="97" fillId="47" borderId="34" xfId="80" applyFont="1" applyFill="1" applyBorder="1" applyAlignment="1">
      <alignment horizontal="center" wrapText="1"/>
    </xf>
    <xf numFmtId="0" fontId="97" fillId="47" borderId="67" xfId="80" applyFont="1" applyFill="1" applyBorder="1" applyAlignment="1">
      <alignment horizontal="center" wrapText="1"/>
    </xf>
    <xf numFmtId="0" fontId="97" fillId="47" borderId="28" xfId="80" applyFont="1" applyFill="1" applyBorder="1" applyAlignment="1">
      <alignment horizontal="center"/>
    </xf>
    <xf numFmtId="0" fontId="95" fillId="47" borderId="33" xfId="80" applyFont="1" applyFill="1" applyBorder="1" applyAlignment="1">
      <alignment horizontal="center"/>
    </xf>
    <xf numFmtId="0" fontId="95" fillId="47" borderId="28" xfId="80" applyFont="1" applyFill="1" applyBorder="1" applyAlignment="1">
      <alignment horizontal="center"/>
    </xf>
    <xf numFmtId="0" fontId="96" fillId="0" borderId="0" xfId="80" applyFont="1" applyAlignment="1">
      <alignment horizontal="center" wrapText="1"/>
    </xf>
    <xf numFmtId="0" fontId="97" fillId="47" borderId="33" xfId="80" applyFont="1" applyFill="1" applyBorder="1" applyAlignment="1">
      <alignment horizontal="center" wrapText="1"/>
    </xf>
    <xf numFmtId="0" fontId="97" fillId="47" borderId="28" xfId="80" applyFont="1" applyFill="1" applyBorder="1" applyAlignment="1">
      <alignment horizontal="center" wrapText="1"/>
    </xf>
    <xf numFmtId="0" fontId="95" fillId="0" borderId="0" xfId="80" applyFont="1" applyAlignment="1">
      <alignment horizontal="left" wrapText="1"/>
    </xf>
    <xf numFmtId="0" fontId="96" fillId="0" borderId="0" xfId="80" applyFont="1" applyBorder="1" applyAlignment="1">
      <alignment horizontal="center"/>
    </xf>
  </cellXfs>
  <cellStyles count="81">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75" builtinId="3"/>
    <cellStyle name="Komma 2" xfId="31" xr:uid="{00000000-0005-0000-0000-00001E000000}"/>
    <cellStyle name="Komma 3" xfId="32" xr:uid="{00000000-0005-0000-0000-00001F000000}"/>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Prozent 5" xfId="41" xr:uid="{00000000-0005-0000-0000-000028000000}"/>
    <cellStyle name="Schlecht" xfId="42" builtinId="27" customBuiltin="1"/>
    <cellStyle name="Standard" xfId="0" builtinId="0"/>
    <cellStyle name="Standard 2" xfId="43" xr:uid="{00000000-0005-0000-0000-00002B000000}"/>
    <cellStyle name="Standard 2 2" xfId="44" xr:uid="{00000000-0005-0000-0000-00002C000000}"/>
    <cellStyle name="Standard 2 3" xfId="45" xr:uid="{00000000-0005-0000-0000-00002D000000}"/>
    <cellStyle name="Standard 2 3 2" xfId="46" xr:uid="{00000000-0005-0000-0000-00002E000000}"/>
    <cellStyle name="Standard 2 3 2 2" xfId="47" xr:uid="{00000000-0005-0000-0000-00002F000000}"/>
    <cellStyle name="Standard 2 3 2 3" xfId="48" xr:uid="{00000000-0005-0000-0000-000030000000}"/>
    <cellStyle name="Standard 2 3 2 4" xfId="49" xr:uid="{00000000-0005-0000-0000-000031000000}"/>
    <cellStyle name="Standard 2 3 2 4 2" xfId="50" xr:uid="{00000000-0005-0000-0000-000032000000}"/>
    <cellStyle name="Standard 2 3 3" xfId="51" xr:uid="{00000000-0005-0000-0000-000033000000}"/>
    <cellStyle name="Standard 2 3 4" xfId="52" xr:uid="{00000000-0005-0000-0000-000034000000}"/>
    <cellStyle name="Standard 2 3 5" xfId="53" xr:uid="{00000000-0005-0000-0000-000035000000}"/>
    <cellStyle name="Standard 2 4" xfId="54" xr:uid="{00000000-0005-0000-0000-000036000000}"/>
    <cellStyle name="Standard 2 4 2" xfId="55" xr:uid="{00000000-0005-0000-0000-000037000000}"/>
    <cellStyle name="Standard 2 4 3" xfId="56" xr:uid="{00000000-0005-0000-0000-000038000000}"/>
    <cellStyle name="Standard 2 4 4" xfId="57" xr:uid="{00000000-0005-0000-0000-000039000000}"/>
    <cellStyle name="Standard 2 4 4 2" xfId="58" xr:uid="{00000000-0005-0000-0000-00003A000000}"/>
    <cellStyle name="Standard 2 5" xfId="59" xr:uid="{00000000-0005-0000-0000-00003B000000}"/>
    <cellStyle name="Standard 2 6" xfId="60" xr:uid="{00000000-0005-0000-0000-00003C000000}"/>
    <cellStyle name="Standard 2 7" xfId="61" xr:uid="{00000000-0005-0000-0000-00003D000000}"/>
    <cellStyle name="Standard 2 8" xfId="62" xr:uid="{00000000-0005-0000-0000-00003E000000}"/>
    <cellStyle name="Standard 28" xfId="79" xr:uid="{DC7E5B81-46BA-4953-98EE-F83052B363E2}"/>
    <cellStyle name="Standard 3" xfId="63" xr:uid="{00000000-0005-0000-0000-00003F000000}"/>
    <cellStyle name="Standard 3 2" xfId="64" xr:uid="{00000000-0005-0000-0000-000040000000}"/>
    <cellStyle name="Standard 3 3" xfId="78" xr:uid="{1B32EEAD-E711-4BAB-8706-614C379C25B9}"/>
    <cellStyle name="Standard 4" xfId="65" xr:uid="{00000000-0005-0000-0000-000041000000}"/>
    <cellStyle name="Standard 5" xfId="76" xr:uid="{7CBE4BA4-8EAF-41B0-B8C2-AECCD24F995E}"/>
    <cellStyle name="Standard 6" xfId="77" xr:uid="{368999BD-160B-4AE5-AC7E-AF4BB5DF65D0}"/>
    <cellStyle name="Standard 7" xfId="80" xr:uid="{0C8FE0AC-C6E1-4452-8CBD-861AF69FF8F9}"/>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9">
    <dxf>
      <font>
        <color rgb="FF9C0006"/>
      </font>
      <fill>
        <patternFill>
          <bgColor rgb="FFFFC7CE"/>
        </patternFill>
      </fill>
    </dxf>
    <dxf>
      <fill>
        <patternFill>
          <bgColor rgb="FFF8F896"/>
        </patternFill>
      </fill>
    </dxf>
    <dxf>
      <fill>
        <patternFill>
          <bgColor theme="9" tint="0.59996337778862885"/>
        </patternFill>
      </fill>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s>
  <tableStyles count="0" defaultTableStyle="TableStyleMedium9" defaultPivotStyle="PivotStyleLight16"/>
  <colors>
    <mruColors>
      <color rgb="FFF8F8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15" dropStyle="combo" dx="22" fmlaLink="$BH$24" fmlaRange="Tiere!$B$30:$B$106" noThreeD="1" sel="1" val="0"/>
</file>

<file path=xl/ctrlProps/ctrlProp2.xml><?xml version="1.0" encoding="utf-8"?>
<formControlPr xmlns="http://schemas.microsoft.com/office/spreadsheetml/2009/9/main" objectType="Drop" dropLines="15" dropStyle="combo" dx="22" fmlaLink="$BH$25" fmlaRange="Tiere!$B$30:$B$106" noThreeD="1" sel="1" val="0"/>
</file>

<file path=xl/ctrlProps/ctrlProp3.xml><?xml version="1.0" encoding="utf-8"?>
<formControlPr xmlns="http://schemas.microsoft.com/office/spreadsheetml/2009/9/main" objectType="Drop" dropLines="15" dropStyle="combo" dx="22" fmlaLink="$BH$26" fmlaRange="Tiere!$B$30:$B$106" noThreeD="1" sel="1" val="0"/>
</file>

<file path=xl/ctrlProps/ctrlProp4.xml><?xml version="1.0" encoding="utf-8"?>
<formControlPr xmlns="http://schemas.microsoft.com/office/spreadsheetml/2009/9/main" objectType="Drop" dropLines="15" dropStyle="combo" dx="22" fmlaLink="$BH$27" fmlaRange="Tiere!$B$30:$B$106" noThreeD="1" sel="1" val="0"/>
</file>

<file path=xl/ctrlProps/ctrlProp5.xml><?xml version="1.0" encoding="utf-8"?>
<formControlPr xmlns="http://schemas.microsoft.com/office/spreadsheetml/2009/9/main" objectType="Drop" dropLines="15" dropStyle="combo" dx="22" fmlaLink="$BH$28" fmlaRange="Tiere!$B$30:$B$106" noThreeD="1" sel="1" val="0"/>
</file>

<file path=xl/ctrlProps/ctrlProp6.xml><?xml version="1.0" encoding="utf-8"?>
<formControlPr xmlns="http://schemas.microsoft.com/office/spreadsheetml/2009/9/main" objectType="Drop" dropLines="15" dropStyle="combo" dx="22" fmlaLink="$BH$29" fmlaRange="Tiere!$B$30:$B$106" noThreeD="1" sel="1" val="0"/>
</file>

<file path=xl/ctrlProps/ctrlProp7.xml><?xml version="1.0" encoding="utf-8"?>
<formControlPr xmlns="http://schemas.microsoft.com/office/spreadsheetml/2009/9/main" objectType="Drop" dropLines="15" dropStyle="combo" dx="22" fmlaLink="$BH$30" fmlaRange="Tiere!$B$30:$B$106" noThreeD="1" sel="1" val="0"/>
</file>

<file path=xl/ctrlProps/ctrlProp8.xml><?xml version="1.0" encoding="utf-8"?>
<formControlPr xmlns="http://schemas.microsoft.com/office/spreadsheetml/2009/9/main" objectType="Drop" dropLines="15" dropStyle="combo" dx="22" fmlaLink="$BH$31" fmlaRange="Tiere!$B$30:$B$106" noThreeD="1" sel="1" val="0"/>
</file>

<file path=xl/ctrlProps/ctrlProp9.xml><?xml version="1.0" encoding="utf-8"?>
<formControlPr xmlns="http://schemas.microsoft.com/office/spreadsheetml/2009/9/main" objectType="Drop" dropLines="15" dropStyle="combo" dx="22" fmlaLink="$BH$32" fmlaRange="Tiere!$B$30:$B$106" noThreeD="1" sel="1" val="0"/>
</file>

<file path=xl/ctrlProps/ctrlProp10.xml><?xml version="1.0" encoding="utf-8"?>
<formControlPr xmlns="http://schemas.microsoft.com/office/spreadsheetml/2009/9/main" objectType="Drop" dropLines="15" dropStyle="combo" dx="22" fmlaLink="$BH$33" fmlaRange="Tiere!$B$30:$B$106" noThreeD="1" sel="1" val="0"/>
</file>

<file path=xl/ctrlProps/ctrlProp11.xml><?xml version="1.0" encoding="utf-8"?>
<formControlPr xmlns="http://schemas.microsoft.com/office/spreadsheetml/2009/9/main" objectType="Drop" dropLines="15" dropStyle="combo" dx="22" fmlaLink="$BH$34" fmlaRange="Tiere!$B$30:$B$106" noThreeD="1" sel="1" val="50"/>
</file>

<file path=xl/ctrlProps/ctrlProp12.xml><?xml version="1.0" encoding="utf-8"?>
<formControlPr xmlns="http://schemas.microsoft.com/office/spreadsheetml/2009/9/main" objectType="Drop" dropStyle="combo" dx="22" fmlaLink="$BI$23" fmlaRange="Stroh!$B$2:$B$4" noThreeD="1" sel="1" val="0"/>
</file>

<file path=xl/ctrlProps/ctrlProp13.xml><?xml version="1.0" encoding="utf-8"?>
<formControlPr xmlns="http://schemas.microsoft.com/office/spreadsheetml/2009/9/main" objectType="Drop" dropLines="15" dropStyle="combo" dx="22" fmlaLink="$BH$23" fmlaRange="Tiere!$B$30:$B$106" noThreeD="1" sel="1" val="0"/>
</file>

<file path=xl/ctrlProps/ctrlProp14.xml><?xml version="1.0" encoding="utf-8"?>
<formControlPr xmlns="http://schemas.microsoft.com/office/spreadsheetml/2009/9/main" objectType="Drop" dropStyle="combo" dx="22" fmlaLink="$BI$24" fmlaRange="Stroh!$B$2:$B$4" noThreeD="1" sel="1" val="0"/>
</file>

<file path=xl/ctrlProps/ctrlProp15.xml><?xml version="1.0" encoding="utf-8"?>
<formControlPr xmlns="http://schemas.microsoft.com/office/spreadsheetml/2009/9/main" objectType="Drop" dropStyle="combo" dx="22" fmlaLink="$BI$25" fmlaRange="Stroh!$B$2:$B$4" noThreeD="1" sel="1" val="0"/>
</file>

<file path=xl/ctrlProps/ctrlProp16.xml><?xml version="1.0" encoding="utf-8"?>
<formControlPr xmlns="http://schemas.microsoft.com/office/spreadsheetml/2009/9/main" objectType="Drop" dropStyle="combo" dx="22" fmlaLink="$BI$26" fmlaRange="Stroh!$B$2:$B$4" noThreeD="1" sel="1" val="0"/>
</file>

<file path=xl/ctrlProps/ctrlProp17.xml><?xml version="1.0" encoding="utf-8"?>
<formControlPr xmlns="http://schemas.microsoft.com/office/spreadsheetml/2009/9/main" objectType="Drop" dropStyle="combo" dx="22" fmlaLink="$BI$27" fmlaRange="Stroh!$B$2:$B$4" noThreeD="1" sel="1" val="0"/>
</file>

<file path=xl/ctrlProps/ctrlProp18.xml><?xml version="1.0" encoding="utf-8"?>
<formControlPr xmlns="http://schemas.microsoft.com/office/spreadsheetml/2009/9/main" objectType="Drop" dropStyle="combo" dx="22" fmlaLink="$BI$28" fmlaRange="Stroh!$B$2:$B$4" noThreeD="1" sel="1" val="0"/>
</file>

<file path=xl/ctrlProps/ctrlProp19.xml><?xml version="1.0" encoding="utf-8"?>
<formControlPr xmlns="http://schemas.microsoft.com/office/spreadsheetml/2009/9/main" objectType="Drop" dropStyle="combo" dx="22" fmlaLink="$BI$29" fmlaRange="Stroh!$B$2:$B$4" noThreeD="1" sel="1" val="0"/>
</file>

<file path=xl/ctrlProps/ctrlProp20.xml><?xml version="1.0" encoding="utf-8"?>
<formControlPr xmlns="http://schemas.microsoft.com/office/spreadsheetml/2009/9/main" objectType="Drop" dropStyle="combo" dx="22" fmlaLink="$BI$30" fmlaRange="Stroh!$B$2:$B$4" noThreeD="1" sel="1" val="0"/>
</file>

<file path=xl/ctrlProps/ctrlProp21.xml><?xml version="1.0" encoding="utf-8"?>
<formControlPr xmlns="http://schemas.microsoft.com/office/spreadsheetml/2009/9/main" objectType="Drop" dropStyle="combo" dx="22" fmlaLink="$BI$31" fmlaRange="Stroh!$B$2:$B$4" noThreeD="1" sel="1" val="0"/>
</file>

<file path=xl/ctrlProps/ctrlProp22.xml><?xml version="1.0" encoding="utf-8"?>
<formControlPr xmlns="http://schemas.microsoft.com/office/spreadsheetml/2009/9/main" objectType="Drop" dropStyle="combo" dx="22" fmlaLink="$BI$32" fmlaRange="Stroh!$B$2:$B$4" noThreeD="1" sel="1" val="0"/>
</file>

<file path=xl/ctrlProps/ctrlProp23.xml><?xml version="1.0" encoding="utf-8"?>
<formControlPr xmlns="http://schemas.microsoft.com/office/spreadsheetml/2009/9/main" objectType="Drop" dropStyle="combo" dx="22" fmlaLink="$BI$33" fmlaRange="Stroh!$B$2:$B$4" noThreeD="1" sel="1" val="0"/>
</file>

<file path=xl/ctrlProps/ctrlProp24.xml><?xml version="1.0" encoding="utf-8"?>
<formControlPr xmlns="http://schemas.microsoft.com/office/spreadsheetml/2009/9/main" objectType="Drop" dropStyle="combo" dx="22" fmlaLink="$BI$34" fmlaRange="Stroh!$B$2:$B$4" noThreeD="1" sel="1" val="0"/>
</file>

<file path=xl/ctrlProps/ctrlProp25.xml><?xml version="1.0" encoding="utf-8"?>
<formControlPr xmlns="http://schemas.microsoft.com/office/spreadsheetml/2009/9/main" objectType="Drop" dropLines="3" dropStyle="combo" dx="22" fmlaLink="$U$116" fmlaRange="$R$115:$R$117" noThreeD="1" sel="1" val="0"/>
</file>

<file path=xl/ctrlProps/ctrlProp26.xml><?xml version="1.0" encoding="utf-8"?>
<formControlPr xmlns="http://schemas.microsoft.com/office/spreadsheetml/2009/9/main" objectType="Drop" dropLines="3" dropStyle="combo" dx="22" fmlaLink="$U$117" fmlaRange="$R$115:$R$117" noThreeD="1" sel="1" val="0"/>
</file>

<file path=xl/ctrlProps/ctrlProp27.xml><?xml version="1.0" encoding="utf-8"?>
<formControlPr xmlns="http://schemas.microsoft.com/office/spreadsheetml/2009/9/main" objectType="Drop" dropLines="3" dropStyle="combo" dx="22" fmlaLink="$U$118" fmlaRange="$R$115:$R$117" noThreeD="1" sel="1" val="0"/>
</file>

<file path=xl/ctrlProps/ctrlProp28.xml><?xml version="1.0" encoding="utf-8"?>
<formControlPr xmlns="http://schemas.microsoft.com/office/spreadsheetml/2009/9/main" objectType="Drop" dropLines="3" dropStyle="combo" dx="22" fmlaLink="$U$119" fmlaRange="$R$115:$R$117" noThreeD="1" sel="1" val="0"/>
</file>

<file path=xl/ctrlProps/ctrlProp29.xml><?xml version="1.0" encoding="utf-8"?>
<formControlPr xmlns="http://schemas.microsoft.com/office/spreadsheetml/2009/9/main" objectType="Drop" dropLines="3" dropStyle="combo" dx="22" fmlaLink="$U$127" fmlaRange="$R$127:$R$129" noThreeD="1" sel="1" val="0"/>
</file>

<file path=xl/ctrlProps/ctrlProp30.xml><?xml version="1.0" encoding="utf-8"?>
<formControlPr xmlns="http://schemas.microsoft.com/office/spreadsheetml/2009/9/main" objectType="Drop" dropLines="3" dropStyle="combo" dx="22" fmlaLink="$U$128" fmlaRange="$R$127:$R$129" noThreeD="1" sel="1" val="0"/>
</file>

<file path=xl/ctrlProps/ctrlProp31.xml><?xml version="1.0" encoding="utf-8"?>
<formControlPr xmlns="http://schemas.microsoft.com/office/spreadsheetml/2009/9/main" objectType="Drop" dropLines="3" dropStyle="combo" dx="22" fmlaLink="$U$129" fmlaRange="$R$127:$R$129" noThreeD="1" sel="1" val="0"/>
</file>

<file path=xl/ctrlProps/ctrlProp32.xml><?xml version="1.0" encoding="utf-8"?>
<formControlPr xmlns="http://schemas.microsoft.com/office/spreadsheetml/2009/9/main" objectType="Drop" dropLines="3" dropStyle="combo" dx="22" fmlaLink="$U$130" fmlaRange="$R$127:$R$129" noThreeD="1" sel="1" val="0"/>
</file>

<file path=xl/ctrlProps/ctrlProp33.xml><?xml version="1.0" encoding="utf-8"?>
<formControlPr xmlns="http://schemas.microsoft.com/office/spreadsheetml/2009/9/main" objectType="Drop" dropStyle="combo" dx="22" fmlaLink="$W$12:$W$13" fmlaRange="$X$12:$X$13" noThreeD="1" sel="1" val="0"/>
</file>

<file path=xl/ctrlProps/ctrlProp34.xml><?xml version="1.0" encoding="utf-8"?>
<formControlPr xmlns="http://schemas.microsoft.com/office/spreadsheetml/2009/9/main" objectType="Drop" dropLines="20" dropStyle="combo" dx="16" fmlaLink="$L$180" fmlaRange="'org Dünger'!$B$8:$B$39" noThreeD="1" sel="1" val="0"/>
</file>

<file path=xl/ctrlProps/ctrlProp35.xml><?xml version="1.0" encoding="utf-8"?>
<formControlPr xmlns="http://schemas.microsoft.com/office/spreadsheetml/2009/9/main" objectType="Drop" dropLines="20" dropStyle="combo" dx="16" fmlaLink="$L$181" fmlaRange="'org Dünger'!$B$8:$B$39" noThreeD="1" sel="1" val="0"/>
</file>

<file path=xl/ctrlProps/ctrlProp36.xml><?xml version="1.0" encoding="utf-8"?>
<formControlPr xmlns="http://schemas.microsoft.com/office/spreadsheetml/2009/9/main" objectType="Drop" dropLines="20" dropStyle="combo" dx="16" fmlaLink="$L$182" fmlaRange="'org Dünger'!$B$8:$B$39" noThreeD="1" sel="1" val="0"/>
</file>

<file path=xl/ctrlProps/ctrlProp37.xml><?xml version="1.0" encoding="utf-8"?>
<formControlPr xmlns="http://schemas.microsoft.com/office/spreadsheetml/2009/9/main" objectType="Drop" dropLines="20" dropStyle="combo" dx="16" fmlaLink="$L$183" fmlaRange="'org Dünger'!$B$8:$B$39" noThreeD="1" sel="1" val="0"/>
</file>

<file path=xl/ctrlProps/ctrlProp38.xml><?xml version="1.0" encoding="utf-8"?>
<formControlPr xmlns="http://schemas.microsoft.com/office/spreadsheetml/2009/9/main" objectType="Drop" dropLines="20" dropStyle="combo" dx="16" fmlaLink="$L$184" fmlaRange="'org Dünger'!$B$8:$B$39" noThreeD="1" sel="1" val="0"/>
</file>

<file path=xl/ctrlProps/ctrlProp39.xml><?xml version="1.0" encoding="utf-8"?>
<formControlPr xmlns="http://schemas.microsoft.com/office/spreadsheetml/2009/9/main" objectType="Drop" dropLines="15" dropStyle="combo" dx="22" fmlaLink="$BH$35" fmlaRange="Tiere!$B$30:$B$106" noThreeD="1" sel="1" val="50"/>
</file>

<file path=xl/ctrlProps/ctrlProp40.xml><?xml version="1.0" encoding="utf-8"?>
<formControlPr xmlns="http://schemas.microsoft.com/office/spreadsheetml/2009/9/main" objectType="Drop" dropLines="15" dropStyle="combo" dx="22" fmlaLink="$BH$36" fmlaRange="Tiere!$B$30:$B$106" noThreeD="1" sel="1" val="50"/>
</file>

<file path=xl/ctrlProps/ctrlProp41.xml><?xml version="1.0" encoding="utf-8"?>
<formControlPr xmlns="http://schemas.microsoft.com/office/spreadsheetml/2009/9/main" objectType="Drop" dropLines="15" dropStyle="combo" dx="22" fmlaLink="$BH$37" fmlaRange="Tiere!$B$30:$B$106" noThreeD="1" sel="1" val="50"/>
</file>

<file path=xl/ctrlProps/ctrlProp42.xml><?xml version="1.0" encoding="utf-8"?>
<formControlPr xmlns="http://schemas.microsoft.com/office/spreadsheetml/2009/9/main" objectType="Drop" dropLines="15" dropStyle="combo" dx="22" fmlaLink="$BH$38" fmlaRange="Tiere!$B$30:$B$106" noThreeD="1" sel="1" val="50"/>
</file>

<file path=xl/ctrlProps/ctrlProp43.xml><?xml version="1.0" encoding="utf-8"?>
<formControlPr xmlns="http://schemas.microsoft.com/office/spreadsheetml/2009/9/main" objectType="Drop" dropStyle="combo" dx="22" fmlaLink="$BI$35" fmlaRange="Stroh!$B$2:$B$4" noThreeD="1" sel="1" val="0"/>
</file>

<file path=xl/ctrlProps/ctrlProp44.xml><?xml version="1.0" encoding="utf-8"?>
<formControlPr xmlns="http://schemas.microsoft.com/office/spreadsheetml/2009/9/main" objectType="Drop" dropStyle="combo" dx="22" fmlaLink="$BI$36" fmlaRange="Stroh!$B$2:$B$4" noThreeD="1" sel="1" val="0"/>
</file>

<file path=xl/ctrlProps/ctrlProp45.xml><?xml version="1.0" encoding="utf-8"?>
<formControlPr xmlns="http://schemas.microsoft.com/office/spreadsheetml/2009/9/main" objectType="Drop" dropStyle="combo" dx="22" fmlaLink="$BI$37" fmlaRange="Stroh!$B$2:$B$4" noThreeD="1" sel="1" val="0"/>
</file>

<file path=xl/ctrlProps/ctrlProp46.xml><?xml version="1.0" encoding="utf-8"?>
<formControlPr xmlns="http://schemas.microsoft.com/office/spreadsheetml/2009/9/main" objectType="Drop" dropStyle="combo" dx="22" fmlaLink="$BI$38" fmlaRange="Stroh!$B$2:$B$4" noThreeD="1" sel="1" val="0"/>
</file>

<file path=xl/ctrlProps/ctrlProp47.xml><?xml version="1.0" encoding="utf-8"?>
<formControlPr xmlns="http://schemas.microsoft.com/office/spreadsheetml/2009/9/main" objectType="Drop" dropLines="5" dropStyle="combo" dx="22" fmlaLink="'Abweichende Werte'!$U$27" fmlaRange="Tiere!$E$117:$E$121" noThreeD="1" sel="1" val="0"/>
</file>

<file path=xl/ctrlProps/ctrlProp48.xml><?xml version="1.0" encoding="utf-8"?>
<formControlPr xmlns="http://schemas.microsoft.com/office/spreadsheetml/2009/9/main" objectType="Drop" dropLines="5" dropStyle="combo" dx="22" fmlaLink="$U$28" fmlaRange="Tiere!$E$117:$E$121" noThreeD="1" sel="1" val="0"/>
</file>

<file path=xl/ctrlProps/ctrlProp49.xml><?xml version="1.0" encoding="utf-8"?>
<formControlPr xmlns="http://schemas.microsoft.com/office/spreadsheetml/2009/9/main" objectType="Drop" dropStyle="combo" dx="22" fmlaLink="'Abweichende Werte'!$U$29" fmlaRange="Tiere!$E$117:$E$121" noThreeD="1" sel="1" val="0"/>
</file>

<file path=xl/ctrlProps/ctrlProp50.xml><?xml version="1.0" encoding="utf-8"?>
<formControlPr xmlns="http://schemas.microsoft.com/office/spreadsheetml/2009/9/main" objectType="CheckBox" checked="Checked" fmlaLink="$R$27" lockText="1" noThreeD="1"/>
</file>

<file path=xl/ctrlProps/ctrlProp51.xml><?xml version="1.0" encoding="utf-8"?>
<formControlPr xmlns="http://schemas.microsoft.com/office/spreadsheetml/2009/9/main" objectType="CheckBox" checked="Checked" fmlaLink="$R$28" lockText="1" noThreeD="1"/>
</file>

<file path=xl/ctrlProps/ctrlProp52.xml><?xml version="1.0" encoding="utf-8"?>
<formControlPr xmlns="http://schemas.microsoft.com/office/spreadsheetml/2009/9/main" objectType="CheckBox" checked="Checked" fmlaLink="$R$29" lockText="1" noThreeD="1"/>
</file>

<file path=xl/ctrlProps/ctrlProp53.xml><?xml version="1.0" encoding="utf-8"?>
<formControlPr xmlns="http://schemas.microsoft.com/office/spreadsheetml/2009/9/main" objectType="CheckBox" checked="Checked" fmlaLink="$R$30" lockText="1" noThreeD="1"/>
</file>

<file path=xl/ctrlProps/ctrlProp54.xml><?xml version="1.0" encoding="utf-8"?>
<formControlPr xmlns="http://schemas.microsoft.com/office/spreadsheetml/2009/9/main" objectType="CheckBox" checked="Checked" fmlaLink="$R$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22</xdr:row>
          <xdr:rowOff>198120</xdr:rowOff>
        </xdr:from>
        <xdr:to>
          <xdr:col>3</xdr:col>
          <xdr:colOff>0</xdr:colOff>
          <xdr:row>24</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190500</xdr:rowOff>
        </xdr:from>
        <xdr:to>
          <xdr:col>3</xdr:col>
          <xdr:colOff>0</xdr:colOff>
          <xdr:row>24</xdr:row>
          <xdr:rowOff>190500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190500</xdr:rowOff>
        </xdr:from>
        <xdr:to>
          <xdr:col>3</xdr:col>
          <xdr:colOff>0</xdr:colOff>
          <xdr:row>25</xdr:row>
          <xdr:rowOff>190500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190500</xdr:rowOff>
        </xdr:from>
        <xdr:to>
          <xdr:col>3</xdr:col>
          <xdr:colOff>0</xdr:colOff>
          <xdr:row>26</xdr:row>
          <xdr:rowOff>190500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190500</xdr:rowOff>
        </xdr:from>
        <xdr:to>
          <xdr:col>3</xdr:col>
          <xdr:colOff>0</xdr:colOff>
          <xdr:row>27</xdr:row>
          <xdr:rowOff>190500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190500</xdr:rowOff>
        </xdr:from>
        <xdr:to>
          <xdr:col>3</xdr:col>
          <xdr:colOff>0</xdr:colOff>
          <xdr:row>28</xdr:row>
          <xdr:rowOff>190500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190500</xdr:rowOff>
        </xdr:from>
        <xdr:to>
          <xdr:col>3</xdr:col>
          <xdr:colOff>0</xdr:colOff>
          <xdr:row>30</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0</xdr:rowOff>
        </xdr:from>
        <xdr:to>
          <xdr:col>3</xdr:col>
          <xdr:colOff>0</xdr:colOff>
          <xdr:row>31</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198120</xdr:rowOff>
        </xdr:from>
        <xdr:to>
          <xdr:col>3</xdr:col>
          <xdr:colOff>0</xdr:colOff>
          <xdr:row>32</xdr:row>
          <xdr:rowOff>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0</xdr:rowOff>
        </xdr:from>
        <xdr:to>
          <xdr:col>3</xdr:col>
          <xdr:colOff>0</xdr:colOff>
          <xdr:row>33</xdr:row>
          <xdr:rowOff>0</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7620</xdr:rowOff>
        </xdr:from>
        <xdr:to>
          <xdr:col>3</xdr:col>
          <xdr:colOff>0</xdr:colOff>
          <xdr:row>34</xdr:row>
          <xdr:rowOff>7620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xdr:row>
          <xdr:rowOff>22860</xdr:rowOff>
        </xdr:from>
        <xdr:to>
          <xdr:col>6</xdr:col>
          <xdr:colOff>0</xdr:colOff>
          <xdr:row>22</xdr:row>
          <xdr:rowOff>190500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0</xdr:rowOff>
        </xdr:from>
        <xdr:to>
          <xdr:col>3</xdr:col>
          <xdr:colOff>0</xdr:colOff>
          <xdr:row>23</xdr:row>
          <xdr:rowOff>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23</xdr:row>
          <xdr:rowOff>7620</xdr:rowOff>
        </xdr:from>
        <xdr:to>
          <xdr:col>6</xdr:col>
          <xdr:colOff>0</xdr:colOff>
          <xdr:row>23</xdr:row>
          <xdr:rowOff>190500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24</xdr:row>
          <xdr:rowOff>7620</xdr:rowOff>
        </xdr:from>
        <xdr:to>
          <xdr:col>6</xdr:col>
          <xdr:colOff>0</xdr:colOff>
          <xdr:row>24</xdr:row>
          <xdr:rowOff>190500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7620</xdr:rowOff>
        </xdr:from>
        <xdr:to>
          <xdr:col>6</xdr:col>
          <xdr:colOff>0</xdr:colOff>
          <xdr:row>25</xdr:row>
          <xdr:rowOff>190500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26</xdr:row>
          <xdr:rowOff>7620</xdr:rowOff>
        </xdr:from>
        <xdr:to>
          <xdr:col>6</xdr:col>
          <xdr:colOff>0</xdr:colOff>
          <xdr:row>26</xdr:row>
          <xdr:rowOff>190500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7620</xdr:rowOff>
        </xdr:from>
        <xdr:to>
          <xdr:col>6</xdr:col>
          <xdr:colOff>0</xdr:colOff>
          <xdr:row>27</xdr:row>
          <xdr:rowOff>190500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28</xdr:row>
          <xdr:rowOff>7620</xdr:rowOff>
        </xdr:from>
        <xdr:to>
          <xdr:col>6</xdr:col>
          <xdr:colOff>0</xdr:colOff>
          <xdr:row>28</xdr:row>
          <xdr:rowOff>190500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22860</xdr:rowOff>
        </xdr:from>
        <xdr:to>
          <xdr:col>5</xdr:col>
          <xdr:colOff>518160</xdr:colOff>
          <xdr:row>29</xdr:row>
          <xdr:rowOff>190500</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xdr:row>
          <xdr:rowOff>22860</xdr:rowOff>
        </xdr:from>
        <xdr:to>
          <xdr:col>5</xdr:col>
          <xdr:colOff>518160</xdr:colOff>
          <xdr:row>30</xdr:row>
          <xdr:rowOff>182880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7620</xdr:rowOff>
        </xdr:from>
        <xdr:to>
          <xdr:col>6</xdr:col>
          <xdr:colOff>0</xdr:colOff>
          <xdr:row>31</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7620</xdr:rowOff>
        </xdr:from>
        <xdr:to>
          <xdr:col>6</xdr:col>
          <xdr:colOff>0</xdr:colOff>
          <xdr:row>32</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7620</xdr:rowOff>
        </xdr:from>
        <xdr:to>
          <xdr:col>6</xdr:col>
          <xdr:colOff>0</xdr:colOff>
          <xdr:row>33</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213360</xdr:rowOff>
        </xdr:from>
        <xdr:to>
          <xdr:col>4</xdr:col>
          <xdr:colOff>30480</xdr:colOff>
          <xdr:row>116</xdr:row>
          <xdr:rowOff>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228600</xdr:rowOff>
        </xdr:from>
        <xdr:to>
          <xdr:col>4</xdr:col>
          <xdr:colOff>30480</xdr:colOff>
          <xdr:row>117</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228600</xdr:rowOff>
        </xdr:from>
        <xdr:to>
          <xdr:col>4</xdr:col>
          <xdr:colOff>30480</xdr:colOff>
          <xdr:row>118</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228600</xdr:rowOff>
        </xdr:from>
        <xdr:to>
          <xdr:col>4</xdr:col>
          <xdr:colOff>30480</xdr:colOff>
          <xdr:row>119</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126</xdr:row>
          <xdr:rowOff>0</xdr:rowOff>
        </xdr:from>
        <xdr:to>
          <xdr:col>1</xdr:col>
          <xdr:colOff>0</xdr:colOff>
          <xdr:row>127</xdr:row>
          <xdr:rowOff>0</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127</xdr:row>
          <xdr:rowOff>0</xdr:rowOff>
        </xdr:from>
        <xdr:to>
          <xdr:col>1</xdr:col>
          <xdr:colOff>0</xdr:colOff>
          <xdr:row>128</xdr:row>
          <xdr:rowOff>0</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128</xdr:row>
          <xdr:rowOff>0</xdr:rowOff>
        </xdr:from>
        <xdr:to>
          <xdr:col>1</xdr:col>
          <xdr:colOff>0</xdr:colOff>
          <xdr:row>129</xdr:row>
          <xdr:rowOff>0</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129</xdr:row>
          <xdr:rowOff>0</xdr:rowOff>
        </xdr:from>
        <xdr:to>
          <xdr:col>1</xdr:col>
          <xdr:colOff>0</xdr:colOff>
          <xdr:row>130</xdr:row>
          <xdr:rowOff>0</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451484</xdr:colOff>
      <xdr:row>81</xdr:row>
      <xdr:rowOff>72390</xdr:rowOff>
    </xdr:from>
    <xdr:to>
      <xdr:col>1</xdr:col>
      <xdr:colOff>584834</xdr:colOff>
      <xdr:row>84</xdr:row>
      <xdr:rowOff>196216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451484" y="15998190"/>
          <a:ext cx="1139190" cy="71818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111125</xdr:colOff>
      <xdr:row>81</xdr:row>
      <xdr:rowOff>152399</xdr:rowOff>
    </xdr:from>
    <xdr:to>
      <xdr:col>5</xdr:col>
      <xdr:colOff>301625</xdr:colOff>
      <xdr:row>85</xdr:row>
      <xdr:rowOff>88900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955925" y="16027399"/>
          <a:ext cx="1231900" cy="723901"/>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12700</xdr:colOff>
      <xdr:row>82</xdr:row>
      <xdr:rowOff>53975</xdr:rowOff>
    </xdr:from>
    <xdr:to>
      <xdr:col>9</xdr:col>
      <xdr:colOff>412750</xdr:colOff>
      <xdr:row>85</xdr:row>
      <xdr:rowOff>44450</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257800" y="16125825"/>
          <a:ext cx="1060450" cy="58102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4</xdr:col>
      <xdr:colOff>476250</xdr:colOff>
      <xdr:row>77</xdr:row>
      <xdr:rowOff>152400</xdr:rowOff>
    </xdr:from>
    <xdr:to>
      <xdr:col>8</xdr:col>
      <xdr:colOff>304800</xdr:colOff>
      <xdr:row>80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752850" y="15354300"/>
          <a:ext cx="1657350" cy="561975"/>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1</xdr:col>
      <xdr:colOff>123825</xdr:colOff>
      <xdr:row>75</xdr:row>
      <xdr:rowOff>7620</xdr:rowOff>
    </xdr:from>
    <xdr:to>
      <xdr:col>2</xdr:col>
      <xdr:colOff>472441</xdr:colOff>
      <xdr:row>81</xdr:row>
      <xdr:rowOff>9525</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xdr:cNvCxnSpPr>
      </xdr:nvCxnSpPr>
      <xdr:spPr bwMode="auto">
        <a:xfrm flipH="1">
          <a:off x="1104900" y="14809470"/>
          <a:ext cx="1282066" cy="120205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285750</xdr:colOff>
      <xdr:row>80</xdr:row>
      <xdr:rowOff>114300</xdr:rowOff>
    </xdr:from>
    <xdr:to>
      <xdr:col>6</xdr:col>
      <xdr:colOff>295275</xdr:colOff>
      <xdr:row>81</xdr:row>
      <xdr:rowOff>180975</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xdr:cNvCxnSpPr>
      </xdr:nvCxnSpPr>
      <xdr:spPr bwMode="auto">
        <a:xfrm flipH="1">
          <a:off x="4067175" y="15916275"/>
          <a:ext cx="514350" cy="266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295275</xdr:colOff>
      <xdr:row>80</xdr:row>
      <xdr:rowOff>114300</xdr:rowOff>
    </xdr:from>
    <xdr:to>
      <xdr:col>7</xdr:col>
      <xdr:colOff>352425</xdr:colOff>
      <xdr:row>82</xdr:row>
      <xdr:rowOff>0</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xdr:cNvCxnSpPr>
      </xdr:nvCxnSpPr>
      <xdr:spPr bwMode="auto">
        <a:xfrm>
          <a:off x="4581525" y="15916275"/>
          <a:ext cx="466725" cy="285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278781</xdr:colOff>
      <xdr:row>75</xdr:row>
      <xdr:rowOff>0</xdr:rowOff>
    </xdr:from>
    <xdr:to>
      <xdr:col>5</xdr:col>
      <xdr:colOff>28575</xdr:colOff>
      <xdr:row>77</xdr:row>
      <xdr:rowOff>85725</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xdr:cNvCxnSpPr>
      </xdr:nvCxnSpPr>
      <xdr:spPr bwMode="auto">
        <a:xfrm>
          <a:off x="3050556" y="14801850"/>
          <a:ext cx="759444" cy="485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71</xdr:row>
      <xdr:rowOff>19050</xdr:rowOff>
    </xdr:from>
    <xdr:to>
      <xdr:col>2</xdr:col>
      <xdr:colOff>781050</xdr:colOff>
      <xdr:row>73</xdr:row>
      <xdr:rowOff>142875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4020800"/>
          <a:ext cx="12287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403860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179</xdr:row>
          <xdr:rowOff>0</xdr:rowOff>
        </xdr:from>
        <xdr:to>
          <xdr:col>2</xdr:col>
          <xdr:colOff>845820</xdr:colOff>
          <xdr:row>180</xdr:row>
          <xdr:rowOff>0</xdr:rowOff>
        </xdr:to>
        <xdr:sp macro="" textlink="">
          <xdr:nvSpPr>
            <xdr:cNvPr id="101805" name="Drop Down 6573" hidden="1">
              <a:extLst>
                <a:ext uri="{63B3BB69-23CF-44E3-9099-C40C66FF867C}">
                  <a14:compatExt spid="_x0000_s101805"/>
                </a:ext>
                <a:ext uri="{FF2B5EF4-FFF2-40B4-BE49-F238E27FC236}">
                  <a16:creationId xmlns:a16="http://schemas.microsoft.com/office/drawing/2014/main" id="{00000000-0008-0000-0000-0000A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0</xdr:rowOff>
        </xdr:from>
        <xdr:to>
          <xdr:col>2</xdr:col>
          <xdr:colOff>845820</xdr:colOff>
          <xdr:row>181</xdr:row>
          <xdr:rowOff>0</xdr:rowOff>
        </xdr:to>
        <xdr:sp macro="" textlink="">
          <xdr:nvSpPr>
            <xdr:cNvPr id="101806" name="Drop Down 6574" hidden="1">
              <a:extLst>
                <a:ext uri="{63B3BB69-23CF-44E3-9099-C40C66FF867C}">
                  <a14:compatExt spid="_x0000_s101806"/>
                </a:ext>
                <a:ext uri="{FF2B5EF4-FFF2-40B4-BE49-F238E27FC236}">
                  <a16:creationId xmlns:a16="http://schemas.microsoft.com/office/drawing/2014/main" id="{00000000-0008-0000-0000-0000AE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181</xdr:row>
          <xdr:rowOff>0</xdr:rowOff>
        </xdr:from>
        <xdr:to>
          <xdr:col>2</xdr:col>
          <xdr:colOff>845820</xdr:colOff>
          <xdr:row>182</xdr:row>
          <xdr:rowOff>0</xdr:rowOff>
        </xdr:to>
        <xdr:sp macro="" textlink="">
          <xdr:nvSpPr>
            <xdr:cNvPr id="101807" name="Drop Down 6575" hidden="1">
              <a:extLst>
                <a:ext uri="{63B3BB69-23CF-44E3-9099-C40C66FF867C}">
                  <a14:compatExt spid="_x0000_s101807"/>
                </a:ext>
                <a:ext uri="{FF2B5EF4-FFF2-40B4-BE49-F238E27FC236}">
                  <a16:creationId xmlns:a16="http://schemas.microsoft.com/office/drawing/2014/main" id="{00000000-0008-0000-0000-0000AF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94</xdr:row>
      <xdr:rowOff>0</xdr:rowOff>
    </xdr:from>
    <xdr:to>
      <xdr:col>2</xdr:col>
      <xdr:colOff>66675</xdr:colOff>
      <xdr:row>94</xdr:row>
      <xdr:rowOff>152400</xdr:rowOff>
    </xdr:to>
    <xdr:cxnSp macro="">
      <xdr:nvCxnSpPr>
        <xdr:cNvPr id="4" name="Gerader Verbinder 3">
          <a:extLst>
            <a:ext uri="{FF2B5EF4-FFF2-40B4-BE49-F238E27FC236}">
              <a16:creationId xmlns:a16="http://schemas.microsoft.com/office/drawing/2014/main" id="{00000000-0008-0000-0000-000004000000}"/>
            </a:ext>
          </a:extLst>
        </xdr:cNvPr>
        <xdr:cNvCxnSpPr/>
      </xdr:nvCxnSpPr>
      <xdr:spPr bwMode="auto">
        <a:xfrm>
          <a:off x="990600" y="18383250"/>
          <a:ext cx="990600" cy="152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66146</xdr:colOff>
      <xdr:row>94</xdr:row>
      <xdr:rowOff>4762</xdr:rowOff>
    </xdr:from>
    <xdr:to>
      <xdr:col>5</xdr:col>
      <xdr:colOff>9529</xdr:colOff>
      <xdr:row>94</xdr:row>
      <xdr:rowOff>150812</xdr:rowOff>
    </xdr:to>
    <xdr:cxnSp macro="">
      <xdr:nvCxnSpPr>
        <xdr:cNvPr id="6" name="Gerader Verbinder 5">
          <a:extLst>
            <a:ext uri="{FF2B5EF4-FFF2-40B4-BE49-F238E27FC236}">
              <a16:creationId xmlns:a16="http://schemas.microsoft.com/office/drawing/2014/main" id="{00000000-0008-0000-0000-000006000000}"/>
            </a:ext>
          </a:extLst>
        </xdr:cNvPr>
        <xdr:cNvCxnSpPr/>
      </xdr:nvCxnSpPr>
      <xdr:spPr bwMode="auto">
        <a:xfrm flipH="1">
          <a:off x="1981729" y="18475325"/>
          <a:ext cx="1811342" cy="1460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9526</xdr:colOff>
      <xdr:row>94</xdr:row>
      <xdr:rowOff>153997</xdr:rowOff>
    </xdr:from>
    <xdr:to>
      <xdr:col>2</xdr:col>
      <xdr:colOff>65592</xdr:colOff>
      <xdr:row>95</xdr:row>
      <xdr:rowOff>190500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bwMode="auto">
        <a:xfrm flipH="1">
          <a:off x="1923081" y="18562343"/>
          <a:ext cx="56066" cy="2361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22860</xdr:colOff>
          <xdr:row>182</xdr:row>
          <xdr:rowOff>0</xdr:rowOff>
        </xdr:from>
        <xdr:to>
          <xdr:col>2</xdr:col>
          <xdr:colOff>845820</xdr:colOff>
          <xdr:row>183</xdr:row>
          <xdr:rowOff>0</xdr:rowOff>
        </xdr:to>
        <xdr:sp macro="" textlink="">
          <xdr:nvSpPr>
            <xdr:cNvPr id="101852" name="Drop Down 6620" hidden="1">
              <a:extLst>
                <a:ext uri="{63B3BB69-23CF-44E3-9099-C40C66FF867C}">
                  <a14:compatExt spid="_x0000_s101852"/>
                </a:ext>
                <a:ext uri="{FF2B5EF4-FFF2-40B4-BE49-F238E27FC236}">
                  <a16:creationId xmlns:a16="http://schemas.microsoft.com/office/drawing/2014/main" id="{00000000-0008-0000-0000-0000DC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183</xdr:row>
          <xdr:rowOff>0</xdr:rowOff>
        </xdr:from>
        <xdr:to>
          <xdr:col>2</xdr:col>
          <xdr:colOff>845820</xdr:colOff>
          <xdr:row>184</xdr:row>
          <xdr:rowOff>0</xdr:rowOff>
        </xdr:to>
        <xdr:sp macro="" textlink="">
          <xdr:nvSpPr>
            <xdr:cNvPr id="101853" name="Drop Down 6621" hidden="1">
              <a:extLst>
                <a:ext uri="{63B3BB69-23CF-44E3-9099-C40C66FF867C}">
                  <a14:compatExt spid="_x0000_s101853"/>
                </a:ext>
                <a:ext uri="{FF2B5EF4-FFF2-40B4-BE49-F238E27FC236}">
                  <a16:creationId xmlns:a16="http://schemas.microsoft.com/office/drawing/2014/main" id="{00000000-0008-0000-0000-0000DD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133350</xdr:colOff>
      <xdr:row>0</xdr:row>
      <xdr:rowOff>76200</xdr:rowOff>
    </xdr:from>
    <xdr:to>
      <xdr:col>9</xdr:col>
      <xdr:colOff>567690</xdr:colOff>
      <xdr:row>2</xdr:row>
      <xdr:rowOff>186865</xdr:rowOff>
    </xdr:to>
    <xdr:pic>
      <xdr:nvPicPr>
        <xdr:cNvPr id="56" name="Picture 3">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38750" y="76200"/>
          <a:ext cx="1066800" cy="552625"/>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34</xdr:row>
          <xdr:rowOff>7620</xdr:rowOff>
        </xdr:from>
        <xdr:to>
          <xdr:col>3</xdr:col>
          <xdr:colOff>0</xdr:colOff>
          <xdr:row>35</xdr:row>
          <xdr:rowOff>7620</xdr:rowOff>
        </xdr:to>
        <xdr:sp macro="" textlink="">
          <xdr:nvSpPr>
            <xdr:cNvPr id="101901" name="Drop Down 6669" hidden="1">
              <a:extLst>
                <a:ext uri="{63B3BB69-23CF-44E3-9099-C40C66FF867C}">
                  <a14:compatExt spid="_x0000_s101901"/>
                </a:ext>
                <a:ext uri="{FF2B5EF4-FFF2-40B4-BE49-F238E27FC236}">
                  <a16:creationId xmlns:a16="http://schemas.microsoft.com/office/drawing/2014/main" id="{00000000-0008-0000-0000-00000D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35</xdr:row>
          <xdr:rowOff>0</xdr:rowOff>
        </xdr:from>
        <xdr:to>
          <xdr:col>3</xdr:col>
          <xdr:colOff>0</xdr:colOff>
          <xdr:row>36</xdr:row>
          <xdr:rowOff>0</xdr:rowOff>
        </xdr:to>
        <xdr:sp macro="" textlink="">
          <xdr:nvSpPr>
            <xdr:cNvPr id="101903" name="Drop Down 6671" hidden="1">
              <a:extLst>
                <a:ext uri="{63B3BB69-23CF-44E3-9099-C40C66FF867C}">
                  <a14:compatExt spid="_x0000_s101903"/>
                </a:ext>
                <a:ext uri="{FF2B5EF4-FFF2-40B4-BE49-F238E27FC236}">
                  <a16:creationId xmlns:a16="http://schemas.microsoft.com/office/drawing/2014/main" id="{00000000-0008-0000-0000-00000F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36</xdr:row>
          <xdr:rowOff>0</xdr:rowOff>
        </xdr:from>
        <xdr:to>
          <xdr:col>3</xdr:col>
          <xdr:colOff>0</xdr:colOff>
          <xdr:row>37</xdr:row>
          <xdr:rowOff>0</xdr:rowOff>
        </xdr:to>
        <xdr:sp macro="" textlink="">
          <xdr:nvSpPr>
            <xdr:cNvPr id="101904" name="Drop Down 6672" hidden="1">
              <a:extLst>
                <a:ext uri="{63B3BB69-23CF-44E3-9099-C40C66FF867C}">
                  <a14:compatExt spid="_x0000_s101904"/>
                </a:ext>
                <a:ext uri="{FF2B5EF4-FFF2-40B4-BE49-F238E27FC236}">
                  <a16:creationId xmlns:a16="http://schemas.microsoft.com/office/drawing/2014/main" id="{00000000-0008-0000-0000-000010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37</xdr:row>
          <xdr:rowOff>0</xdr:rowOff>
        </xdr:from>
        <xdr:to>
          <xdr:col>3</xdr:col>
          <xdr:colOff>0</xdr:colOff>
          <xdr:row>38</xdr:row>
          <xdr:rowOff>0</xdr:rowOff>
        </xdr:to>
        <xdr:sp macro="" textlink="">
          <xdr:nvSpPr>
            <xdr:cNvPr id="101905" name="Drop Down 6673" hidden="1">
              <a:extLst>
                <a:ext uri="{63B3BB69-23CF-44E3-9099-C40C66FF867C}">
                  <a14:compatExt spid="_x0000_s101905"/>
                </a:ext>
                <a:ext uri="{FF2B5EF4-FFF2-40B4-BE49-F238E27FC236}">
                  <a16:creationId xmlns:a16="http://schemas.microsoft.com/office/drawing/2014/main" id="{00000000-0008-0000-0000-000011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34</xdr:row>
          <xdr:rowOff>7620</xdr:rowOff>
        </xdr:from>
        <xdr:to>
          <xdr:col>6</xdr:col>
          <xdr:colOff>0</xdr:colOff>
          <xdr:row>34</xdr:row>
          <xdr:rowOff>190500</xdr:rowOff>
        </xdr:to>
        <xdr:sp macro="" textlink="">
          <xdr:nvSpPr>
            <xdr:cNvPr id="101908" name="Drop Down 6676" hidden="1">
              <a:extLst>
                <a:ext uri="{63B3BB69-23CF-44E3-9099-C40C66FF867C}">
                  <a14:compatExt spid="_x0000_s101908"/>
                </a:ext>
                <a:ext uri="{FF2B5EF4-FFF2-40B4-BE49-F238E27FC236}">
                  <a16:creationId xmlns:a16="http://schemas.microsoft.com/office/drawing/2014/main" id="{00000000-0008-0000-0000-000014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35</xdr:row>
          <xdr:rowOff>7620</xdr:rowOff>
        </xdr:from>
        <xdr:to>
          <xdr:col>6</xdr:col>
          <xdr:colOff>0</xdr:colOff>
          <xdr:row>35</xdr:row>
          <xdr:rowOff>190500</xdr:rowOff>
        </xdr:to>
        <xdr:sp macro="" textlink="">
          <xdr:nvSpPr>
            <xdr:cNvPr id="101909" name="Drop Down 6677" hidden="1">
              <a:extLst>
                <a:ext uri="{63B3BB69-23CF-44E3-9099-C40C66FF867C}">
                  <a14:compatExt spid="_x0000_s101909"/>
                </a:ext>
                <a:ext uri="{FF2B5EF4-FFF2-40B4-BE49-F238E27FC236}">
                  <a16:creationId xmlns:a16="http://schemas.microsoft.com/office/drawing/2014/main" id="{00000000-0008-0000-0000-000015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36</xdr:row>
          <xdr:rowOff>7620</xdr:rowOff>
        </xdr:from>
        <xdr:to>
          <xdr:col>6</xdr:col>
          <xdr:colOff>0</xdr:colOff>
          <xdr:row>36</xdr:row>
          <xdr:rowOff>190500</xdr:rowOff>
        </xdr:to>
        <xdr:sp macro="" textlink="">
          <xdr:nvSpPr>
            <xdr:cNvPr id="101910" name="Drop Down 6678" hidden="1">
              <a:extLst>
                <a:ext uri="{63B3BB69-23CF-44E3-9099-C40C66FF867C}">
                  <a14:compatExt spid="_x0000_s101910"/>
                </a:ext>
                <a:ext uri="{FF2B5EF4-FFF2-40B4-BE49-F238E27FC236}">
                  <a16:creationId xmlns:a16="http://schemas.microsoft.com/office/drawing/2014/main" id="{00000000-0008-0000-0000-000016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7620</xdr:rowOff>
        </xdr:from>
        <xdr:to>
          <xdr:col>6</xdr:col>
          <xdr:colOff>0</xdr:colOff>
          <xdr:row>37</xdr:row>
          <xdr:rowOff>190500</xdr:rowOff>
        </xdr:to>
        <xdr:sp macro="" textlink="">
          <xdr:nvSpPr>
            <xdr:cNvPr id="101911" name="Drop Down 6679" hidden="1">
              <a:extLst>
                <a:ext uri="{63B3BB69-23CF-44E3-9099-C40C66FF867C}">
                  <a14:compatExt spid="_x0000_s101911"/>
                </a:ext>
                <a:ext uri="{FF2B5EF4-FFF2-40B4-BE49-F238E27FC236}">
                  <a16:creationId xmlns:a16="http://schemas.microsoft.com/office/drawing/2014/main" id="{00000000-0008-0000-0000-0000178E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26</xdr:row>
          <xdr:rowOff>7620</xdr:rowOff>
        </xdr:from>
        <xdr:to>
          <xdr:col>1</xdr:col>
          <xdr:colOff>0</xdr:colOff>
          <xdr:row>27</xdr:row>
          <xdr:rowOff>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27</xdr:row>
          <xdr:rowOff>7620</xdr:rowOff>
        </xdr:from>
        <xdr:to>
          <xdr:col>1</xdr:col>
          <xdr:colOff>0</xdr:colOff>
          <xdr:row>28</xdr:row>
          <xdr:rowOff>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7620</xdr:rowOff>
        </xdr:from>
        <xdr:to>
          <xdr:col>1</xdr:col>
          <xdr:colOff>0</xdr:colOff>
          <xdr:row>28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9524</xdr:colOff>
      <xdr:row>0</xdr:row>
      <xdr:rowOff>47626</xdr:rowOff>
    </xdr:from>
    <xdr:to>
      <xdr:col>18</xdr:col>
      <xdr:colOff>400049</xdr:colOff>
      <xdr:row>1</xdr:row>
      <xdr:rowOff>536524</xdr:rowOff>
    </xdr:to>
    <xdr:pic>
      <xdr:nvPicPr>
        <xdr:cNvPr id="6" name="Picture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362949" y="47626"/>
          <a:ext cx="1320165" cy="690828"/>
        </a:xfrm>
        <a:prstGeom prst="rect">
          <a:avLst/>
        </a:prstGeom>
        <a:noFill/>
        <a:ln w="9525">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71268</xdr:colOff>
      <xdr:row>30</xdr:row>
      <xdr:rowOff>98436</xdr:rowOff>
    </xdr:from>
    <xdr:ext cx="412491" cy="765163"/>
    <xdr:sp macro="" textlink="">
      <xdr:nvSpPr>
        <xdr:cNvPr id="2" name="Textfeld 1">
          <a:extLst>
            <a:ext uri="{FF2B5EF4-FFF2-40B4-BE49-F238E27FC236}">
              <a16:creationId xmlns:a16="http://schemas.microsoft.com/office/drawing/2014/main" id="{00000000-0008-0000-0700-000002000000}"/>
            </a:ext>
          </a:extLst>
        </xdr:cNvPr>
        <xdr:cNvSpPr txBox="1">
          <a:spLocks/>
        </xdr:cNvSpPr>
      </xdr:nvSpPr>
      <xdr:spPr>
        <a:xfrm>
          <a:off x="3134508" y="4253876"/>
          <a:ext cx="412491" cy="765163"/>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32</xdr:row>
      <xdr:rowOff>85725</xdr:rowOff>
    </xdr:from>
    <xdr:to>
      <xdr:col>2</xdr:col>
      <xdr:colOff>76200</xdr:colOff>
      <xdr:row>32</xdr:row>
      <xdr:rowOff>85725</xdr:rowOff>
    </xdr:to>
    <xdr:cxnSp macro="">
      <xdr:nvCxnSpPr>
        <xdr:cNvPr id="122149" name="Gerade Verbindung mit Pfeil 200">
          <a:extLst>
            <a:ext uri="{FF2B5EF4-FFF2-40B4-BE49-F238E27FC236}">
              <a16:creationId xmlns:a16="http://schemas.microsoft.com/office/drawing/2014/main" id="{00000000-0008-0000-0700-000025DD0100}"/>
            </a:ext>
          </a:extLst>
        </xdr:cNvPr>
        <xdr:cNvCxnSpPr>
          <a:cxnSpLocks noChangeShapeType="1"/>
        </xdr:cNvCxnSpPr>
      </xdr:nvCxnSpPr>
      <xdr:spPr bwMode="auto">
        <a:xfrm flipH="1">
          <a:off x="2828925" y="4457700"/>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93345</xdr:colOff>
      <xdr:row>6</xdr:row>
      <xdr:rowOff>81915</xdr:rowOff>
    </xdr:from>
    <xdr:to>
      <xdr:col>3</xdr:col>
      <xdr:colOff>283845</xdr:colOff>
      <xdr:row>6</xdr:row>
      <xdr:rowOff>120015</xdr:rowOff>
    </xdr:to>
    <xdr:sp macro="" textlink="">
      <xdr:nvSpPr>
        <xdr:cNvPr id="122150" name="Eingekerbter Pfeil nach rechts 201">
          <a:extLst>
            <a:ext uri="{FF2B5EF4-FFF2-40B4-BE49-F238E27FC236}">
              <a16:creationId xmlns:a16="http://schemas.microsoft.com/office/drawing/2014/main" id="{00000000-0008-0000-0700-000026DD0100}"/>
            </a:ext>
          </a:extLst>
        </xdr:cNvPr>
        <xdr:cNvSpPr>
          <a:spLocks noChangeArrowheads="1"/>
        </xdr:cNvSpPr>
      </xdr:nvSpPr>
      <xdr:spPr bwMode="auto">
        <a:xfrm>
          <a:off x="3236595" y="94869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10</xdr:row>
      <xdr:rowOff>66675</xdr:rowOff>
    </xdr:from>
    <xdr:to>
      <xdr:col>3</xdr:col>
      <xdr:colOff>285750</xdr:colOff>
      <xdr:row>10</xdr:row>
      <xdr:rowOff>104775</xdr:rowOff>
    </xdr:to>
    <xdr:sp macro="" textlink="">
      <xdr:nvSpPr>
        <xdr:cNvPr id="122151" name="Eingekerbter Pfeil nach rechts 202">
          <a:extLst>
            <a:ext uri="{FF2B5EF4-FFF2-40B4-BE49-F238E27FC236}">
              <a16:creationId xmlns:a16="http://schemas.microsoft.com/office/drawing/2014/main" id="{00000000-0008-0000-0700-000027DD0100}"/>
            </a:ext>
          </a:extLst>
        </xdr:cNvPr>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17</xdr:row>
      <xdr:rowOff>95250</xdr:rowOff>
    </xdr:from>
    <xdr:to>
      <xdr:col>3</xdr:col>
      <xdr:colOff>342900</xdr:colOff>
      <xdr:row>17</xdr:row>
      <xdr:rowOff>133350</xdr:rowOff>
    </xdr:to>
    <xdr:sp macro="" textlink="">
      <xdr:nvSpPr>
        <xdr:cNvPr id="122152" name="Eingekerbter Pfeil nach rechts 203">
          <a:extLst>
            <a:ext uri="{FF2B5EF4-FFF2-40B4-BE49-F238E27FC236}">
              <a16:creationId xmlns:a16="http://schemas.microsoft.com/office/drawing/2014/main" id="{00000000-0008-0000-0700-000028DD0100}"/>
            </a:ext>
          </a:extLst>
        </xdr:cNvPr>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14</xdr:row>
      <xdr:rowOff>66675</xdr:rowOff>
    </xdr:from>
    <xdr:to>
      <xdr:col>3</xdr:col>
      <xdr:colOff>285750</xdr:colOff>
      <xdr:row>14</xdr:row>
      <xdr:rowOff>104775</xdr:rowOff>
    </xdr:to>
    <xdr:sp macro="" textlink="">
      <xdr:nvSpPr>
        <xdr:cNvPr id="122153" name="Eingekerbter Pfeil nach rechts 204">
          <a:extLst>
            <a:ext uri="{FF2B5EF4-FFF2-40B4-BE49-F238E27FC236}">
              <a16:creationId xmlns:a16="http://schemas.microsoft.com/office/drawing/2014/main" id="{00000000-0008-0000-0700-000029DD0100}"/>
            </a:ext>
          </a:extLst>
        </xdr:cNvPr>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91440</xdr:colOff>
      <xdr:row>95</xdr:row>
      <xdr:rowOff>36195</xdr:rowOff>
    </xdr:from>
    <xdr:to>
      <xdr:col>3</xdr:col>
      <xdr:colOff>287655</xdr:colOff>
      <xdr:row>95</xdr:row>
      <xdr:rowOff>66675</xdr:rowOff>
    </xdr:to>
    <xdr:sp macro="" textlink="">
      <xdr:nvSpPr>
        <xdr:cNvPr id="122154" name="Eingekerbter Pfeil nach rechts 205">
          <a:extLst>
            <a:ext uri="{FF2B5EF4-FFF2-40B4-BE49-F238E27FC236}">
              <a16:creationId xmlns:a16="http://schemas.microsoft.com/office/drawing/2014/main" id="{00000000-0008-0000-0700-00002ADD0100}"/>
            </a:ext>
          </a:extLst>
        </xdr:cNvPr>
        <xdr:cNvSpPr>
          <a:spLocks noChangeArrowheads="1"/>
        </xdr:cNvSpPr>
      </xdr:nvSpPr>
      <xdr:spPr bwMode="auto">
        <a:xfrm rot="628996">
          <a:off x="3234690" y="10542270"/>
          <a:ext cx="358140" cy="30480"/>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25</xdr:row>
      <xdr:rowOff>152400</xdr:rowOff>
    </xdr:from>
    <xdr:to>
      <xdr:col>3</xdr:col>
      <xdr:colOff>295275</xdr:colOff>
      <xdr:row>26</xdr:row>
      <xdr:rowOff>28575</xdr:rowOff>
    </xdr:to>
    <xdr:sp macro="" textlink="">
      <xdr:nvSpPr>
        <xdr:cNvPr id="122155" name="Eingekerbter Pfeil nach rechts 206">
          <a:extLst>
            <a:ext uri="{FF2B5EF4-FFF2-40B4-BE49-F238E27FC236}">
              <a16:creationId xmlns:a16="http://schemas.microsoft.com/office/drawing/2014/main" id="{00000000-0008-0000-0700-00002BDD0100}"/>
            </a:ext>
          </a:extLst>
        </xdr:cNvPr>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22</xdr:row>
      <xdr:rowOff>57150</xdr:rowOff>
    </xdr:from>
    <xdr:to>
      <xdr:col>3</xdr:col>
      <xdr:colOff>285750</xdr:colOff>
      <xdr:row>22</xdr:row>
      <xdr:rowOff>95250</xdr:rowOff>
    </xdr:to>
    <xdr:sp macro="" textlink="">
      <xdr:nvSpPr>
        <xdr:cNvPr id="122156" name="Eingekerbter Pfeil nach rechts 207">
          <a:extLst>
            <a:ext uri="{FF2B5EF4-FFF2-40B4-BE49-F238E27FC236}">
              <a16:creationId xmlns:a16="http://schemas.microsoft.com/office/drawing/2014/main" id="{00000000-0008-0000-0700-00002CDD0100}"/>
            </a:ext>
          </a:extLst>
        </xdr:cNvPr>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28576</xdr:colOff>
      <xdr:row>39</xdr:row>
      <xdr:rowOff>57150</xdr:rowOff>
    </xdr:from>
    <xdr:to>
      <xdr:col>3</xdr:col>
      <xdr:colOff>381001</xdr:colOff>
      <xdr:row>39</xdr:row>
      <xdr:rowOff>95250</xdr:rowOff>
    </xdr:to>
    <xdr:sp macro="" textlink="">
      <xdr:nvSpPr>
        <xdr:cNvPr id="122157" name="Eingekerbter Pfeil nach rechts 208">
          <a:extLst>
            <a:ext uri="{FF2B5EF4-FFF2-40B4-BE49-F238E27FC236}">
              <a16:creationId xmlns:a16="http://schemas.microsoft.com/office/drawing/2014/main" id="{00000000-0008-0000-0700-00002DDD0100}"/>
            </a:ext>
          </a:extLst>
        </xdr:cNvPr>
        <xdr:cNvSpPr>
          <a:spLocks noChangeArrowheads="1"/>
        </xdr:cNvSpPr>
      </xdr:nvSpPr>
      <xdr:spPr bwMode="auto">
        <a:xfrm rot="-1560000">
          <a:off x="3086101" y="5362575"/>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28</xdr:row>
      <xdr:rowOff>66675</xdr:rowOff>
    </xdr:from>
    <xdr:to>
      <xdr:col>3</xdr:col>
      <xdr:colOff>285750</xdr:colOff>
      <xdr:row>28</xdr:row>
      <xdr:rowOff>104775</xdr:rowOff>
    </xdr:to>
    <xdr:sp macro="" textlink="">
      <xdr:nvSpPr>
        <xdr:cNvPr id="122158" name="Eingekerbter Pfeil nach rechts 209">
          <a:extLst>
            <a:ext uri="{FF2B5EF4-FFF2-40B4-BE49-F238E27FC236}">
              <a16:creationId xmlns:a16="http://schemas.microsoft.com/office/drawing/2014/main" id="{00000000-0008-0000-0700-00002EDD0100}"/>
            </a:ext>
          </a:extLst>
        </xdr:cNvPr>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25</xdr:row>
      <xdr:rowOff>9525</xdr:rowOff>
    </xdr:from>
    <xdr:to>
      <xdr:col>2</xdr:col>
      <xdr:colOff>85725</xdr:colOff>
      <xdr:row>26</xdr:row>
      <xdr:rowOff>161925</xdr:rowOff>
    </xdr:to>
    <xdr:sp macro="" textlink="">
      <xdr:nvSpPr>
        <xdr:cNvPr id="122159" name="Geschweifte Klammer rechts 210">
          <a:extLst>
            <a:ext uri="{FF2B5EF4-FFF2-40B4-BE49-F238E27FC236}">
              <a16:creationId xmlns:a16="http://schemas.microsoft.com/office/drawing/2014/main" id="{00000000-0008-0000-0700-00002FDD0100}"/>
            </a:ext>
          </a:extLst>
        </xdr:cNvPr>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77</xdr:row>
      <xdr:rowOff>28575</xdr:rowOff>
    </xdr:from>
    <xdr:to>
      <xdr:col>3</xdr:col>
      <xdr:colOff>352425</xdr:colOff>
      <xdr:row>77</xdr:row>
      <xdr:rowOff>66675</xdr:rowOff>
    </xdr:to>
    <xdr:sp macro="" textlink="">
      <xdr:nvSpPr>
        <xdr:cNvPr id="122160" name="Eingekerbter Pfeil nach rechts 211">
          <a:extLst>
            <a:ext uri="{FF2B5EF4-FFF2-40B4-BE49-F238E27FC236}">
              <a16:creationId xmlns:a16="http://schemas.microsoft.com/office/drawing/2014/main" id="{00000000-0008-0000-0700-000030DD0100}"/>
            </a:ext>
          </a:extLst>
        </xdr:cNvPr>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79</xdr:row>
      <xdr:rowOff>66675</xdr:rowOff>
    </xdr:from>
    <xdr:to>
      <xdr:col>3</xdr:col>
      <xdr:colOff>295275</xdr:colOff>
      <xdr:row>79</xdr:row>
      <xdr:rowOff>104775</xdr:rowOff>
    </xdr:to>
    <xdr:sp macro="" textlink="">
      <xdr:nvSpPr>
        <xdr:cNvPr id="122161" name="Eingekerbter Pfeil nach rechts 212">
          <a:extLst>
            <a:ext uri="{FF2B5EF4-FFF2-40B4-BE49-F238E27FC236}">
              <a16:creationId xmlns:a16="http://schemas.microsoft.com/office/drawing/2014/main" id="{00000000-0008-0000-0700-000031DD0100}"/>
            </a:ext>
          </a:extLst>
        </xdr:cNvPr>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86</xdr:row>
      <xdr:rowOff>66675</xdr:rowOff>
    </xdr:from>
    <xdr:to>
      <xdr:col>3</xdr:col>
      <xdr:colOff>285750</xdr:colOff>
      <xdr:row>86</xdr:row>
      <xdr:rowOff>95250</xdr:rowOff>
    </xdr:to>
    <xdr:sp macro="" textlink="">
      <xdr:nvSpPr>
        <xdr:cNvPr id="122162" name="Eingekerbter Pfeil nach rechts 213">
          <a:extLst>
            <a:ext uri="{FF2B5EF4-FFF2-40B4-BE49-F238E27FC236}">
              <a16:creationId xmlns:a16="http://schemas.microsoft.com/office/drawing/2014/main" id="{00000000-0008-0000-0700-000032DD0100}"/>
            </a:ext>
          </a:extLst>
        </xdr:cNvPr>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88</xdr:row>
      <xdr:rowOff>95250</xdr:rowOff>
    </xdr:from>
    <xdr:to>
      <xdr:col>3</xdr:col>
      <xdr:colOff>352425</xdr:colOff>
      <xdr:row>88</xdr:row>
      <xdr:rowOff>133350</xdr:rowOff>
    </xdr:to>
    <xdr:sp macro="" textlink="">
      <xdr:nvSpPr>
        <xdr:cNvPr id="122163" name="Eingekerbter Pfeil nach rechts 214">
          <a:extLst>
            <a:ext uri="{FF2B5EF4-FFF2-40B4-BE49-F238E27FC236}">
              <a16:creationId xmlns:a16="http://schemas.microsoft.com/office/drawing/2014/main" id="{00000000-0008-0000-0700-000033DD0100}"/>
            </a:ext>
          </a:extLst>
        </xdr:cNvPr>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92</xdr:row>
      <xdr:rowOff>28575</xdr:rowOff>
    </xdr:from>
    <xdr:to>
      <xdr:col>3</xdr:col>
      <xdr:colOff>352425</xdr:colOff>
      <xdr:row>92</xdr:row>
      <xdr:rowOff>66675</xdr:rowOff>
    </xdr:to>
    <xdr:sp macro="" textlink="">
      <xdr:nvSpPr>
        <xdr:cNvPr id="122164" name="Eingekerbter Pfeil nach rechts 215">
          <a:extLst>
            <a:ext uri="{FF2B5EF4-FFF2-40B4-BE49-F238E27FC236}">
              <a16:creationId xmlns:a16="http://schemas.microsoft.com/office/drawing/2014/main" id="{00000000-0008-0000-0700-000034DD0100}"/>
            </a:ext>
          </a:extLst>
        </xdr:cNvPr>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122165" name="Eingekerbter Pfeil nach rechts 216">
          <a:extLst>
            <a:ext uri="{FF2B5EF4-FFF2-40B4-BE49-F238E27FC236}">
              <a16:creationId xmlns:a16="http://schemas.microsoft.com/office/drawing/2014/main" id="{00000000-0008-0000-0700-000035DD0100}"/>
            </a:ext>
          </a:extLst>
        </xdr:cNvPr>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66675</xdr:rowOff>
    </xdr:from>
    <xdr:to>
      <xdr:col>3</xdr:col>
      <xdr:colOff>285750</xdr:colOff>
      <xdr:row>11</xdr:row>
      <xdr:rowOff>104775</xdr:rowOff>
    </xdr:to>
    <xdr:sp macro="" textlink="">
      <xdr:nvSpPr>
        <xdr:cNvPr id="122166" name="Eingekerbter Pfeil nach rechts 217">
          <a:extLst>
            <a:ext uri="{FF2B5EF4-FFF2-40B4-BE49-F238E27FC236}">
              <a16:creationId xmlns:a16="http://schemas.microsoft.com/office/drawing/2014/main" id="{00000000-0008-0000-0700-000036DD0100}"/>
            </a:ext>
          </a:extLst>
        </xdr:cNvPr>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76200</xdr:rowOff>
    </xdr:from>
    <xdr:to>
      <xdr:col>3</xdr:col>
      <xdr:colOff>285750</xdr:colOff>
      <xdr:row>13</xdr:row>
      <xdr:rowOff>104775</xdr:rowOff>
    </xdr:to>
    <xdr:sp macro="" textlink="">
      <xdr:nvSpPr>
        <xdr:cNvPr id="122167" name="Eingekerbter Pfeil nach rechts 218">
          <a:extLst>
            <a:ext uri="{FF2B5EF4-FFF2-40B4-BE49-F238E27FC236}">
              <a16:creationId xmlns:a16="http://schemas.microsoft.com/office/drawing/2014/main" id="{00000000-0008-0000-0700-000037DD0100}"/>
            </a:ext>
          </a:extLst>
        </xdr:cNvPr>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15</xdr:row>
      <xdr:rowOff>66675</xdr:rowOff>
    </xdr:from>
    <xdr:to>
      <xdr:col>3</xdr:col>
      <xdr:colOff>285750</xdr:colOff>
      <xdr:row>15</xdr:row>
      <xdr:rowOff>95250</xdr:rowOff>
    </xdr:to>
    <xdr:sp macro="" textlink="">
      <xdr:nvSpPr>
        <xdr:cNvPr id="122168" name="Eingekerbter Pfeil nach rechts 219">
          <a:extLst>
            <a:ext uri="{FF2B5EF4-FFF2-40B4-BE49-F238E27FC236}">
              <a16:creationId xmlns:a16="http://schemas.microsoft.com/office/drawing/2014/main" id="{00000000-0008-0000-0700-000038DD0100}"/>
            </a:ext>
          </a:extLst>
        </xdr:cNvPr>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18</xdr:row>
      <xdr:rowOff>28575</xdr:rowOff>
    </xdr:from>
    <xdr:to>
      <xdr:col>3</xdr:col>
      <xdr:colOff>352425</xdr:colOff>
      <xdr:row>18</xdr:row>
      <xdr:rowOff>66675</xdr:rowOff>
    </xdr:to>
    <xdr:sp macro="" textlink="">
      <xdr:nvSpPr>
        <xdr:cNvPr id="122169" name="Eingekerbter Pfeil nach rechts 220">
          <a:extLst>
            <a:ext uri="{FF2B5EF4-FFF2-40B4-BE49-F238E27FC236}">
              <a16:creationId xmlns:a16="http://schemas.microsoft.com/office/drawing/2014/main" id="{00000000-0008-0000-0700-000039DD0100}"/>
            </a:ext>
          </a:extLst>
        </xdr:cNvPr>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20</xdr:row>
      <xdr:rowOff>57150</xdr:rowOff>
    </xdr:from>
    <xdr:to>
      <xdr:col>3</xdr:col>
      <xdr:colOff>285750</xdr:colOff>
      <xdr:row>20</xdr:row>
      <xdr:rowOff>95250</xdr:rowOff>
    </xdr:to>
    <xdr:sp macro="" textlink="">
      <xdr:nvSpPr>
        <xdr:cNvPr id="122170" name="Eingekerbter Pfeil nach rechts 221">
          <a:extLst>
            <a:ext uri="{FF2B5EF4-FFF2-40B4-BE49-F238E27FC236}">
              <a16:creationId xmlns:a16="http://schemas.microsoft.com/office/drawing/2014/main" id="{00000000-0008-0000-0700-00003ADD0100}"/>
            </a:ext>
          </a:extLst>
        </xdr:cNvPr>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29</xdr:row>
      <xdr:rowOff>57150</xdr:rowOff>
    </xdr:from>
    <xdr:to>
      <xdr:col>3</xdr:col>
      <xdr:colOff>285750</xdr:colOff>
      <xdr:row>29</xdr:row>
      <xdr:rowOff>95250</xdr:rowOff>
    </xdr:to>
    <xdr:sp macro="" textlink="">
      <xdr:nvSpPr>
        <xdr:cNvPr id="122171" name="Eingekerbter Pfeil nach rechts 222">
          <a:extLst>
            <a:ext uri="{FF2B5EF4-FFF2-40B4-BE49-F238E27FC236}">
              <a16:creationId xmlns:a16="http://schemas.microsoft.com/office/drawing/2014/main" id="{00000000-0008-0000-0700-00003BDD0100}"/>
            </a:ext>
          </a:extLst>
        </xdr:cNvPr>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2751244</xdr:colOff>
      <xdr:row>38</xdr:row>
      <xdr:rowOff>53582</xdr:rowOff>
    </xdr:from>
    <xdr:to>
      <xdr:col>4</xdr:col>
      <xdr:colOff>46144</xdr:colOff>
      <xdr:row>38</xdr:row>
      <xdr:rowOff>82382</xdr:rowOff>
    </xdr:to>
    <xdr:sp macro="" textlink="">
      <xdr:nvSpPr>
        <xdr:cNvPr id="122172" name="Eingekerbter Pfeil nach rechts 223">
          <a:extLst>
            <a:ext uri="{FF2B5EF4-FFF2-40B4-BE49-F238E27FC236}">
              <a16:creationId xmlns:a16="http://schemas.microsoft.com/office/drawing/2014/main" id="{00000000-0008-0000-0700-00003CDD0100}"/>
            </a:ext>
          </a:extLst>
        </xdr:cNvPr>
        <xdr:cNvSpPr>
          <a:spLocks noChangeArrowheads="1"/>
        </xdr:cNvSpPr>
      </xdr:nvSpPr>
      <xdr:spPr bwMode="auto">
        <a:xfrm rot="19377272">
          <a:off x="3036994" y="5197082"/>
          <a:ext cx="676275" cy="288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41</xdr:row>
      <xdr:rowOff>9525</xdr:rowOff>
    </xdr:from>
    <xdr:to>
      <xdr:col>3</xdr:col>
      <xdr:colOff>352425</xdr:colOff>
      <xdr:row>41</xdr:row>
      <xdr:rowOff>47625</xdr:rowOff>
    </xdr:to>
    <xdr:sp macro="" textlink="">
      <xdr:nvSpPr>
        <xdr:cNvPr id="122173" name="Eingekerbter Pfeil nach rechts 224">
          <a:extLst>
            <a:ext uri="{FF2B5EF4-FFF2-40B4-BE49-F238E27FC236}">
              <a16:creationId xmlns:a16="http://schemas.microsoft.com/office/drawing/2014/main" id="{00000000-0008-0000-0700-00003DDD0100}"/>
            </a:ext>
          </a:extLst>
        </xdr:cNvPr>
        <xdr:cNvSpPr>
          <a:spLocks noChangeArrowheads="1"/>
        </xdr:cNvSpPr>
      </xdr:nvSpPr>
      <xdr:spPr bwMode="auto">
        <a:xfrm rot="-240000">
          <a:off x="3105150" y="5638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42</xdr:row>
      <xdr:rowOff>123825</xdr:rowOff>
    </xdr:from>
    <xdr:to>
      <xdr:col>3</xdr:col>
      <xdr:colOff>361950</xdr:colOff>
      <xdr:row>42</xdr:row>
      <xdr:rowOff>161925</xdr:rowOff>
    </xdr:to>
    <xdr:sp macro="" textlink="">
      <xdr:nvSpPr>
        <xdr:cNvPr id="122174" name="Eingekerbter Pfeil nach rechts 225">
          <a:extLst>
            <a:ext uri="{FF2B5EF4-FFF2-40B4-BE49-F238E27FC236}">
              <a16:creationId xmlns:a16="http://schemas.microsoft.com/office/drawing/2014/main" id="{00000000-0008-0000-0700-00003EDD0100}"/>
            </a:ext>
          </a:extLst>
        </xdr:cNvPr>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42</xdr:row>
      <xdr:rowOff>9525</xdr:rowOff>
    </xdr:from>
    <xdr:to>
      <xdr:col>3</xdr:col>
      <xdr:colOff>352425</xdr:colOff>
      <xdr:row>42</xdr:row>
      <xdr:rowOff>47625</xdr:rowOff>
    </xdr:to>
    <xdr:sp macro="" textlink="">
      <xdr:nvSpPr>
        <xdr:cNvPr id="122175" name="Eingekerbter Pfeil nach rechts 226">
          <a:extLst>
            <a:ext uri="{FF2B5EF4-FFF2-40B4-BE49-F238E27FC236}">
              <a16:creationId xmlns:a16="http://schemas.microsoft.com/office/drawing/2014/main" id="{00000000-0008-0000-0700-00003FDD0100}"/>
            </a:ext>
          </a:extLst>
        </xdr:cNvPr>
        <xdr:cNvSpPr>
          <a:spLocks noChangeArrowheads="1"/>
        </xdr:cNvSpPr>
      </xdr:nvSpPr>
      <xdr:spPr bwMode="auto">
        <a:xfrm rot="420000">
          <a:off x="3114675" y="58007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43</xdr:row>
      <xdr:rowOff>47625</xdr:rowOff>
    </xdr:from>
    <xdr:to>
      <xdr:col>3</xdr:col>
      <xdr:colOff>381000</xdr:colOff>
      <xdr:row>43</xdr:row>
      <xdr:rowOff>85725</xdr:rowOff>
    </xdr:to>
    <xdr:sp macro="" textlink="">
      <xdr:nvSpPr>
        <xdr:cNvPr id="122176" name="Eingekerbter Pfeil nach rechts 227">
          <a:extLst>
            <a:ext uri="{FF2B5EF4-FFF2-40B4-BE49-F238E27FC236}">
              <a16:creationId xmlns:a16="http://schemas.microsoft.com/office/drawing/2014/main" id="{00000000-0008-0000-0700-000040DD0100}"/>
            </a:ext>
          </a:extLst>
        </xdr:cNvPr>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2719709</xdr:colOff>
      <xdr:row>44</xdr:row>
      <xdr:rowOff>75300</xdr:rowOff>
    </xdr:from>
    <xdr:to>
      <xdr:col>4</xdr:col>
      <xdr:colOff>24134</xdr:colOff>
      <xdr:row>44</xdr:row>
      <xdr:rowOff>104100</xdr:rowOff>
    </xdr:to>
    <xdr:sp macro="" textlink="">
      <xdr:nvSpPr>
        <xdr:cNvPr id="122177" name="Eingekerbter Pfeil nach rechts 228">
          <a:extLst>
            <a:ext uri="{FF2B5EF4-FFF2-40B4-BE49-F238E27FC236}">
              <a16:creationId xmlns:a16="http://schemas.microsoft.com/office/drawing/2014/main" id="{00000000-0008-0000-0700-000041DD0100}"/>
            </a:ext>
          </a:extLst>
        </xdr:cNvPr>
        <xdr:cNvSpPr>
          <a:spLocks noChangeArrowheads="1"/>
        </xdr:cNvSpPr>
      </xdr:nvSpPr>
      <xdr:spPr bwMode="auto">
        <a:xfrm rot="2567144">
          <a:off x="3005459" y="6190350"/>
          <a:ext cx="685800" cy="288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40</xdr:row>
      <xdr:rowOff>19050</xdr:rowOff>
    </xdr:from>
    <xdr:to>
      <xdr:col>3</xdr:col>
      <xdr:colOff>361950</xdr:colOff>
      <xdr:row>40</xdr:row>
      <xdr:rowOff>57150</xdr:rowOff>
    </xdr:to>
    <xdr:sp macro="" textlink="">
      <xdr:nvSpPr>
        <xdr:cNvPr id="122178" name="Eingekerbter Pfeil nach rechts 229">
          <a:extLst>
            <a:ext uri="{FF2B5EF4-FFF2-40B4-BE49-F238E27FC236}">
              <a16:creationId xmlns:a16="http://schemas.microsoft.com/office/drawing/2014/main" id="{00000000-0008-0000-0700-000042DD0100}"/>
            </a:ext>
          </a:extLst>
        </xdr:cNvPr>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21</xdr:row>
      <xdr:rowOff>9525</xdr:rowOff>
    </xdr:from>
    <xdr:to>
      <xdr:col>2</xdr:col>
      <xdr:colOff>85725</xdr:colOff>
      <xdr:row>23</xdr:row>
      <xdr:rowOff>152400</xdr:rowOff>
    </xdr:to>
    <xdr:sp macro="" textlink="">
      <xdr:nvSpPr>
        <xdr:cNvPr id="122179" name="Geschweifte Klammer rechts 230">
          <a:extLst>
            <a:ext uri="{FF2B5EF4-FFF2-40B4-BE49-F238E27FC236}">
              <a16:creationId xmlns:a16="http://schemas.microsoft.com/office/drawing/2014/main" id="{00000000-0008-0000-0700-000043DD0100}"/>
            </a:ext>
          </a:extLst>
        </xdr:cNvPr>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89</xdr:row>
      <xdr:rowOff>28575</xdr:rowOff>
    </xdr:from>
    <xdr:to>
      <xdr:col>3</xdr:col>
      <xdr:colOff>352425</xdr:colOff>
      <xdr:row>89</xdr:row>
      <xdr:rowOff>66675</xdr:rowOff>
    </xdr:to>
    <xdr:sp macro="" textlink="">
      <xdr:nvSpPr>
        <xdr:cNvPr id="122180" name="Eingekerbter Pfeil nach rechts 231">
          <a:extLst>
            <a:ext uri="{FF2B5EF4-FFF2-40B4-BE49-F238E27FC236}">
              <a16:creationId xmlns:a16="http://schemas.microsoft.com/office/drawing/2014/main" id="{00000000-0008-0000-0700-000044DD0100}"/>
            </a:ext>
          </a:extLst>
        </xdr:cNvPr>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91</xdr:row>
      <xdr:rowOff>104775</xdr:rowOff>
    </xdr:from>
    <xdr:to>
      <xdr:col>3</xdr:col>
      <xdr:colOff>352425</xdr:colOff>
      <xdr:row>91</xdr:row>
      <xdr:rowOff>133350</xdr:rowOff>
    </xdr:to>
    <xdr:sp macro="" textlink="">
      <xdr:nvSpPr>
        <xdr:cNvPr id="122181" name="Eingekerbter Pfeil nach rechts 232">
          <a:extLst>
            <a:ext uri="{FF2B5EF4-FFF2-40B4-BE49-F238E27FC236}">
              <a16:creationId xmlns:a16="http://schemas.microsoft.com/office/drawing/2014/main" id="{00000000-0008-0000-0700-000045DD0100}"/>
            </a:ext>
          </a:extLst>
        </xdr:cNvPr>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82</xdr:row>
      <xdr:rowOff>104775</xdr:rowOff>
    </xdr:from>
    <xdr:to>
      <xdr:col>3</xdr:col>
      <xdr:colOff>352425</xdr:colOff>
      <xdr:row>82</xdr:row>
      <xdr:rowOff>133350</xdr:rowOff>
    </xdr:to>
    <xdr:sp macro="" textlink="">
      <xdr:nvSpPr>
        <xdr:cNvPr id="122182" name="Eingekerbter Pfeil nach rechts 233">
          <a:extLst>
            <a:ext uri="{FF2B5EF4-FFF2-40B4-BE49-F238E27FC236}">
              <a16:creationId xmlns:a16="http://schemas.microsoft.com/office/drawing/2014/main" id="{00000000-0008-0000-0700-000046DD0100}"/>
            </a:ext>
          </a:extLst>
        </xdr:cNvPr>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83</xdr:row>
      <xdr:rowOff>38100</xdr:rowOff>
    </xdr:from>
    <xdr:to>
      <xdr:col>3</xdr:col>
      <xdr:colOff>352425</xdr:colOff>
      <xdr:row>83</xdr:row>
      <xdr:rowOff>76200</xdr:rowOff>
    </xdr:to>
    <xdr:sp macro="" textlink="">
      <xdr:nvSpPr>
        <xdr:cNvPr id="122183" name="Eingekerbter Pfeil nach rechts 234">
          <a:extLst>
            <a:ext uri="{FF2B5EF4-FFF2-40B4-BE49-F238E27FC236}">
              <a16:creationId xmlns:a16="http://schemas.microsoft.com/office/drawing/2014/main" id="{00000000-0008-0000-0700-000047DD0100}"/>
            </a:ext>
          </a:extLst>
        </xdr:cNvPr>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82</xdr:row>
      <xdr:rowOff>19050</xdr:rowOff>
    </xdr:from>
    <xdr:to>
      <xdr:col>3</xdr:col>
      <xdr:colOff>361950</xdr:colOff>
      <xdr:row>82</xdr:row>
      <xdr:rowOff>57150</xdr:rowOff>
    </xdr:to>
    <xdr:sp macro="" textlink="">
      <xdr:nvSpPr>
        <xdr:cNvPr id="122184" name="Eingekerbter Pfeil nach rechts 235">
          <a:extLst>
            <a:ext uri="{FF2B5EF4-FFF2-40B4-BE49-F238E27FC236}">
              <a16:creationId xmlns:a16="http://schemas.microsoft.com/office/drawing/2014/main" id="{00000000-0008-0000-0700-000048DD0100}"/>
            </a:ext>
          </a:extLst>
        </xdr:cNvPr>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83</xdr:row>
      <xdr:rowOff>133350</xdr:rowOff>
    </xdr:from>
    <xdr:to>
      <xdr:col>3</xdr:col>
      <xdr:colOff>361950</xdr:colOff>
      <xdr:row>84</xdr:row>
      <xdr:rowOff>0</xdr:rowOff>
    </xdr:to>
    <xdr:sp macro="" textlink="">
      <xdr:nvSpPr>
        <xdr:cNvPr id="122185" name="Eingekerbter Pfeil nach rechts 236">
          <a:extLst>
            <a:ext uri="{FF2B5EF4-FFF2-40B4-BE49-F238E27FC236}">
              <a16:creationId xmlns:a16="http://schemas.microsoft.com/office/drawing/2014/main" id="{00000000-0008-0000-0700-000049DD0100}"/>
            </a:ext>
          </a:extLst>
        </xdr:cNvPr>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76</xdr:row>
      <xdr:rowOff>95250</xdr:rowOff>
    </xdr:from>
    <xdr:to>
      <xdr:col>3</xdr:col>
      <xdr:colOff>352425</xdr:colOff>
      <xdr:row>76</xdr:row>
      <xdr:rowOff>133350</xdr:rowOff>
    </xdr:to>
    <xdr:sp macro="" textlink="">
      <xdr:nvSpPr>
        <xdr:cNvPr id="122186" name="Eingekerbter Pfeil nach rechts 237">
          <a:extLst>
            <a:ext uri="{FF2B5EF4-FFF2-40B4-BE49-F238E27FC236}">
              <a16:creationId xmlns:a16="http://schemas.microsoft.com/office/drawing/2014/main" id="{00000000-0008-0000-0700-00004ADD0100}"/>
            </a:ext>
          </a:extLst>
        </xdr:cNvPr>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3</xdr:col>
      <xdr:colOff>9525</xdr:colOff>
      <xdr:row>54</xdr:row>
      <xdr:rowOff>139065</xdr:rowOff>
    </xdr:from>
    <xdr:to>
      <xdr:col>3</xdr:col>
      <xdr:colOff>371475</xdr:colOff>
      <xdr:row>55</xdr:row>
      <xdr:rowOff>7620</xdr:rowOff>
    </xdr:to>
    <xdr:sp macro="" textlink="">
      <xdr:nvSpPr>
        <xdr:cNvPr id="122187" name="Eingekerbter Pfeil nach rechts 238">
          <a:extLst>
            <a:ext uri="{FF2B5EF4-FFF2-40B4-BE49-F238E27FC236}">
              <a16:creationId xmlns:a16="http://schemas.microsoft.com/office/drawing/2014/main" id="{00000000-0008-0000-0700-00004BDD0100}"/>
            </a:ext>
          </a:extLst>
        </xdr:cNvPr>
        <xdr:cNvSpPr>
          <a:spLocks noChangeArrowheads="1"/>
        </xdr:cNvSpPr>
      </xdr:nvSpPr>
      <xdr:spPr bwMode="auto">
        <a:xfrm>
          <a:off x="3219450" y="7606665"/>
          <a:ext cx="361950" cy="3048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125730</xdr:colOff>
      <xdr:row>54</xdr:row>
      <xdr:rowOff>34290</xdr:rowOff>
    </xdr:from>
    <xdr:to>
      <xdr:col>3</xdr:col>
      <xdr:colOff>386715</xdr:colOff>
      <xdr:row>54</xdr:row>
      <xdr:rowOff>74295</xdr:rowOff>
    </xdr:to>
    <xdr:sp macro="" textlink="">
      <xdr:nvSpPr>
        <xdr:cNvPr id="122188" name="Eingekerbter Pfeil nach rechts 239">
          <a:extLst>
            <a:ext uri="{FF2B5EF4-FFF2-40B4-BE49-F238E27FC236}">
              <a16:creationId xmlns:a16="http://schemas.microsoft.com/office/drawing/2014/main" id="{00000000-0008-0000-0700-00004CDD0100}"/>
            </a:ext>
          </a:extLst>
        </xdr:cNvPr>
        <xdr:cNvSpPr>
          <a:spLocks noChangeArrowheads="1"/>
        </xdr:cNvSpPr>
      </xdr:nvSpPr>
      <xdr:spPr bwMode="auto">
        <a:xfrm rot="-780000">
          <a:off x="3183255" y="7501890"/>
          <a:ext cx="413385"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11416</xdr:colOff>
      <xdr:row>55</xdr:row>
      <xdr:rowOff>122586</xdr:rowOff>
    </xdr:from>
    <xdr:to>
      <xdr:col>3</xdr:col>
      <xdr:colOff>407656</xdr:colOff>
      <xdr:row>55</xdr:row>
      <xdr:rowOff>151386</xdr:rowOff>
    </xdr:to>
    <xdr:sp macro="" textlink="">
      <xdr:nvSpPr>
        <xdr:cNvPr id="122189" name="Eingekerbter Pfeil nach rechts 240">
          <a:extLst>
            <a:ext uri="{FF2B5EF4-FFF2-40B4-BE49-F238E27FC236}">
              <a16:creationId xmlns:a16="http://schemas.microsoft.com/office/drawing/2014/main" id="{00000000-0008-0000-0700-00004DDD0100}"/>
            </a:ext>
          </a:extLst>
        </xdr:cNvPr>
        <xdr:cNvSpPr>
          <a:spLocks noChangeArrowheads="1"/>
        </xdr:cNvSpPr>
      </xdr:nvSpPr>
      <xdr:spPr bwMode="auto">
        <a:xfrm rot="840000">
          <a:off x="3221341" y="7752111"/>
          <a:ext cx="396240" cy="288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95250</xdr:colOff>
      <xdr:row>56</xdr:row>
      <xdr:rowOff>72390</xdr:rowOff>
    </xdr:from>
    <xdr:to>
      <xdr:col>3</xdr:col>
      <xdr:colOff>363855</xdr:colOff>
      <xdr:row>56</xdr:row>
      <xdr:rowOff>102870</xdr:rowOff>
    </xdr:to>
    <xdr:sp macro="" textlink="">
      <xdr:nvSpPr>
        <xdr:cNvPr id="122190" name="Eingekerbter Pfeil nach rechts 241">
          <a:extLst>
            <a:ext uri="{FF2B5EF4-FFF2-40B4-BE49-F238E27FC236}">
              <a16:creationId xmlns:a16="http://schemas.microsoft.com/office/drawing/2014/main" id="{00000000-0008-0000-0700-00004EDD0100}"/>
            </a:ext>
          </a:extLst>
        </xdr:cNvPr>
        <xdr:cNvSpPr>
          <a:spLocks noChangeArrowheads="1"/>
        </xdr:cNvSpPr>
      </xdr:nvSpPr>
      <xdr:spPr bwMode="auto">
        <a:xfrm rot="1560000">
          <a:off x="3238500" y="6568440"/>
          <a:ext cx="430530" cy="3048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123825</xdr:colOff>
      <xdr:row>53</xdr:row>
      <xdr:rowOff>72391</xdr:rowOff>
    </xdr:from>
    <xdr:to>
      <xdr:col>3</xdr:col>
      <xdr:colOff>411480</xdr:colOff>
      <xdr:row>53</xdr:row>
      <xdr:rowOff>114301</xdr:rowOff>
    </xdr:to>
    <xdr:sp macro="" textlink="">
      <xdr:nvSpPr>
        <xdr:cNvPr id="122191" name="Eingekerbter Pfeil nach rechts 242">
          <a:extLst>
            <a:ext uri="{FF2B5EF4-FFF2-40B4-BE49-F238E27FC236}">
              <a16:creationId xmlns:a16="http://schemas.microsoft.com/office/drawing/2014/main" id="{00000000-0008-0000-0700-00004FDD0100}"/>
            </a:ext>
          </a:extLst>
        </xdr:cNvPr>
        <xdr:cNvSpPr>
          <a:spLocks noChangeArrowheads="1"/>
        </xdr:cNvSpPr>
      </xdr:nvSpPr>
      <xdr:spPr bwMode="auto">
        <a:xfrm rot="-1560000">
          <a:off x="3181350" y="7378066"/>
          <a:ext cx="440055" cy="4191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35</xdr:row>
      <xdr:rowOff>47625</xdr:rowOff>
    </xdr:from>
    <xdr:to>
      <xdr:col>5</xdr:col>
      <xdr:colOff>85725</xdr:colOff>
      <xdr:row>35</xdr:row>
      <xdr:rowOff>47625</xdr:rowOff>
    </xdr:to>
    <xdr:cxnSp macro="">
      <xdr:nvCxnSpPr>
        <xdr:cNvPr id="122192" name="Gerade Verbindung mit Pfeil 243">
          <a:extLst>
            <a:ext uri="{FF2B5EF4-FFF2-40B4-BE49-F238E27FC236}">
              <a16:creationId xmlns:a16="http://schemas.microsoft.com/office/drawing/2014/main" id="{00000000-0008-0000-0700-000050DD0100}"/>
            </a:ext>
          </a:extLst>
        </xdr:cNvPr>
        <xdr:cNvCxnSpPr>
          <a:cxnSpLocks noChangeShapeType="1"/>
        </xdr:cNvCxnSpPr>
      </xdr:nvCxnSpPr>
      <xdr:spPr bwMode="auto">
        <a:xfrm>
          <a:off x="3505200" y="4743450"/>
          <a:ext cx="32385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2847975</xdr:colOff>
      <xdr:row>42</xdr:row>
      <xdr:rowOff>3809</xdr:rowOff>
    </xdr:from>
    <xdr:to>
      <xdr:col>4</xdr:col>
      <xdr:colOff>2939415</xdr:colOff>
      <xdr:row>49</xdr:row>
      <xdr:rowOff>4259</xdr:rowOff>
    </xdr:to>
    <xdr:sp macro="" textlink="">
      <xdr:nvSpPr>
        <xdr:cNvPr id="122193" name="Geschweifte Klammer rechts 244">
          <a:extLst>
            <a:ext uri="{FF2B5EF4-FFF2-40B4-BE49-F238E27FC236}">
              <a16:creationId xmlns:a16="http://schemas.microsoft.com/office/drawing/2014/main" id="{00000000-0008-0000-0700-000051DD0100}"/>
            </a:ext>
          </a:extLst>
        </xdr:cNvPr>
        <xdr:cNvSpPr>
          <a:spLocks/>
        </xdr:cNvSpPr>
      </xdr:nvSpPr>
      <xdr:spPr bwMode="auto">
        <a:xfrm>
          <a:off x="6604635" y="5932169"/>
          <a:ext cx="91440" cy="112059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xdr:colOff>
      <xdr:row>35</xdr:row>
      <xdr:rowOff>72390</xdr:rowOff>
    </xdr:from>
    <xdr:to>
      <xdr:col>5</xdr:col>
      <xdr:colOff>93345</xdr:colOff>
      <xdr:row>45</xdr:row>
      <xdr:rowOff>69885</xdr:rowOff>
    </xdr:to>
    <xdr:cxnSp macro="">
      <xdr:nvCxnSpPr>
        <xdr:cNvPr id="122194" name="Gerade Verbindung 245">
          <a:extLst>
            <a:ext uri="{FF2B5EF4-FFF2-40B4-BE49-F238E27FC236}">
              <a16:creationId xmlns:a16="http://schemas.microsoft.com/office/drawing/2014/main" id="{00000000-0008-0000-0700-000052DD0100}"/>
            </a:ext>
          </a:extLst>
        </xdr:cNvPr>
        <xdr:cNvCxnSpPr>
          <a:cxnSpLocks noChangeShapeType="1"/>
        </xdr:cNvCxnSpPr>
      </xdr:nvCxnSpPr>
      <xdr:spPr bwMode="auto">
        <a:xfrm>
          <a:off x="6821805" y="4918710"/>
          <a:ext cx="0" cy="155959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53</xdr:row>
      <xdr:rowOff>9525</xdr:rowOff>
    </xdr:from>
    <xdr:to>
      <xdr:col>2</xdr:col>
      <xdr:colOff>95250</xdr:colOff>
      <xdr:row>55</xdr:row>
      <xdr:rowOff>153675</xdr:rowOff>
    </xdr:to>
    <xdr:sp macro="" textlink="">
      <xdr:nvSpPr>
        <xdr:cNvPr id="122195" name="Geschweifte Klammer rechts 246">
          <a:extLst>
            <a:ext uri="{FF2B5EF4-FFF2-40B4-BE49-F238E27FC236}">
              <a16:creationId xmlns:a16="http://schemas.microsoft.com/office/drawing/2014/main" id="{00000000-0008-0000-0700-000053DD0100}"/>
            </a:ext>
          </a:extLst>
        </xdr:cNvPr>
        <xdr:cNvSpPr>
          <a:spLocks/>
        </xdr:cNvSpPr>
      </xdr:nvSpPr>
      <xdr:spPr bwMode="auto">
        <a:xfrm>
          <a:off x="3076575" y="7315200"/>
          <a:ext cx="76200" cy="468000"/>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67</xdr:row>
      <xdr:rowOff>95250</xdr:rowOff>
    </xdr:from>
    <xdr:to>
      <xdr:col>3</xdr:col>
      <xdr:colOff>352425</xdr:colOff>
      <xdr:row>67</xdr:row>
      <xdr:rowOff>133350</xdr:rowOff>
    </xdr:to>
    <xdr:sp macro="" textlink="">
      <xdr:nvSpPr>
        <xdr:cNvPr id="122196" name="Eingekerbter Pfeil nach rechts 247">
          <a:extLst>
            <a:ext uri="{FF2B5EF4-FFF2-40B4-BE49-F238E27FC236}">
              <a16:creationId xmlns:a16="http://schemas.microsoft.com/office/drawing/2014/main" id="{00000000-0008-0000-0700-000054DD0100}"/>
            </a:ext>
          </a:extLst>
        </xdr:cNvPr>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68</xdr:row>
      <xdr:rowOff>38100</xdr:rowOff>
    </xdr:from>
    <xdr:to>
      <xdr:col>3</xdr:col>
      <xdr:colOff>352425</xdr:colOff>
      <xdr:row>68</xdr:row>
      <xdr:rowOff>76200</xdr:rowOff>
    </xdr:to>
    <xdr:sp macro="" textlink="">
      <xdr:nvSpPr>
        <xdr:cNvPr id="122197" name="Eingekerbter Pfeil nach rechts 248">
          <a:extLst>
            <a:ext uri="{FF2B5EF4-FFF2-40B4-BE49-F238E27FC236}">
              <a16:creationId xmlns:a16="http://schemas.microsoft.com/office/drawing/2014/main" id="{00000000-0008-0000-0700-000055DD0100}"/>
            </a:ext>
          </a:extLst>
        </xdr:cNvPr>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28575</xdr:rowOff>
    </xdr:from>
    <xdr:to>
      <xdr:col>3</xdr:col>
      <xdr:colOff>352425</xdr:colOff>
      <xdr:row>71</xdr:row>
      <xdr:rowOff>66675</xdr:rowOff>
    </xdr:to>
    <xdr:sp macro="" textlink="">
      <xdr:nvSpPr>
        <xdr:cNvPr id="122198" name="Eingekerbter Pfeil nach rechts 249">
          <a:extLst>
            <a:ext uri="{FF2B5EF4-FFF2-40B4-BE49-F238E27FC236}">
              <a16:creationId xmlns:a16="http://schemas.microsoft.com/office/drawing/2014/main" id="{00000000-0008-0000-0700-000056DD0100}"/>
            </a:ext>
          </a:extLst>
        </xdr:cNvPr>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74</xdr:row>
      <xdr:rowOff>28575</xdr:rowOff>
    </xdr:from>
    <xdr:to>
      <xdr:col>3</xdr:col>
      <xdr:colOff>352425</xdr:colOff>
      <xdr:row>74</xdr:row>
      <xdr:rowOff>66675</xdr:rowOff>
    </xdr:to>
    <xdr:sp macro="" textlink="">
      <xdr:nvSpPr>
        <xdr:cNvPr id="122199" name="Eingekerbter Pfeil nach rechts 250">
          <a:extLst>
            <a:ext uri="{FF2B5EF4-FFF2-40B4-BE49-F238E27FC236}">
              <a16:creationId xmlns:a16="http://schemas.microsoft.com/office/drawing/2014/main" id="{00000000-0008-0000-0700-000057DD0100}"/>
            </a:ext>
          </a:extLst>
        </xdr:cNvPr>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70</xdr:row>
      <xdr:rowOff>95250</xdr:rowOff>
    </xdr:from>
    <xdr:to>
      <xdr:col>3</xdr:col>
      <xdr:colOff>352425</xdr:colOff>
      <xdr:row>70</xdr:row>
      <xdr:rowOff>133350</xdr:rowOff>
    </xdr:to>
    <xdr:sp macro="" textlink="">
      <xdr:nvSpPr>
        <xdr:cNvPr id="122200" name="Eingekerbter Pfeil nach rechts 251">
          <a:extLst>
            <a:ext uri="{FF2B5EF4-FFF2-40B4-BE49-F238E27FC236}">
              <a16:creationId xmlns:a16="http://schemas.microsoft.com/office/drawing/2014/main" id="{00000000-0008-0000-0700-000058DD0100}"/>
            </a:ext>
          </a:extLst>
        </xdr:cNvPr>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73</xdr:row>
      <xdr:rowOff>104775</xdr:rowOff>
    </xdr:from>
    <xdr:to>
      <xdr:col>3</xdr:col>
      <xdr:colOff>352425</xdr:colOff>
      <xdr:row>73</xdr:row>
      <xdr:rowOff>133350</xdr:rowOff>
    </xdr:to>
    <xdr:sp macro="" textlink="">
      <xdr:nvSpPr>
        <xdr:cNvPr id="122201" name="Eingekerbter Pfeil nach rechts 252">
          <a:extLst>
            <a:ext uri="{FF2B5EF4-FFF2-40B4-BE49-F238E27FC236}">
              <a16:creationId xmlns:a16="http://schemas.microsoft.com/office/drawing/2014/main" id="{00000000-0008-0000-0700-000059DD0100}"/>
            </a:ext>
          </a:extLst>
        </xdr:cNvPr>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323850</xdr:colOff>
      <xdr:row>32</xdr:row>
      <xdr:rowOff>57150</xdr:rowOff>
    </xdr:from>
    <xdr:to>
      <xdr:col>4</xdr:col>
      <xdr:colOff>57150</xdr:colOff>
      <xdr:row>32</xdr:row>
      <xdr:rowOff>85725</xdr:rowOff>
    </xdr:to>
    <xdr:sp macro="" textlink="">
      <xdr:nvSpPr>
        <xdr:cNvPr id="122202" name="Eingekerbter Pfeil nach rechts 253">
          <a:extLst>
            <a:ext uri="{FF2B5EF4-FFF2-40B4-BE49-F238E27FC236}">
              <a16:creationId xmlns:a16="http://schemas.microsoft.com/office/drawing/2014/main" id="{00000000-0008-0000-0700-00005ADD0100}"/>
            </a:ext>
          </a:extLst>
        </xdr:cNvPr>
        <xdr:cNvSpPr>
          <a:spLocks noChangeArrowheads="1"/>
        </xdr:cNvSpPr>
      </xdr:nvSpPr>
      <xdr:spPr bwMode="auto">
        <a:xfrm>
          <a:off x="3533775" y="442912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31</xdr:row>
      <xdr:rowOff>104775</xdr:rowOff>
    </xdr:from>
    <xdr:to>
      <xdr:col>4</xdr:col>
      <xdr:colOff>9525</xdr:colOff>
      <xdr:row>31</xdr:row>
      <xdr:rowOff>133350</xdr:rowOff>
    </xdr:to>
    <xdr:sp macro="" textlink="">
      <xdr:nvSpPr>
        <xdr:cNvPr id="122203" name="Eingekerbter Pfeil nach rechts 254">
          <a:extLst>
            <a:ext uri="{FF2B5EF4-FFF2-40B4-BE49-F238E27FC236}">
              <a16:creationId xmlns:a16="http://schemas.microsoft.com/office/drawing/2014/main" id="{00000000-0008-0000-0700-00005BDD0100}"/>
            </a:ext>
          </a:extLst>
        </xdr:cNvPr>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2929890</xdr:colOff>
      <xdr:row>45</xdr:row>
      <xdr:rowOff>71975</xdr:rowOff>
    </xdr:from>
    <xdr:to>
      <xdr:col>5</xdr:col>
      <xdr:colOff>110490</xdr:colOff>
      <xdr:row>45</xdr:row>
      <xdr:rowOff>71976</xdr:rowOff>
    </xdr:to>
    <xdr:cxnSp macro="">
      <xdr:nvCxnSpPr>
        <xdr:cNvPr id="122204" name="Gerade Verbindung mit Pfeil 255">
          <a:extLst>
            <a:ext uri="{FF2B5EF4-FFF2-40B4-BE49-F238E27FC236}">
              <a16:creationId xmlns:a16="http://schemas.microsoft.com/office/drawing/2014/main" id="{00000000-0008-0000-0700-00005CDD0100}"/>
            </a:ext>
          </a:extLst>
        </xdr:cNvPr>
        <xdr:cNvCxnSpPr>
          <a:cxnSpLocks noChangeShapeType="1"/>
        </xdr:cNvCxnSpPr>
      </xdr:nvCxnSpPr>
      <xdr:spPr bwMode="auto">
        <a:xfrm flipV="1">
          <a:off x="6607368" y="6439645"/>
          <a:ext cx="175592" cy="1"/>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85726</xdr:colOff>
      <xdr:row>94</xdr:row>
      <xdr:rowOff>85724</xdr:rowOff>
    </xdr:from>
    <xdr:to>
      <xdr:col>3</xdr:col>
      <xdr:colOff>287656</xdr:colOff>
      <xdr:row>94</xdr:row>
      <xdr:rowOff>123824</xdr:rowOff>
    </xdr:to>
    <xdr:sp macro="" textlink="">
      <xdr:nvSpPr>
        <xdr:cNvPr id="122205" name="Eingekerbter Pfeil nach rechts 256">
          <a:extLst>
            <a:ext uri="{FF2B5EF4-FFF2-40B4-BE49-F238E27FC236}">
              <a16:creationId xmlns:a16="http://schemas.microsoft.com/office/drawing/2014/main" id="{00000000-0008-0000-0700-00005DDD0100}"/>
            </a:ext>
          </a:extLst>
        </xdr:cNvPr>
        <xdr:cNvSpPr>
          <a:spLocks noChangeArrowheads="1"/>
        </xdr:cNvSpPr>
      </xdr:nvSpPr>
      <xdr:spPr bwMode="auto">
        <a:xfrm rot="21213754">
          <a:off x="3228976" y="10429874"/>
          <a:ext cx="36385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78105</xdr:colOff>
      <xdr:row>56</xdr:row>
      <xdr:rowOff>148590</xdr:rowOff>
    </xdr:from>
    <xdr:to>
      <xdr:col>3</xdr:col>
      <xdr:colOff>339090</xdr:colOff>
      <xdr:row>57</xdr:row>
      <xdr:rowOff>19050</xdr:rowOff>
    </xdr:to>
    <xdr:sp macro="" textlink="">
      <xdr:nvSpPr>
        <xdr:cNvPr id="61" name="Eingekerbter Pfeil nach rechts 239">
          <a:extLst>
            <a:ext uri="{FF2B5EF4-FFF2-40B4-BE49-F238E27FC236}">
              <a16:creationId xmlns:a16="http://schemas.microsoft.com/office/drawing/2014/main" id="{00000000-0008-0000-0700-00003D000000}"/>
            </a:ext>
          </a:extLst>
        </xdr:cNvPr>
        <xdr:cNvSpPr>
          <a:spLocks noChangeArrowheads="1"/>
        </xdr:cNvSpPr>
      </xdr:nvSpPr>
      <xdr:spPr bwMode="auto">
        <a:xfrm rot="2333155">
          <a:off x="3221355" y="6644640"/>
          <a:ext cx="422910" cy="3238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85031</xdr:colOff>
      <xdr:row>53</xdr:row>
      <xdr:rowOff>1575</xdr:rowOff>
    </xdr:from>
    <xdr:to>
      <xdr:col>3</xdr:col>
      <xdr:colOff>353636</xdr:colOff>
      <xdr:row>53</xdr:row>
      <xdr:rowOff>37769</xdr:rowOff>
    </xdr:to>
    <xdr:sp macro="" textlink="">
      <xdr:nvSpPr>
        <xdr:cNvPr id="62" name="Eingekerbter Pfeil nach rechts 239">
          <a:extLst>
            <a:ext uri="{FF2B5EF4-FFF2-40B4-BE49-F238E27FC236}">
              <a16:creationId xmlns:a16="http://schemas.microsoft.com/office/drawing/2014/main" id="{00000000-0008-0000-0700-00003E000000}"/>
            </a:ext>
          </a:extLst>
        </xdr:cNvPr>
        <xdr:cNvSpPr>
          <a:spLocks noChangeArrowheads="1"/>
        </xdr:cNvSpPr>
      </xdr:nvSpPr>
      <xdr:spPr bwMode="auto">
        <a:xfrm rot="19452879" flipV="1">
          <a:off x="3142556" y="7307250"/>
          <a:ext cx="421005" cy="36194"/>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55246</xdr:colOff>
      <xdr:row>52</xdr:row>
      <xdr:rowOff>89531</xdr:rowOff>
    </xdr:from>
    <xdr:to>
      <xdr:col>3</xdr:col>
      <xdr:colOff>333376</xdr:colOff>
      <xdr:row>52</xdr:row>
      <xdr:rowOff>125726</xdr:rowOff>
    </xdr:to>
    <xdr:sp macro="" textlink="">
      <xdr:nvSpPr>
        <xdr:cNvPr id="63" name="Eingekerbter Pfeil nach rechts 239">
          <a:extLst>
            <a:ext uri="{FF2B5EF4-FFF2-40B4-BE49-F238E27FC236}">
              <a16:creationId xmlns:a16="http://schemas.microsoft.com/office/drawing/2014/main" id="{00000000-0008-0000-0700-00003F000000}"/>
            </a:ext>
          </a:extLst>
        </xdr:cNvPr>
        <xdr:cNvSpPr>
          <a:spLocks noChangeArrowheads="1"/>
        </xdr:cNvSpPr>
      </xdr:nvSpPr>
      <xdr:spPr bwMode="auto">
        <a:xfrm rot="19080305">
          <a:off x="3198496" y="6099806"/>
          <a:ext cx="440055" cy="3619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3</xdr:col>
      <xdr:colOff>55247</xdr:colOff>
      <xdr:row>56</xdr:row>
      <xdr:rowOff>11428</xdr:rowOff>
    </xdr:from>
    <xdr:to>
      <xdr:col>3</xdr:col>
      <xdr:colOff>95252</xdr:colOff>
      <xdr:row>58</xdr:row>
      <xdr:rowOff>114298</xdr:rowOff>
    </xdr:to>
    <xdr:sp macro="" textlink="">
      <xdr:nvSpPr>
        <xdr:cNvPr id="64" name="Eingekerbter Pfeil nach rechts 239">
          <a:extLst>
            <a:ext uri="{FF2B5EF4-FFF2-40B4-BE49-F238E27FC236}">
              <a16:creationId xmlns:a16="http://schemas.microsoft.com/office/drawing/2014/main" id="{00000000-0008-0000-0700-000040000000}"/>
            </a:ext>
          </a:extLst>
        </xdr:cNvPr>
        <xdr:cNvSpPr>
          <a:spLocks noChangeArrowheads="1"/>
        </xdr:cNvSpPr>
      </xdr:nvSpPr>
      <xdr:spPr bwMode="auto">
        <a:xfrm rot="2849474">
          <a:off x="3167065" y="6700835"/>
          <a:ext cx="426720" cy="40005"/>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26670</xdr:rowOff>
    </xdr:from>
    <xdr:to>
      <xdr:col>3</xdr:col>
      <xdr:colOff>285750</xdr:colOff>
      <xdr:row>7</xdr:row>
      <xdr:rowOff>64770</xdr:rowOff>
    </xdr:to>
    <xdr:sp macro="" textlink="">
      <xdr:nvSpPr>
        <xdr:cNvPr id="65" name="Eingekerbter Pfeil nach rechts 201">
          <a:extLst>
            <a:ext uri="{FF2B5EF4-FFF2-40B4-BE49-F238E27FC236}">
              <a16:creationId xmlns:a16="http://schemas.microsoft.com/office/drawing/2014/main" id="{00000000-0008-0000-0700-000041000000}"/>
            </a:ext>
          </a:extLst>
        </xdr:cNvPr>
        <xdr:cNvSpPr>
          <a:spLocks noChangeArrowheads="1"/>
        </xdr:cNvSpPr>
      </xdr:nvSpPr>
      <xdr:spPr bwMode="auto">
        <a:xfrm rot="499911">
          <a:off x="3238500" y="1055370"/>
          <a:ext cx="352425"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87630</xdr:colOff>
      <xdr:row>5</xdr:row>
      <xdr:rowOff>148590</xdr:rowOff>
    </xdr:from>
    <xdr:to>
      <xdr:col>3</xdr:col>
      <xdr:colOff>281940</xdr:colOff>
      <xdr:row>6</xdr:row>
      <xdr:rowOff>20955</xdr:rowOff>
    </xdr:to>
    <xdr:sp macro="" textlink="">
      <xdr:nvSpPr>
        <xdr:cNvPr id="66" name="Eingekerbter Pfeil nach rechts 201">
          <a:extLst>
            <a:ext uri="{FF2B5EF4-FFF2-40B4-BE49-F238E27FC236}">
              <a16:creationId xmlns:a16="http://schemas.microsoft.com/office/drawing/2014/main" id="{00000000-0008-0000-0700-000042000000}"/>
            </a:ext>
          </a:extLst>
        </xdr:cNvPr>
        <xdr:cNvSpPr>
          <a:spLocks noChangeArrowheads="1"/>
        </xdr:cNvSpPr>
      </xdr:nvSpPr>
      <xdr:spPr bwMode="auto">
        <a:xfrm rot="21060269">
          <a:off x="3230880" y="853440"/>
          <a:ext cx="356235" cy="3429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3</xdr:col>
      <xdr:colOff>255383</xdr:colOff>
      <xdr:row>32</xdr:row>
      <xdr:rowOff>158606</xdr:rowOff>
    </xdr:from>
    <xdr:to>
      <xdr:col>4</xdr:col>
      <xdr:colOff>14183</xdr:colOff>
      <xdr:row>33</xdr:row>
      <xdr:rowOff>25481</xdr:rowOff>
    </xdr:to>
    <xdr:sp macro="" textlink="">
      <xdr:nvSpPr>
        <xdr:cNvPr id="67" name="Eingekerbter Pfeil nach rechts 253">
          <a:extLst>
            <a:ext uri="{FF2B5EF4-FFF2-40B4-BE49-F238E27FC236}">
              <a16:creationId xmlns:a16="http://schemas.microsoft.com/office/drawing/2014/main" id="{00000000-0008-0000-0700-000043000000}"/>
            </a:ext>
          </a:extLst>
        </xdr:cNvPr>
        <xdr:cNvSpPr>
          <a:spLocks noChangeArrowheads="1"/>
        </xdr:cNvSpPr>
      </xdr:nvSpPr>
      <xdr:spPr bwMode="auto">
        <a:xfrm rot="1898123">
          <a:off x="3465308" y="4530581"/>
          <a:ext cx="216000" cy="2880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319519</xdr:colOff>
      <xdr:row>33</xdr:row>
      <xdr:rowOff>150986</xdr:rowOff>
    </xdr:from>
    <xdr:to>
      <xdr:col>4</xdr:col>
      <xdr:colOff>78319</xdr:colOff>
      <xdr:row>34</xdr:row>
      <xdr:rowOff>15956</xdr:rowOff>
    </xdr:to>
    <xdr:sp macro="" textlink="">
      <xdr:nvSpPr>
        <xdr:cNvPr id="68" name="Eingekerbter Pfeil nach rechts 253">
          <a:extLst>
            <a:ext uri="{FF2B5EF4-FFF2-40B4-BE49-F238E27FC236}">
              <a16:creationId xmlns:a16="http://schemas.microsoft.com/office/drawing/2014/main" id="{00000000-0008-0000-0700-000044000000}"/>
            </a:ext>
          </a:extLst>
        </xdr:cNvPr>
        <xdr:cNvSpPr>
          <a:spLocks noChangeArrowheads="1"/>
        </xdr:cNvSpPr>
      </xdr:nvSpPr>
      <xdr:spPr bwMode="auto">
        <a:xfrm rot="2253640">
          <a:off x="3535159" y="4733146"/>
          <a:ext cx="216000" cy="27530"/>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25</xdr:row>
          <xdr:rowOff>190500</xdr:rowOff>
        </xdr:from>
        <xdr:to>
          <xdr:col>13</xdr:col>
          <xdr:colOff>60960</xdr:colOff>
          <xdr:row>27</xdr:row>
          <xdr:rowOff>7620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A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182880</xdr:rowOff>
        </xdr:from>
        <xdr:to>
          <xdr:col>13</xdr:col>
          <xdr:colOff>60960</xdr:colOff>
          <xdr:row>28</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A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27</xdr:row>
          <xdr:rowOff>190500</xdr:rowOff>
        </xdr:from>
        <xdr:to>
          <xdr:col>13</xdr:col>
          <xdr:colOff>60960</xdr:colOff>
          <xdr:row>29</xdr:row>
          <xdr:rowOff>7620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A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190500</xdr:rowOff>
        </xdr:from>
        <xdr:to>
          <xdr:col>13</xdr:col>
          <xdr:colOff>60960</xdr:colOff>
          <xdr:row>30</xdr:row>
          <xdr:rowOff>7620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A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190500</xdr:rowOff>
        </xdr:from>
        <xdr:to>
          <xdr:col>13</xdr:col>
          <xdr:colOff>60960</xdr:colOff>
          <xdr:row>31</xdr:row>
          <xdr:rowOff>7620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A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152400</xdr:colOff>
      <xdr:row>0</xdr:row>
      <xdr:rowOff>47625</xdr:rowOff>
    </xdr:from>
    <xdr:to>
      <xdr:col>10</xdr:col>
      <xdr:colOff>224790</xdr:colOff>
      <xdr:row>3</xdr:row>
      <xdr:rowOff>133525</xdr:rowOff>
    </xdr:to>
    <xdr:pic>
      <xdr:nvPicPr>
        <xdr:cNvPr id="8" name="Picture 3">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629150" y="47625"/>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116205</xdr:colOff>
      <xdr:row>4</xdr:row>
      <xdr:rowOff>49529</xdr:rowOff>
    </xdr:from>
    <xdr:to>
      <xdr:col>11</xdr:col>
      <xdr:colOff>723900</xdr:colOff>
      <xdr:row>41</xdr:row>
      <xdr:rowOff>156209</xdr:rowOff>
    </xdr:to>
    <xdr:grpSp>
      <xdr:nvGrpSpPr>
        <xdr:cNvPr id="4" name="Gruppieren 3">
          <a:extLst>
            <a:ext uri="{FF2B5EF4-FFF2-40B4-BE49-F238E27FC236}">
              <a16:creationId xmlns:a16="http://schemas.microsoft.com/office/drawing/2014/main" id="{00000000-0008-0000-0B00-000004000000}"/>
            </a:ext>
          </a:extLst>
        </xdr:cNvPr>
        <xdr:cNvGrpSpPr/>
      </xdr:nvGrpSpPr>
      <xdr:grpSpPr>
        <a:xfrm>
          <a:off x="7284720" y="1817369"/>
          <a:ext cx="0" cy="6720840"/>
          <a:chOff x="10904723" y="2336436"/>
          <a:chExt cx="3764280" cy="6902752"/>
        </a:xfrm>
      </xdr:grpSpPr>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0904723" y="2336436"/>
            <a:ext cx="3764280" cy="69027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10" name="Gruppieren 9">
            <a:extLst>
              <a:ext uri="{FF2B5EF4-FFF2-40B4-BE49-F238E27FC236}">
                <a16:creationId xmlns:a16="http://schemas.microsoft.com/office/drawing/2014/main" id="{00000000-0008-0000-0B00-00000A000000}"/>
              </a:ext>
            </a:extLst>
          </xdr:cNvPr>
          <xdr:cNvGrpSpPr/>
        </xdr:nvGrpSpPr>
        <xdr:grpSpPr>
          <a:xfrm>
            <a:off x="11193781" y="4324348"/>
            <a:ext cx="2275162" cy="4267199"/>
            <a:chOff x="7909560" y="2446020"/>
            <a:chExt cx="2282782" cy="4183380"/>
          </a:xfrm>
        </xdr:grpSpPr>
        <xdr:pic>
          <xdr:nvPicPr>
            <xdr:cNvPr id="7" name="Grafik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8" name="Ellipse 7">
              <a:extLst>
                <a:ext uri="{FF2B5EF4-FFF2-40B4-BE49-F238E27FC236}">
                  <a16:creationId xmlns:a16="http://schemas.microsoft.com/office/drawing/2014/main" id="{00000000-0008-0000-0B00-000008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3" name="Gruppieren 2">
            <a:extLst>
              <a:ext uri="{FF2B5EF4-FFF2-40B4-BE49-F238E27FC236}">
                <a16:creationId xmlns:a16="http://schemas.microsoft.com/office/drawing/2014/main" id="{00000000-0008-0000-0B00-000003000000}"/>
              </a:ext>
            </a:extLst>
          </xdr:cNvPr>
          <xdr:cNvGrpSpPr/>
        </xdr:nvGrpSpPr>
        <xdr:grpSpPr>
          <a:xfrm>
            <a:off x="11114514" y="3291841"/>
            <a:ext cx="2016652" cy="520799"/>
            <a:chOff x="5572869" y="2491741"/>
            <a:chExt cx="2018557" cy="530324"/>
          </a:xfrm>
        </xdr:grpSpPr>
        <xdr:pic>
          <xdr:nvPicPr>
            <xdr:cNvPr id="11" name="Grafik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13" name="Ellipse 12">
              <a:extLst>
                <a:ext uri="{FF2B5EF4-FFF2-40B4-BE49-F238E27FC236}">
                  <a16:creationId xmlns:a16="http://schemas.microsoft.com/office/drawing/2014/main" id="{00000000-0008-0000-0B00-00000D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14" name="Ellipse 13">
              <a:extLst>
                <a:ext uri="{FF2B5EF4-FFF2-40B4-BE49-F238E27FC236}">
                  <a16:creationId xmlns:a16="http://schemas.microsoft.com/office/drawing/2014/main" id="{00000000-0008-0000-0B00-00000E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381272</xdr:colOff>
      <xdr:row>4</xdr:row>
      <xdr:rowOff>64226</xdr:rowOff>
    </xdr:from>
    <xdr:to>
      <xdr:col>16</xdr:col>
      <xdr:colOff>186498</xdr:colOff>
      <xdr:row>41</xdr:row>
      <xdr:rowOff>68002</xdr:rowOff>
    </xdr:to>
    <xdr:pic>
      <xdr:nvPicPr>
        <xdr:cNvPr id="15" name="Grafik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3"/>
        <a:stretch>
          <a:fillRect/>
        </a:stretch>
      </xdr:blipFill>
      <xdr:spPr>
        <a:xfrm>
          <a:off x="6694986" y="1833155"/>
          <a:ext cx="3615226" cy="6453561"/>
        </a:xfrm>
        <a:prstGeom prst="rect">
          <a:avLst/>
        </a:prstGeom>
        <a:ln w="1270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180975</xdr:colOff>
      <xdr:row>0</xdr:row>
      <xdr:rowOff>0</xdr:rowOff>
    </xdr:from>
    <xdr:to>
      <xdr:col>9</xdr:col>
      <xdr:colOff>209550</xdr:colOff>
      <xdr:row>2</xdr:row>
      <xdr:rowOff>164005</xdr:rowOff>
    </xdr:to>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62800" y="0"/>
          <a:ext cx="1082040" cy="567865"/>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lfl.bayern.de/mam/cms07/iab/dateien/vertrag_zus%C3%A4tzliche_ausbringfl%C3%A4chen_lagerkapazit%C3%A4t_2019091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49.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sheetPr>
  <dimension ref="A1:DU240"/>
  <sheetViews>
    <sheetView showGridLines="0" tabSelected="1" zoomScaleNormal="100" workbookViewId="0">
      <selection activeCell="B5" sqref="B5"/>
    </sheetView>
  </sheetViews>
  <sheetFormatPr baseColWidth="10" defaultColWidth="11.44140625" defaultRowHeight="13.2" x14ac:dyDescent="0.25"/>
  <cols>
    <col min="1" max="1" width="14.6640625" style="4" customWidth="1"/>
    <col min="2" max="2" width="14" style="4" customWidth="1"/>
    <col min="3" max="3" width="12.88671875" style="4" customWidth="1"/>
    <col min="4" max="6" width="7.5546875" style="4" customWidth="1"/>
    <col min="7" max="8" width="6.109375" style="4" customWidth="1"/>
    <col min="9" max="10" width="9.6640625" style="4" customWidth="1"/>
    <col min="11" max="11" width="0.88671875" style="4" customWidth="1"/>
    <col min="12" max="12" width="4.88671875" style="143" hidden="1" customWidth="1"/>
    <col min="13" max="13" width="12.44140625" style="233" hidden="1" customWidth="1"/>
    <col min="14" max="14" width="8.88671875" style="233" hidden="1" customWidth="1"/>
    <col min="15" max="15" width="2.6640625" style="233" hidden="1" customWidth="1"/>
    <col min="16" max="20" width="9.44140625" style="233" hidden="1" customWidth="1"/>
    <col min="21" max="21" width="8.109375" style="233" hidden="1" customWidth="1"/>
    <col min="22" max="23" width="12.33203125" style="233" hidden="1" customWidth="1"/>
    <col min="24" max="25" width="6.109375" style="233" hidden="1" customWidth="1"/>
    <col min="26" max="26" width="7.109375" style="233" hidden="1" customWidth="1"/>
    <col min="27" max="27" width="6.109375" style="233" hidden="1" customWidth="1"/>
    <col min="28" max="28" width="7.109375" style="233" hidden="1" customWidth="1"/>
    <col min="29" max="29" width="6.109375" style="233" hidden="1" customWidth="1"/>
    <col min="30" max="30" width="6.33203125" style="233" hidden="1" customWidth="1"/>
    <col min="31" max="31" width="7.33203125" style="233" hidden="1" customWidth="1"/>
    <col min="32" max="32" width="6.33203125" style="233" hidden="1" customWidth="1"/>
    <col min="33" max="34" width="7" style="233" hidden="1" customWidth="1"/>
    <col min="35" max="38" width="6.33203125" style="233" hidden="1" customWidth="1"/>
    <col min="39" max="39" width="10.33203125" style="233" hidden="1" customWidth="1"/>
    <col min="40" max="40" width="5.6640625" style="233" hidden="1" customWidth="1"/>
    <col min="41" max="41" width="7.33203125" style="233" hidden="1" customWidth="1"/>
    <col min="42" max="42" width="12.88671875" style="233" hidden="1" customWidth="1"/>
    <col min="43" max="44" width="13.44140625" style="233" hidden="1" customWidth="1"/>
    <col min="45" max="45" width="6.33203125" style="233" hidden="1" customWidth="1"/>
    <col min="46" max="47" width="9.88671875" style="233" hidden="1" customWidth="1"/>
    <col min="48" max="50" width="5.6640625" style="233" hidden="1" customWidth="1"/>
    <col min="51" max="51" width="7" style="233" hidden="1" customWidth="1"/>
    <col min="52" max="61" width="5.6640625" style="233" hidden="1" customWidth="1"/>
    <col min="62" max="62" width="11" style="233" hidden="1" customWidth="1"/>
    <col min="63" max="69" width="11.88671875" style="233" hidden="1" customWidth="1"/>
    <col min="70" max="73" width="11.88671875" style="234" hidden="1" customWidth="1"/>
    <col min="74" max="74" width="11.88671875" style="233" hidden="1" customWidth="1"/>
    <col min="75" max="75" width="12.44140625" style="233" hidden="1" customWidth="1"/>
    <col min="76" max="82" width="11.88671875" style="233" hidden="1" customWidth="1"/>
    <col min="83" max="95" width="11.88671875" style="143" hidden="1" customWidth="1"/>
    <col min="96" max="119" width="11.44140625" style="143" hidden="1" customWidth="1"/>
    <col min="120" max="120" width="10.109375" style="143" hidden="1" customWidth="1"/>
    <col min="121" max="125" width="11.44140625" style="143" hidden="1" customWidth="1"/>
    <col min="126" max="139" width="11.44140625" style="143" customWidth="1"/>
    <col min="140" max="16384" width="11.44140625" style="143"/>
  </cols>
  <sheetData>
    <row r="1" spans="1:93" ht="20.25" customHeight="1" x14ac:dyDescent="0.25">
      <c r="A1" s="1357" t="s">
        <v>527</v>
      </c>
      <c r="B1" s="1357"/>
      <c r="C1" s="1357"/>
      <c r="D1" s="1357"/>
      <c r="E1" s="1357"/>
      <c r="F1" s="1357"/>
      <c r="G1" s="1357"/>
      <c r="H1" s="1357"/>
      <c r="I1" s="3"/>
      <c r="J1" s="2"/>
      <c r="BR1" s="233"/>
      <c r="BS1" s="233"/>
      <c r="BT1" s="233"/>
      <c r="BU1" s="233"/>
      <c r="BV1" s="234"/>
      <c r="BW1" s="234"/>
      <c r="BX1" s="234"/>
      <c r="BY1" s="234"/>
      <c r="CE1" s="233"/>
      <c r="CF1" s="233"/>
      <c r="CG1" s="233"/>
      <c r="CH1" s="233"/>
      <c r="CI1" s="233"/>
      <c r="CJ1" s="233"/>
      <c r="CK1" s="233"/>
    </row>
    <row r="2" spans="1:93" ht="15.75" customHeight="1" x14ac:dyDescent="0.25">
      <c r="A2" s="1365" t="s">
        <v>569</v>
      </c>
      <c r="B2" s="1365"/>
      <c r="C2" s="1365"/>
      <c r="D2" s="1365"/>
      <c r="E2" s="1365"/>
      <c r="F2" s="1365"/>
      <c r="G2" s="1365"/>
      <c r="H2" s="1365"/>
      <c r="I2" s="5"/>
      <c r="J2" s="2"/>
      <c r="BR2" s="233"/>
      <c r="BS2" s="233"/>
      <c r="BT2" s="233"/>
      <c r="BU2" s="233"/>
      <c r="BV2" s="234"/>
      <c r="BW2" s="234"/>
      <c r="BX2" s="234"/>
      <c r="BY2" s="234"/>
      <c r="CE2" s="233"/>
      <c r="CF2" s="233"/>
      <c r="CG2" s="233"/>
      <c r="CH2" s="233"/>
      <c r="CI2" s="233"/>
      <c r="CJ2" s="233"/>
      <c r="CK2" s="233"/>
    </row>
    <row r="3" spans="1:93" ht="15" customHeight="1" x14ac:dyDescent="0.25">
      <c r="A3" s="1364" t="s">
        <v>355</v>
      </c>
      <c r="B3" s="1364"/>
      <c r="C3" s="1364"/>
      <c r="D3" s="1364"/>
      <c r="E3" s="1364"/>
      <c r="F3" s="1364"/>
      <c r="G3" s="1364"/>
      <c r="H3" s="194"/>
      <c r="I3" s="194"/>
      <c r="J3" s="2"/>
      <c r="BR3" s="233"/>
      <c r="BS3" s="233"/>
      <c r="BT3" s="233"/>
      <c r="BU3" s="233"/>
      <c r="BV3" s="234"/>
      <c r="BW3" s="234"/>
      <c r="BX3" s="234"/>
      <c r="BY3" s="234"/>
      <c r="CE3" s="233"/>
      <c r="CF3" s="233"/>
      <c r="CG3" s="233"/>
      <c r="CH3" s="233"/>
      <c r="CI3" s="233"/>
      <c r="CJ3" s="233"/>
      <c r="CK3" s="233"/>
    </row>
    <row r="4" spans="1:93" x14ac:dyDescent="0.25">
      <c r="A4" s="2"/>
      <c r="B4" s="2"/>
      <c r="C4" s="2"/>
      <c r="D4" s="2"/>
      <c r="E4" s="2"/>
      <c r="G4" s="2"/>
      <c r="H4" s="2"/>
      <c r="I4" s="6"/>
      <c r="J4" s="2"/>
      <c r="M4" s="233" t="s">
        <v>556</v>
      </c>
      <c r="P4" s="233" t="s">
        <v>463</v>
      </c>
      <c r="BR4" s="233"/>
      <c r="BS4" s="233"/>
      <c r="BT4" s="233"/>
      <c r="BU4" s="233"/>
      <c r="BV4" s="234"/>
      <c r="BW4" s="234"/>
      <c r="BX4" s="234"/>
      <c r="BY4" s="234"/>
      <c r="CE4" s="233"/>
      <c r="CF4" s="233"/>
      <c r="CG4" s="233"/>
      <c r="CH4" s="233"/>
      <c r="CI4" s="233"/>
      <c r="CJ4" s="233"/>
      <c r="CK4" s="233"/>
    </row>
    <row r="5" spans="1:93" ht="21" customHeight="1" x14ac:dyDescent="0.25">
      <c r="A5" s="7" t="s">
        <v>12</v>
      </c>
      <c r="B5" s="1088"/>
      <c r="C5" s="8" t="s">
        <v>17</v>
      </c>
      <c r="D5" s="119">
        <v>2022</v>
      </c>
      <c r="E5" s="9"/>
      <c r="F5" s="1089"/>
      <c r="G5" s="11" t="s">
        <v>359</v>
      </c>
      <c r="H5" s="2"/>
      <c r="I5" s="2"/>
      <c r="M5" s="10">
        <f>IF(F5=0,0.000001,F5)</f>
        <v>9.9999999999999995E-7</v>
      </c>
      <c r="P5" s="364">
        <f>+B5</f>
        <v>0</v>
      </c>
      <c r="Q5" s="233" t="str">
        <f>LEFT(P5,3)</f>
        <v>0</v>
      </c>
      <c r="R5" s="233">
        <f>IF(Q5=Niederschläge!A2:A97,Niederschläge!D2:D97,0)</f>
        <v>0</v>
      </c>
      <c r="BR5" s="233"/>
      <c r="BS5" s="233"/>
      <c r="BT5" s="233"/>
      <c r="BU5" s="233"/>
      <c r="BV5" s="234"/>
      <c r="BW5" s="234"/>
      <c r="BX5" s="234"/>
      <c r="BY5" s="234"/>
      <c r="CE5" s="233"/>
      <c r="CF5" s="233"/>
      <c r="CG5" s="233"/>
      <c r="CH5" s="233"/>
      <c r="CI5" s="233"/>
      <c r="CJ5" s="233"/>
      <c r="CK5" s="233"/>
    </row>
    <row r="6" spans="1:93" ht="21" customHeight="1" x14ac:dyDescent="0.25">
      <c r="A6" s="7" t="s">
        <v>13</v>
      </c>
      <c r="B6" s="1366"/>
      <c r="C6" s="1367"/>
      <c r="D6" s="1367"/>
      <c r="E6" s="127"/>
      <c r="F6" s="1089"/>
      <c r="G6" s="11" t="s">
        <v>22</v>
      </c>
      <c r="H6" s="2"/>
      <c r="I6" s="2"/>
      <c r="BR6" s="233"/>
      <c r="BS6" s="233"/>
      <c r="BT6" s="233"/>
      <c r="BU6" s="233"/>
      <c r="BV6" s="234"/>
      <c r="BW6" s="234"/>
      <c r="BX6" s="234"/>
      <c r="BY6" s="234"/>
      <c r="CE6" s="233"/>
      <c r="CF6" s="233"/>
      <c r="CG6" s="233"/>
      <c r="CH6" s="233"/>
      <c r="CI6" s="233"/>
      <c r="CJ6" s="233"/>
      <c r="CK6" s="233"/>
    </row>
    <row r="7" spans="1:93" ht="21" customHeight="1" x14ac:dyDescent="0.25">
      <c r="A7" s="7" t="s">
        <v>14</v>
      </c>
      <c r="B7" s="1358"/>
      <c r="C7" s="1359"/>
      <c r="D7" s="1359"/>
      <c r="E7" s="127"/>
      <c r="F7" s="2"/>
      <c r="G7" s="1089"/>
      <c r="H7" s="535" t="s">
        <v>536</v>
      </c>
      <c r="I7" s="198"/>
      <c r="BR7" s="233"/>
      <c r="BS7" s="233"/>
      <c r="BT7" s="233"/>
      <c r="BU7" s="233"/>
      <c r="BV7" s="234"/>
      <c r="BW7" s="234"/>
      <c r="BX7" s="234"/>
      <c r="BY7" s="234"/>
      <c r="CE7" s="233"/>
      <c r="CF7" s="233"/>
      <c r="CG7" s="233"/>
      <c r="CH7" s="233"/>
      <c r="CI7" s="233"/>
      <c r="CJ7" s="233"/>
      <c r="CK7" s="233"/>
    </row>
    <row r="8" spans="1:93" ht="21" customHeight="1" x14ac:dyDescent="0.25">
      <c r="A8" s="7" t="s">
        <v>15</v>
      </c>
      <c r="B8" s="1358"/>
      <c r="C8" s="1359"/>
      <c r="D8" s="1359"/>
      <c r="E8" s="127"/>
      <c r="G8" s="1089"/>
      <c r="H8" s="435" t="s">
        <v>533</v>
      </c>
      <c r="I8" s="2"/>
      <c r="M8" s="233" t="s">
        <v>557</v>
      </c>
      <c r="BR8" s="233"/>
      <c r="BS8" s="233"/>
      <c r="BT8" s="233"/>
      <c r="BU8" s="233"/>
      <c r="BV8" s="234"/>
      <c r="BW8" s="234"/>
      <c r="BX8" s="234"/>
      <c r="BY8" s="234"/>
      <c r="CE8" s="233"/>
      <c r="CF8" s="233"/>
      <c r="CG8" s="233"/>
      <c r="CH8" s="233"/>
      <c r="CI8" s="233"/>
      <c r="CJ8" s="233"/>
      <c r="CK8" s="233"/>
    </row>
    <row r="9" spans="1:93" ht="21" customHeight="1" x14ac:dyDescent="0.25">
      <c r="A9" s="7" t="s">
        <v>16</v>
      </c>
      <c r="B9" s="1358"/>
      <c r="C9" s="1359"/>
      <c r="D9" s="1359"/>
      <c r="E9" s="127"/>
      <c r="F9" s="1089"/>
      <c r="G9" s="11" t="s">
        <v>23</v>
      </c>
      <c r="H9" s="2"/>
      <c r="M9" s="10">
        <f>IF(AND(F9=0,M5=0.000001,F6=0),0.000001,F9)</f>
        <v>9.9999999999999995E-7</v>
      </c>
      <c r="BR9" s="233"/>
      <c r="BS9" s="233"/>
      <c r="BT9" s="233"/>
      <c r="BU9" s="233"/>
      <c r="BV9" s="234"/>
      <c r="BW9" s="234"/>
      <c r="BX9" s="234"/>
      <c r="BY9" s="234"/>
      <c r="CE9" s="233"/>
      <c r="CF9" s="233"/>
      <c r="CG9" s="233"/>
      <c r="CH9" s="233"/>
      <c r="CI9" s="233"/>
      <c r="CJ9" s="233"/>
      <c r="CK9" s="233"/>
    </row>
    <row r="10" spans="1:93" ht="21" customHeight="1" x14ac:dyDescent="0.25">
      <c r="A10" s="199"/>
      <c r="B10" s="221" t="str">
        <f>IF(F6+M9&lt;&gt;M5,"Flächenangaben nicht plausibel",IF(G8+G7&gt;F6,"Flächenangaben nicht plausibel",IF(G11+G10&gt;M9,"Flächenangaben nicht plausibel"," ")))</f>
        <v xml:space="preserve"> </v>
      </c>
      <c r="C10" s="220"/>
      <c r="D10" s="220"/>
      <c r="E10" s="220"/>
      <c r="G10" s="1089"/>
      <c r="H10" s="535" t="s">
        <v>536</v>
      </c>
      <c r="I10" s="198"/>
      <c r="R10" s="233" t="s">
        <v>201</v>
      </c>
      <c r="BR10" s="233"/>
      <c r="BS10" s="233"/>
      <c r="BT10" s="233"/>
      <c r="BU10" s="233"/>
      <c r="BV10" s="234"/>
      <c r="BW10" s="234"/>
      <c r="BX10" s="234"/>
      <c r="BY10" s="234"/>
      <c r="CE10" s="233"/>
      <c r="CF10" s="233"/>
      <c r="CG10" s="233"/>
      <c r="CH10" s="233"/>
      <c r="CI10" s="233"/>
      <c r="CJ10" s="233"/>
      <c r="CK10" s="233"/>
    </row>
    <row r="11" spans="1:93" ht="21" customHeight="1" thickBot="1" x14ac:dyDescent="0.3">
      <c r="A11" s="199"/>
      <c r="B11" s="452" t="str">
        <f>IF(BH39=2,IF(B12&lt;3000,"Milchleistung nicht plausibel"," ")," ")</f>
        <v xml:space="preserve"> </v>
      </c>
      <c r="C11" s="220"/>
      <c r="D11" s="220"/>
      <c r="E11" s="220"/>
      <c r="G11" s="1089"/>
      <c r="H11" s="435" t="s">
        <v>534</v>
      </c>
      <c r="I11" s="2"/>
      <c r="J11" s="28"/>
      <c r="BR11" s="233"/>
      <c r="BS11" s="233"/>
      <c r="BT11" s="233"/>
      <c r="BU11" s="233"/>
      <c r="BV11" s="234"/>
      <c r="BW11" s="234"/>
      <c r="BX11" s="234"/>
      <c r="BY11" s="234"/>
      <c r="CE11" s="233"/>
      <c r="CF11" s="233"/>
      <c r="CG11" s="233"/>
      <c r="CH11" s="233"/>
      <c r="CI11" s="233"/>
      <c r="CJ11" s="233"/>
      <c r="CK11" s="233"/>
    </row>
    <row r="12" spans="1:93" ht="21" customHeight="1" thickBot="1" x14ac:dyDescent="0.3">
      <c r="A12" s="7" t="s">
        <v>18</v>
      </c>
      <c r="B12" s="1090"/>
      <c r="C12" s="143" t="s">
        <v>19</v>
      </c>
      <c r="D12" s="2"/>
      <c r="E12" s="199"/>
      <c r="F12" s="1089"/>
      <c r="G12" s="1372" t="s">
        <v>562</v>
      </c>
      <c r="H12" s="1373"/>
      <c r="I12" s="1373"/>
      <c r="J12" s="1373"/>
      <c r="N12" s="235" t="s">
        <v>311</v>
      </c>
      <c r="T12" s="236">
        <f>IF(W12=1,0,100)</f>
        <v>0</v>
      </c>
      <c r="W12" s="233">
        <v>1</v>
      </c>
      <c r="X12" s="237" t="s">
        <v>336</v>
      </c>
      <c r="BD12" s="238">
        <f>IF(M5=0,0,+(M9-G11)/(M5-G8-G11))</f>
        <v>1</v>
      </c>
      <c r="BE12" s="238"/>
      <c r="BF12" s="238"/>
      <c r="BG12" s="238"/>
      <c r="BH12" s="233" t="s">
        <v>26</v>
      </c>
      <c r="BR12" s="233"/>
      <c r="BS12" s="233"/>
      <c r="BT12" s="233"/>
      <c r="BU12" s="233"/>
      <c r="BV12" s="234"/>
      <c r="BW12" s="234"/>
      <c r="BX12" s="234"/>
      <c r="BY12" s="234"/>
      <c r="CE12" s="233"/>
      <c r="CF12" s="233"/>
      <c r="CG12" s="233"/>
      <c r="CH12" s="233"/>
      <c r="CI12" s="233"/>
      <c r="CJ12" s="233"/>
      <c r="CK12" s="233"/>
    </row>
    <row r="13" spans="1:93" ht="18.75" customHeight="1" x14ac:dyDescent="0.25">
      <c r="A13" s="7" t="s">
        <v>24</v>
      </c>
      <c r="B13" s="1091"/>
      <c r="C13" s="504">
        <f>IF(B13&gt;0,B13,+Niederschläge!L98)</f>
        <v>0</v>
      </c>
      <c r="D13" s="390" t="s">
        <v>535</v>
      </c>
      <c r="E13" s="389"/>
      <c r="F13" s="18"/>
      <c r="G13" s="143"/>
      <c r="H13" s="1371" t="s">
        <v>490</v>
      </c>
      <c r="I13" s="1371"/>
      <c r="J13" s="1371"/>
      <c r="X13" s="237" t="s">
        <v>335</v>
      </c>
      <c r="BR13" s="233"/>
      <c r="BS13" s="233"/>
      <c r="BT13" s="233"/>
      <c r="BU13" s="233"/>
      <c r="BV13" s="234"/>
      <c r="BW13" s="234"/>
      <c r="BX13" s="234"/>
      <c r="BY13" s="234"/>
      <c r="CE13" s="233"/>
      <c r="CF13" s="233"/>
      <c r="CG13" s="233"/>
      <c r="CH13" s="233"/>
      <c r="CI13" s="233"/>
      <c r="CJ13" s="233"/>
      <c r="CK13" s="233"/>
    </row>
    <row r="14" spans="1:93" ht="4.5" customHeight="1" x14ac:dyDescent="0.25">
      <c r="A14" s="28"/>
      <c r="B14" s="159"/>
      <c r="E14" s="2"/>
      <c r="F14" s="2"/>
      <c r="G14" s="2"/>
      <c r="H14" s="2"/>
      <c r="I14" s="2"/>
      <c r="J14" s="2"/>
      <c r="BR14" s="233"/>
      <c r="BS14" s="233"/>
      <c r="BT14" s="233"/>
      <c r="BU14" s="233"/>
      <c r="BV14" s="234"/>
      <c r="BW14" s="234"/>
      <c r="BX14" s="234"/>
      <c r="BY14" s="234"/>
      <c r="CE14" s="233"/>
      <c r="CF14" s="233"/>
      <c r="CG14" s="233"/>
      <c r="CH14" s="233"/>
      <c r="CI14" s="233"/>
      <c r="CJ14" s="233"/>
      <c r="CK14" s="233"/>
    </row>
    <row r="15" spans="1:93" ht="12.75" customHeight="1" thickBot="1" x14ac:dyDescent="0.3">
      <c r="A15" s="224" t="str">
        <f>IF((G40+G41+G42)&gt;1,IF(C13&lt;10,"Bitte Niederschlag oder Betriebsnummer eingeben"," ")," ")</f>
        <v xml:space="preserve"> </v>
      </c>
      <c r="C15" s="7"/>
      <c r="D15" s="2"/>
      <c r="E15" s="2"/>
      <c r="G15" s="12"/>
      <c r="H15" s="2"/>
      <c r="I15" s="2"/>
      <c r="J15" s="2"/>
      <c r="P15" s="234"/>
      <c r="Q15" s="234"/>
      <c r="R15" s="234"/>
      <c r="S15" s="234"/>
      <c r="AI15" s="239"/>
      <c r="AJ15" s="239"/>
      <c r="AK15" s="239"/>
      <c r="AL15" s="239"/>
      <c r="BR15" s="233"/>
      <c r="BS15" s="233"/>
      <c r="BT15" s="233"/>
      <c r="BU15" s="233"/>
      <c r="BV15" s="234"/>
      <c r="BW15" s="234"/>
      <c r="BX15" s="234"/>
      <c r="BY15" s="234"/>
      <c r="CE15" s="233"/>
      <c r="CF15" s="233"/>
      <c r="CG15" s="233"/>
      <c r="CH15" s="233"/>
      <c r="CI15" s="233"/>
      <c r="CJ15" s="233"/>
      <c r="CK15" s="233"/>
    </row>
    <row r="16" spans="1:93" s="144" customFormat="1" ht="14.4" thickBot="1" x14ac:dyDescent="0.3">
      <c r="A16" s="187" t="s">
        <v>332</v>
      </c>
      <c r="B16" s="188"/>
      <c r="C16" s="188"/>
      <c r="D16" s="188"/>
      <c r="E16" s="188"/>
      <c r="F16" s="188"/>
      <c r="G16" s="188"/>
      <c r="H16" s="188"/>
      <c r="I16" s="188"/>
      <c r="J16" s="189"/>
      <c r="K16" s="14"/>
      <c r="M16" s="240"/>
      <c r="N16" s="240"/>
      <c r="O16" s="240"/>
      <c r="P16" s="240"/>
      <c r="Q16" s="240"/>
      <c r="R16" s="240"/>
      <c r="S16" s="240"/>
      <c r="T16" s="240"/>
      <c r="U16" s="240"/>
      <c r="V16" s="240"/>
      <c r="W16" s="246" t="s">
        <v>248</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1"/>
      <c r="CA16" s="241"/>
      <c r="CB16" s="241"/>
      <c r="CC16" s="241"/>
      <c r="CD16" s="241"/>
      <c r="CE16" s="241"/>
      <c r="CF16" s="241"/>
      <c r="CG16" s="241"/>
      <c r="CH16" s="241"/>
      <c r="CI16" s="241"/>
      <c r="CJ16" s="240"/>
      <c r="CK16" s="240"/>
      <c r="CL16" s="240"/>
      <c r="CM16" s="240"/>
      <c r="CN16" s="240"/>
      <c r="CO16" s="240"/>
    </row>
    <row r="17" spans="1:123" s="144" customFormat="1" ht="0.75" customHeight="1" x14ac:dyDescent="0.25">
      <c r="A17" s="1"/>
      <c r="B17" s="13"/>
      <c r="C17" s="13"/>
      <c r="D17" s="13"/>
      <c r="E17" s="13"/>
      <c r="F17" s="13"/>
      <c r="G17" s="13"/>
      <c r="H17" s="13"/>
      <c r="I17" s="13"/>
      <c r="J17" s="13"/>
      <c r="K17" s="14"/>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1"/>
      <c r="CA17" s="241"/>
      <c r="CB17" s="241"/>
      <c r="CC17" s="241"/>
      <c r="CD17" s="241"/>
      <c r="CE17" s="241"/>
      <c r="CF17" s="241"/>
      <c r="CG17" s="241"/>
      <c r="CH17" s="241"/>
      <c r="CI17" s="241"/>
      <c r="CJ17" s="240"/>
      <c r="CK17" s="240"/>
      <c r="CL17" s="240"/>
      <c r="CM17" s="240"/>
      <c r="CN17" s="240"/>
      <c r="CO17" s="240"/>
    </row>
    <row r="18" spans="1:123" s="145" customFormat="1" ht="6.75" customHeight="1" thickBot="1" x14ac:dyDescent="0.3">
      <c r="A18" s="15"/>
      <c r="B18" s="1"/>
      <c r="C18" s="1"/>
      <c r="D18" s="1"/>
      <c r="E18" s="1"/>
      <c r="F18" s="1"/>
      <c r="G18" s="1"/>
      <c r="H18" s="1"/>
      <c r="I18" s="1"/>
      <c r="J18" s="1"/>
      <c r="K18" s="15"/>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3"/>
      <c r="CA18" s="243"/>
      <c r="CB18" s="243"/>
      <c r="CC18" s="243"/>
      <c r="CD18" s="243"/>
      <c r="CE18" s="243"/>
      <c r="CF18" s="243"/>
      <c r="CG18" s="243"/>
      <c r="CH18" s="243"/>
      <c r="CI18" s="243"/>
      <c r="CJ18" s="242"/>
      <c r="CK18" s="242"/>
      <c r="CL18" s="242"/>
      <c r="CM18" s="242"/>
      <c r="CN18" s="242"/>
      <c r="CO18" s="242"/>
    </row>
    <row r="19" spans="1:123" x14ac:dyDescent="0.25">
      <c r="A19" s="1362" t="s">
        <v>34</v>
      </c>
      <c r="B19" s="1370"/>
      <c r="C19" s="1363"/>
      <c r="D19" s="1370" t="s">
        <v>270</v>
      </c>
      <c r="E19" s="1370"/>
      <c r="F19" s="1370"/>
      <c r="G19" s="1370"/>
      <c r="H19" s="1370"/>
      <c r="I19" s="1362" t="s">
        <v>46</v>
      </c>
      <c r="J19" s="1363"/>
      <c r="K19" s="16"/>
      <c r="L19" s="18"/>
      <c r="M19" s="244"/>
      <c r="N19" s="245" t="s">
        <v>241</v>
      </c>
      <c r="O19" s="244"/>
      <c r="P19" s="1389" t="s">
        <v>472</v>
      </c>
      <c r="Q19" s="1389"/>
      <c r="R19" s="1389"/>
      <c r="S19" s="1389"/>
      <c r="T19" s="244"/>
      <c r="U19" s="244"/>
      <c r="V19" s="244"/>
      <c r="W19" s="1377" t="s">
        <v>253</v>
      </c>
      <c r="X19" s="1378"/>
      <c r="Y19" s="1378"/>
      <c r="Z19" s="1378"/>
      <c r="AA19" s="1378"/>
      <c r="AB19" s="1378"/>
      <c r="AC19" s="1378"/>
      <c r="AD19" s="1379"/>
      <c r="AE19" s="247"/>
      <c r="AF19" s="247"/>
      <c r="AG19" s="247"/>
      <c r="AH19" s="247"/>
      <c r="AI19" s="247"/>
      <c r="AJ19" s="247"/>
      <c r="AK19" s="244"/>
      <c r="AL19" s="244"/>
      <c r="AM19" s="244"/>
      <c r="AN19" s="244"/>
      <c r="AO19" s="244"/>
      <c r="AP19" s="244"/>
      <c r="AQ19" s="244"/>
      <c r="AR19" s="244"/>
      <c r="AS19" s="244"/>
      <c r="AT19" s="244"/>
      <c r="AU19" s="244"/>
      <c r="AV19" s="244"/>
      <c r="AW19" s="244"/>
      <c r="AX19" s="244"/>
      <c r="AY19" s="244"/>
      <c r="AZ19" s="244"/>
      <c r="BB19" s="244"/>
      <c r="BC19" s="244"/>
      <c r="BD19" s="244"/>
      <c r="BE19" s="244"/>
      <c r="BF19" s="244"/>
      <c r="BG19" s="394"/>
      <c r="BH19" s="244"/>
      <c r="BI19" s="244"/>
      <c r="BJ19" s="244"/>
      <c r="BK19" s="244"/>
      <c r="BL19" s="244"/>
      <c r="BM19" s="244"/>
      <c r="BN19" s="244"/>
      <c r="BO19" s="244"/>
      <c r="BP19" s="244"/>
      <c r="BQ19" s="244"/>
      <c r="BR19" s="244"/>
      <c r="BS19" s="244"/>
      <c r="BT19" s="244"/>
      <c r="BU19" s="244"/>
      <c r="BV19" s="244"/>
      <c r="BW19" s="244"/>
      <c r="BX19" s="244"/>
      <c r="BY19" s="244"/>
      <c r="BZ19" s="244"/>
      <c r="CA19" s="427"/>
      <c r="CB19" s="427"/>
      <c r="CC19" s="427"/>
      <c r="CD19" s="244"/>
      <c r="CE19" s="244"/>
      <c r="CF19" s="244"/>
      <c r="CG19" s="427"/>
      <c r="CH19" s="427"/>
      <c r="CI19" s="427"/>
      <c r="CJ19" s="244"/>
      <c r="CK19" s="244"/>
      <c r="CL19" s="244"/>
      <c r="CM19" s="244"/>
      <c r="CN19" s="244"/>
      <c r="CO19" s="244"/>
      <c r="CP19" s="244"/>
      <c r="CQ19" s="244"/>
      <c r="CR19" s="244"/>
      <c r="CS19" s="244"/>
      <c r="CT19" s="18"/>
      <c r="CU19" s="18"/>
      <c r="CV19" s="18"/>
      <c r="CW19" s="18"/>
      <c r="CX19" s="18"/>
      <c r="CY19" s="18"/>
      <c r="CZ19" s="18"/>
      <c r="DA19" s="18"/>
    </row>
    <row r="20" spans="1:123" x14ac:dyDescent="0.25">
      <c r="A20" s="1398"/>
      <c r="B20" s="1368"/>
      <c r="C20" s="1361"/>
      <c r="D20" s="429" t="s">
        <v>0</v>
      </c>
      <c r="E20" s="1368" t="s">
        <v>49</v>
      </c>
      <c r="F20" s="1369"/>
      <c r="G20" s="1360" t="s">
        <v>37</v>
      </c>
      <c r="H20" s="1361"/>
      <c r="I20" s="167" t="s">
        <v>45</v>
      </c>
      <c r="J20" s="167" t="s">
        <v>43</v>
      </c>
      <c r="K20" s="16"/>
      <c r="L20" s="18"/>
      <c r="M20" s="244"/>
      <c r="N20" s="245" t="s">
        <v>272</v>
      </c>
      <c r="O20" s="244"/>
      <c r="P20" s="1385" t="s">
        <v>469</v>
      </c>
      <c r="Q20" s="1387"/>
      <c r="R20" s="1377" t="s">
        <v>470</v>
      </c>
      <c r="S20" s="1378"/>
      <c r="T20" s="1379"/>
      <c r="U20" s="370" t="s">
        <v>312</v>
      </c>
      <c r="V20" s="371"/>
      <c r="W20" s="1385" t="s">
        <v>469</v>
      </c>
      <c r="X20" s="1388"/>
      <c r="Y20" s="1388"/>
      <c r="Z20" s="1388"/>
      <c r="AA20" s="1388" t="s">
        <v>470</v>
      </c>
      <c r="AB20" s="1388"/>
      <c r="AC20" s="1388"/>
      <c r="AD20" s="1388"/>
      <c r="AE20" s="252" t="s">
        <v>0</v>
      </c>
      <c r="AF20" s="252" t="s">
        <v>8</v>
      </c>
      <c r="AG20" s="1375" t="s">
        <v>249</v>
      </c>
      <c r="AH20" s="1375"/>
      <c r="AI20" s="1375"/>
      <c r="AJ20" s="1375"/>
      <c r="AK20" s="1375"/>
      <c r="AL20" s="1376"/>
      <c r="AM20" s="252" t="s">
        <v>249</v>
      </c>
      <c r="AN20" s="1375" t="s">
        <v>240</v>
      </c>
      <c r="AO20" s="1375"/>
      <c r="AP20" s="1375"/>
      <c r="AQ20" s="1375"/>
      <c r="AR20" s="1375"/>
      <c r="AS20" s="1376"/>
      <c r="AT20" s="244"/>
      <c r="AU20" s="1395" t="s">
        <v>245</v>
      </c>
      <c r="AV20" s="1396"/>
      <c r="AW20" s="1396"/>
      <c r="AX20" s="1396"/>
      <c r="AY20" s="1396"/>
      <c r="AZ20" s="1397"/>
      <c r="BA20" s="249" t="s">
        <v>241</v>
      </c>
      <c r="BB20" s="251" t="s">
        <v>241</v>
      </c>
      <c r="BC20" s="249"/>
      <c r="BD20" s="250"/>
      <c r="BE20" s="251"/>
      <c r="BF20" s="254"/>
      <c r="BG20" s="398"/>
      <c r="BH20" s="255"/>
      <c r="BI20" s="255"/>
      <c r="BJ20" s="255"/>
      <c r="BK20" s="255"/>
      <c r="BL20" s="255"/>
      <c r="BM20" s="1393" t="s">
        <v>256</v>
      </c>
      <c r="BN20" s="1375"/>
      <c r="BO20" s="1376"/>
      <c r="BP20" s="244"/>
      <c r="BQ20" s="244"/>
      <c r="BR20" s="244"/>
      <c r="BS20" s="244"/>
      <c r="BT20" s="244"/>
      <c r="BU20" s="244"/>
      <c r="BV20" s="244"/>
      <c r="BW20" s="244"/>
      <c r="BX20" s="244"/>
      <c r="BY20" s="244"/>
      <c r="BZ20" s="244"/>
      <c r="CA20" s="427"/>
      <c r="CB20" s="427"/>
      <c r="CC20" s="427"/>
      <c r="CD20" s="244"/>
      <c r="CE20" s="244"/>
      <c r="CF20" s="244"/>
      <c r="CG20" s="427"/>
      <c r="CH20" s="427"/>
      <c r="CI20" s="427"/>
      <c r="CJ20" s="244"/>
      <c r="CK20" s="244"/>
      <c r="CL20" s="244"/>
      <c r="CM20" s="244"/>
      <c r="CN20" s="244"/>
      <c r="CO20" s="244"/>
      <c r="CP20" s="244"/>
      <c r="CQ20" s="244"/>
      <c r="CR20" s="244"/>
      <c r="CS20" s="244"/>
      <c r="CT20" s="18"/>
      <c r="CU20" s="18"/>
      <c r="CV20" s="18"/>
      <c r="CW20" s="18"/>
      <c r="CX20" s="383"/>
      <c r="CY20" s="383" t="s">
        <v>485</v>
      </c>
      <c r="CZ20" s="18"/>
      <c r="DA20" s="18"/>
      <c r="DB20" s="1391"/>
      <c r="DC20" s="1392"/>
      <c r="DD20" s="1178" t="s">
        <v>494</v>
      </c>
      <c r="DE20" s="1178"/>
      <c r="DF20" s="1178"/>
      <c r="DG20" s="1178"/>
      <c r="DP20" s="143" t="s">
        <v>653</v>
      </c>
      <c r="DS20" s="386" t="s">
        <v>7644</v>
      </c>
    </row>
    <row r="21" spans="1:123" x14ac:dyDescent="0.25">
      <c r="A21" s="1399" t="str">
        <f>IF(DS42=0,"","* Fütterungsverfahren muss belegt werden!")</f>
        <v/>
      </c>
      <c r="B21" s="1400"/>
      <c r="C21" s="1401"/>
      <c r="D21" s="436"/>
      <c r="E21" s="168"/>
      <c r="F21" s="169" t="s">
        <v>50</v>
      </c>
      <c r="G21" s="170" t="s">
        <v>48</v>
      </c>
      <c r="H21" s="171" t="s">
        <v>47</v>
      </c>
      <c r="I21" s="167" t="s">
        <v>8</v>
      </c>
      <c r="J21" s="167" t="s">
        <v>44</v>
      </c>
      <c r="K21" s="16"/>
      <c r="L21" s="18"/>
      <c r="M21" s="244"/>
      <c r="N21" s="244"/>
      <c r="O21" s="244"/>
      <c r="P21" s="244" t="s">
        <v>0</v>
      </c>
      <c r="Q21" s="244" t="s">
        <v>195</v>
      </c>
      <c r="R21" s="244" t="s">
        <v>0</v>
      </c>
      <c r="S21" s="244" t="s">
        <v>195</v>
      </c>
      <c r="T21" s="245" t="s">
        <v>195</v>
      </c>
      <c r="U21" s="245" t="s">
        <v>0</v>
      </c>
      <c r="V21" s="245" t="s">
        <v>10</v>
      </c>
      <c r="W21" s="256" t="s">
        <v>4</v>
      </c>
      <c r="X21" s="245" t="s">
        <v>4</v>
      </c>
      <c r="Y21" s="245" t="s">
        <v>250</v>
      </c>
      <c r="Z21" s="248" t="s">
        <v>5</v>
      </c>
      <c r="AA21" s="256" t="s">
        <v>4</v>
      </c>
      <c r="AB21" s="245" t="s">
        <v>4</v>
      </c>
      <c r="AC21" s="245" t="s">
        <v>250</v>
      </c>
      <c r="AD21" s="248" t="s">
        <v>5</v>
      </c>
      <c r="AE21" s="257" t="s">
        <v>320</v>
      </c>
      <c r="AF21" s="257" t="s">
        <v>320</v>
      </c>
      <c r="AG21" s="1389" t="s">
        <v>469</v>
      </c>
      <c r="AH21" s="1389"/>
      <c r="AI21" s="1389"/>
      <c r="AJ21" s="1388" t="s">
        <v>470</v>
      </c>
      <c r="AK21" s="1388"/>
      <c r="AL21" s="1388"/>
      <c r="AM21" s="258" t="s">
        <v>320</v>
      </c>
      <c r="AN21" s="1388" t="s">
        <v>469</v>
      </c>
      <c r="AO21" s="1388"/>
      <c r="AP21" s="1388"/>
      <c r="AQ21" s="1388" t="s">
        <v>470</v>
      </c>
      <c r="AR21" s="1388"/>
      <c r="AS21" s="1388"/>
      <c r="AT21" s="244"/>
      <c r="AU21" s="1385" t="s">
        <v>469</v>
      </c>
      <c r="AV21" s="1386"/>
      <c r="AW21" s="1387"/>
      <c r="AX21" s="1377" t="s">
        <v>470</v>
      </c>
      <c r="AY21" s="1378"/>
      <c r="AZ21" s="1379"/>
      <c r="BA21" s="256" t="s">
        <v>8</v>
      </c>
      <c r="BB21" s="248" t="s">
        <v>10</v>
      </c>
      <c r="BC21" s="1377" t="s">
        <v>252</v>
      </c>
      <c r="BD21" s="1378"/>
      <c r="BE21" s="1379"/>
      <c r="BF21" s="259"/>
      <c r="BG21" s="259" t="s">
        <v>251</v>
      </c>
      <c r="BH21" s="260"/>
      <c r="BI21" s="260"/>
      <c r="BJ21" s="259" t="s">
        <v>196</v>
      </c>
      <c r="BK21" s="259" t="s">
        <v>196</v>
      </c>
      <c r="BL21" s="259" t="s">
        <v>196</v>
      </c>
      <c r="BM21" s="261"/>
      <c r="BN21" s="262"/>
      <c r="BO21" s="263"/>
      <c r="BP21" s="249" t="s">
        <v>0</v>
      </c>
      <c r="BQ21" s="251" t="s">
        <v>8</v>
      </c>
      <c r="BR21" s="1393" t="s">
        <v>10</v>
      </c>
      <c r="BS21" s="1375"/>
      <c r="BT21" s="1376"/>
      <c r="BU21" s="1393" t="s">
        <v>242</v>
      </c>
      <c r="BV21" s="1376"/>
      <c r="BW21" s="254" t="s">
        <v>271</v>
      </c>
      <c r="BX21" s="1393" t="s">
        <v>303</v>
      </c>
      <c r="BY21" s="1375"/>
      <c r="BZ21" s="1376"/>
      <c r="CA21" s="1374" t="s">
        <v>528</v>
      </c>
      <c r="CB21" s="1375"/>
      <c r="CC21" s="1376"/>
      <c r="CD21" s="1393" t="s">
        <v>300</v>
      </c>
      <c r="CE21" s="1375"/>
      <c r="CF21" s="1376"/>
      <c r="CG21" s="1374" t="s">
        <v>529</v>
      </c>
      <c r="CH21" s="1375"/>
      <c r="CI21" s="1376"/>
      <c r="CJ21" s="1393" t="s">
        <v>314</v>
      </c>
      <c r="CK21" s="1375"/>
      <c r="CL21" s="1375" t="s">
        <v>318</v>
      </c>
      <c r="CM21" s="1376"/>
      <c r="CN21" s="264" t="s">
        <v>321</v>
      </c>
      <c r="CO21" s="253" t="s">
        <v>323</v>
      </c>
      <c r="CP21" s="244"/>
      <c r="CQ21" s="244"/>
      <c r="CR21" s="244"/>
      <c r="CS21" s="245" t="s">
        <v>465</v>
      </c>
      <c r="CT21" s="18"/>
      <c r="CU21" s="18"/>
      <c r="CV21" s="1394" t="s">
        <v>467</v>
      </c>
      <c r="CW21" s="1394"/>
      <c r="CX21" s="18"/>
      <c r="CY21" s="487" t="s">
        <v>567</v>
      </c>
      <c r="CZ21" s="18"/>
      <c r="DA21" s="18"/>
      <c r="DB21" s="146"/>
      <c r="DC21" s="147"/>
      <c r="DD21" s="386" t="s">
        <v>258</v>
      </c>
      <c r="DE21" s="386" t="s">
        <v>495</v>
      </c>
      <c r="DF21" s="1178" t="s">
        <v>258</v>
      </c>
      <c r="DG21" s="1178"/>
      <c r="DL21" s="143" t="s">
        <v>523</v>
      </c>
      <c r="DN21" s="386" t="s">
        <v>532</v>
      </c>
      <c r="DP21" s="143" t="s">
        <v>654</v>
      </c>
      <c r="DS21" s="386" t="s">
        <v>7645</v>
      </c>
    </row>
    <row r="22" spans="1:123" ht="13.8" thickBot="1" x14ac:dyDescent="0.3">
      <c r="A22" s="1402"/>
      <c r="B22" s="1403"/>
      <c r="C22" s="1404"/>
      <c r="D22" s="437" t="s">
        <v>11</v>
      </c>
      <c r="E22" s="172" t="s">
        <v>11</v>
      </c>
      <c r="F22" s="173" t="s">
        <v>36</v>
      </c>
      <c r="G22" s="174" t="s">
        <v>38</v>
      </c>
      <c r="H22" s="175" t="s">
        <v>38</v>
      </c>
      <c r="I22" s="176" t="s">
        <v>246</v>
      </c>
      <c r="J22" s="176" t="s">
        <v>247</v>
      </c>
      <c r="K22" s="16"/>
      <c r="L22" s="18"/>
      <c r="M22" s="244"/>
      <c r="N22" s="245" t="s">
        <v>246</v>
      </c>
      <c r="O22" s="244"/>
      <c r="P22" s="244"/>
      <c r="Q22" s="244"/>
      <c r="R22" s="244"/>
      <c r="S22" s="244"/>
      <c r="T22" s="245" t="s">
        <v>1</v>
      </c>
      <c r="U22" s="245" t="s">
        <v>11</v>
      </c>
      <c r="V22" s="245" t="s">
        <v>11</v>
      </c>
      <c r="W22" s="265"/>
      <c r="X22" s="245" t="s">
        <v>208</v>
      </c>
      <c r="Y22" s="244"/>
      <c r="Z22" s="266"/>
      <c r="AA22" s="265"/>
      <c r="AB22" s="245" t="s">
        <v>208</v>
      </c>
      <c r="AC22" s="244"/>
      <c r="AD22" s="266"/>
      <c r="AE22" s="267"/>
      <c r="AF22" s="267"/>
      <c r="AG22" s="256" t="s">
        <v>4</v>
      </c>
      <c r="AH22" s="245" t="s">
        <v>250</v>
      </c>
      <c r="AI22" s="248" t="s">
        <v>5</v>
      </c>
      <c r="AJ22" s="256" t="s">
        <v>4</v>
      </c>
      <c r="AK22" s="245" t="s">
        <v>250</v>
      </c>
      <c r="AL22" s="248" t="s">
        <v>5</v>
      </c>
      <c r="AM22" s="257"/>
      <c r="AN22" s="256" t="s">
        <v>4</v>
      </c>
      <c r="AO22" s="245" t="s">
        <v>250</v>
      </c>
      <c r="AP22" s="248" t="s">
        <v>5</v>
      </c>
      <c r="AQ22" s="256" t="s">
        <v>4</v>
      </c>
      <c r="AR22" s="245" t="s">
        <v>250</v>
      </c>
      <c r="AS22" s="248" t="s">
        <v>5</v>
      </c>
      <c r="AT22" s="244"/>
      <c r="AU22" s="373" t="s">
        <v>471</v>
      </c>
      <c r="AV22" s="374" t="s">
        <v>10</v>
      </c>
      <c r="AW22" s="374" t="s">
        <v>473</v>
      </c>
      <c r="AX22" s="256" t="s">
        <v>0</v>
      </c>
      <c r="AY22" s="245" t="s">
        <v>10</v>
      </c>
      <c r="AZ22" s="372" t="s">
        <v>473</v>
      </c>
      <c r="BA22" s="256"/>
      <c r="BB22" s="248"/>
      <c r="BC22" s="256" t="s">
        <v>4</v>
      </c>
      <c r="BD22" s="245" t="s">
        <v>250</v>
      </c>
      <c r="BE22" s="248" t="s">
        <v>5</v>
      </c>
      <c r="BF22" s="259" t="s">
        <v>251</v>
      </c>
      <c r="BG22" s="397" t="s">
        <v>504</v>
      </c>
      <c r="BH22" s="259" t="s">
        <v>244</v>
      </c>
      <c r="BI22" s="259" t="s">
        <v>240</v>
      </c>
      <c r="BJ22" s="259"/>
      <c r="BK22" s="259"/>
      <c r="BL22" s="259" t="s">
        <v>258</v>
      </c>
      <c r="BM22" s="256" t="s">
        <v>4</v>
      </c>
      <c r="BN22" s="245" t="s">
        <v>250</v>
      </c>
      <c r="BO22" s="248" t="s">
        <v>5</v>
      </c>
      <c r="BP22" s="268" t="s">
        <v>241</v>
      </c>
      <c r="BQ22" s="269" t="s">
        <v>241</v>
      </c>
      <c r="BR22" s="268" t="s">
        <v>39</v>
      </c>
      <c r="BS22" s="270" t="s">
        <v>40</v>
      </c>
      <c r="BT22" s="269" t="s">
        <v>41</v>
      </c>
      <c r="BU22" s="268" t="s">
        <v>0</v>
      </c>
      <c r="BV22" s="269" t="s">
        <v>243</v>
      </c>
      <c r="BW22" s="271" t="s">
        <v>10</v>
      </c>
      <c r="BX22" s="268" t="s">
        <v>299</v>
      </c>
      <c r="BY22" s="270" t="s">
        <v>40</v>
      </c>
      <c r="BZ22" s="269" t="s">
        <v>41</v>
      </c>
      <c r="CA22" s="268" t="s">
        <v>299</v>
      </c>
      <c r="CB22" s="270" t="s">
        <v>40</v>
      </c>
      <c r="CC22" s="269" t="s">
        <v>41</v>
      </c>
      <c r="CD22" s="268" t="s">
        <v>4</v>
      </c>
      <c r="CE22" s="270" t="s">
        <v>250</v>
      </c>
      <c r="CF22" s="269" t="s">
        <v>5</v>
      </c>
      <c r="CG22" s="268" t="s">
        <v>4</v>
      </c>
      <c r="CH22" s="270" t="s">
        <v>250</v>
      </c>
      <c r="CI22" s="269" t="s">
        <v>5</v>
      </c>
      <c r="CJ22" s="268" t="s">
        <v>315</v>
      </c>
      <c r="CK22" s="270" t="s">
        <v>316</v>
      </c>
      <c r="CL22" s="270" t="s">
        <v>315</v>
      </c>
      <c r="CM22" s="269" t="s">
        <v>316</v>
      </c>
      <c r="CN22" s="265" t="s">
        <v>322</v>
      </c>
      <c r="CO22" s="266" t="s">
        <v>324</v>
      </c>
      <c r="CP22" s="244"/>
      <c r="CQ22" s="244"/>
      <c r="CR22" s="244"/>
      <c r="CS22" s="245" t="s">
        <v>0</v>
      </c>
      <c r="CT22" s="225" t="s">
        <v>8</v>
      </c>
      <c r="CU22" s="225" t="s">
        <v>10</v>
      </c>
      <c r="CV22" s="367" t="s">
        <v>468</v>
      </c>
      <c r="CW22" s="225" t="s">
        <v>10</v>
      </c>
      <c r="CX22" s="18"/>
      <c r="CY22" s="256" t="s">
        <v>4</v>
      </c>
      <c r="CZ22" s="245" t="s">
        <v>250</v>
      </c>
      <c r="DA22" s="248" t="s">
        <v>5</v>
      </c>
      <c r="DD22" s="386" t="s">
        <v>493</v>
      </c>
      <c r="DE22" s="386" t="s">
        <v>493</v>
      </c>
      <c r="DF22" s="386" t="s">
        <v>7757</v>
      </c>
      <c r="DG22" s="386" t="s">
        <v>7758</v>
      </c>
      <c r="DL22" s="143" t="s">
        <v>469</v>
      </c>
      <c r="DM22" s="143" t="s">
        <v>470</v>
      </c>
      <c r="DN22" s="143" t="s">
        <v>469</v>
      </c>
      <c r="DO22" s="143" t="s">
        <v>470</v>
      </c>
      <c r="DP22" s="143" t="s">
        <v>469</v>
      </c>
      <c r="DS22" s="386" t="s">
        <v>7646</v>
      </c>
    </row>
    <row r="23" spans="1:123" ht="15.75" customHeight="1" x14ac:dyDescent="0.25">
      <c r="A23" s="1273"/>
      <c r="B23" s="1274"/>
      <c r="C23" s="1390"/>
      <c r="D23" s="1092"/>
      <c r="E23" s="1093"/>
      <c r="F23" s="1172"/>
      <c r="G23" s="1098"/>
      <c r="H23" s="1099"/>
      <c r="I23" s="469" t="str">
        <f>IF(P23+R23=0," ",(P23+R23)/2)</f>
        <v xml:space="preserve"> </v>
      </c>
      <c r="J23" s="469" t="str">
        <f>IF(Q23+S23=0," ",(Q23+S23)/2)</f>
        <v xml:space="preserve"> </v>
      </c>
      <c r="K23" s="17"/>
      <c r="L23" s="1145">
        <f>IF(OR(AND(D23&gt;0,I23=" ",J23=" ",SUM(G23:H23)&lt;199),AND(E23&gt;0,J23=" ",SUM(G23:H23)&lt;199)),1,0)</f>
        <v>0</v>
      </c>
      <c r="M23" s="272"/>
      <c r="N23" s="272" t="str">
        <f>IF(J23=" "," ",(J23*(1/BW23)))</f>
        <v xml:space="preserve"> </v>
      </c>
      <c r="O23" s="272"/>
      <c r="P23" s="272">
        <f t="shared" ref="P23" si="0">IF(CQ23=FALSE,0,IF(U23+V23=0,0,IF(AU23*BP23+AV23*BA23=0,0,AU23*BP23+AV23*BA23)))</f>
        <v>0</v>
      </c>
      <c r="Q23" s="272">
        <f t="shared" ref="Q23:Q38" si="1">IF(CQ23=FALSE,0,IF(V23=0,0,IF(AY23+AV23=0,0,IF(BF23=4,AV23*BB23-(D23*(1-G23/100)*BB23)*((1220/1000)/(2*11))+DN23-DL23,AV23*BB23+DN23-DL23))))</f>
        <v>0</v>
      </c>
      <c r="R23" s="272">
        <f t="shared" ref="R23" si="2">IF(CQ23=FALSE,0,IF(U23+V23=0,0,IF(AX23*BP23+AY23*BA23=0,0,AX23*BP23+AY23*BA23)))</f>
        <v>0</v>
      </c>
      <c r="S23" s="272">
        <f t="shared" ref="S23:S38" si="3">IF(CQ23=FALSE,0,IF(V23=0,0,IF(AY23+AV23=0,0,IF(BF23=4,AY23*BB23-(D23*(1-H23/100)*BB23)*((1220/1000)/(2*11))+DO23-DM23,AY23*BB23+DO23-DM23))))</f>
        <v>0</v>
      </c>
      <c r="T23" s="272" t="str">
        <f t="shared" ref="T23" si="4">IF(S23=0," ",(S23*(1/BW23)))</f>
        <v xml:space="preserve"> </v>
      </c>
      <c r="U23" s="273">
        <f t="shared" ref="U23" si="5">IF(BP23=0,0,D23)</f>
        <v>0</v>
      </c>
      <c r="V23" s="274">
        <f>IF(BP23=0,D23+E23,E23)</f>
        <v>0</v>
      </c>
      <c r="W23" s="377">
        <f>+(AU23*BM23*(100-BU23)/100)+(BA23*BC23*AV23)</f>
        <v>0</v>
      </c>
      <c r="X23" s="377">
        <f t="shared" ref="X23" si="6">IF(BF23=2,W23,0)</f>
        <v>0</v>
      </c>
      <c r="Y23" s="377">
        <f>AU23*BN23+AV23*BA23*BD23</f>
        <v>0</v>
      </c>
      <c r="Z23" s="377">
        <f>AU23*BO23+AV23*BA23*BE23</f>
        <v>0</v>
      </c>
      <c r="AA23" s="275">
        <f t="shared" ref="AA23" si="7">+(AX23*BM23*(100-BU23)/100)+(BA23*BC23*AY23)</f>
        <v>0</v>
      </c>
      <c r="AB23" s="272">
        <f t="shared" ref="AB23" si="8">IF(BF23=2,AA23,0)</f>
        <v>0</v>
      </c>
      <c r="AC23" s="272">
        <f t="shared" ref="AC23" si="9">AX23*BN23+AY23*BA23*BD23</f>
        <v>0</v>
      </c>
      <c r="AD23" s="276">
        <f t="shared" ref="AD23" si="10">AX23*BO23+AY23*BA23*BE23</f>
        <v>0</v>
      </c>
      <c r="AE23" s="277">
        <f>INDEX(Tiere!I$30:I$106,'Nährstoffe und Lagerraum'!$BH23)</f>
        <v>0</v>
      </c>
      <c r="AF23" s="277">
        <f>INDEX(Tiere!W$30:W$106,'Nährstoffe und Lagerraum'!BH23)</f>
        <v>0</v>
      </c>
      <c r="AG23" s="272">
        <f>+(AV23*BM23*(100-BV23)/100)-BA23*AV23*BC23</f>
        <v>0</v>
      </c>
      <c r="AH23" s="272">
        <f>AV23*BN23-AV23*BA23*BD23</f>
        <v>0</v>
      </c>
      <c r="AI23" s="272">
        <f>AV23*BO23-AV23*BA23*BE23</f>
        <v>0</v>
      </c>
      <c r="AJ23" s="275">
        <f t="shared" ref="AJ23" si="11">+(AY23*BM23*(100-BV23)/100)-BA23*AY23*BC23</f>
        <v>0</v>
      </c>
      <c r="AK23" s="272">
        <f t="shared" ref="AK23" si="12">AY23*BN23-AY23*BA23*BD23</f>
        <v>0</v>
      </c>
      <c r="AL23" s="276">
        <f t="shared" ref="AL23" si="13">AY23*BO23-AY23*BA23*BE23</f>
        <v>0</v>
      </c>
      <c r="AM23" s="277" cm="1">
        <f t="array" ref="AM23">IF(BI23=1,INDEX(Tiere!S$30:S$106,'Nährstoffe und Lagerraum'!$BH23),IF(BI23=2,INDEX(Tiere!$T$30:$T$106,'Nährstoffe und Lagerraum'!BH23),INDEX(Tiere!$U$30:$U$106,'Nährstoffe und Lagerraum'!BH23)))</f>
        <v>0</v>
      </c>
      <c r="AN23" s="431">
        <f>IF(BI23=1,AW23*CA23*BK23*365/1000*CG23,IF(BI23=2,AW23*CB23*BK23*365/1000*CG23,AW23*CC23*BK23*365/1000*CG23))</f>
        <v>0</v>
      </c>
      <c r="AO23" s="431">
        <f>IF(BI23=1,AW23*CA23*BK23*365/1000*CH23,IF(BI23=2,AW23*CB23*BK23*365/1000*CH23,AW23*CC23*BK23*365/1000*CH23))</f>
        <v>0</v>
      </c>
      <c r="AP23" s="431">
        <f>IF(BI23=1,AW23*CA23*BK23*365/1000*CI23,IF(BI23=2,AW23*CB23*BK23*365/1000*CI23,AW23*BK23*CC23*365/1000*CI23))</f>
        <v>0</v>
      </c>
      <c r="AQ23" s="432">
        <f>IF(BI23=1,AZ23*CA23*BK23*365/1000*CG23,IF(BI23=2,AZ23*CB23*BK23*365/1000*CG23,AZ23*CC23*BK23*365/1000*CG23))</f>
        <v>0</v>
      </c>
      <c r="AR23" s="433">
        <f>IF(BI23=1,AZ23*CA23*BK23*365/1000*CH23,IF(BI23=2,AZ23*CB23*BK23*365/1000*CH23,AZ23*CC23*BK23*365/1000*CH23))</f>
        <v>0</v>
      </c>
      <c r="AS23" s="434">
        <f>IF(BI23=1,AZ23*CA23*BK23*365/1000*CI23,IF(BI23=2,AZ23*CB23*BK23*365/1000*CI23,AZ23*CC23*BK23*365/1000*CI23))</f>
        <v>0</v>
      </c>
      <c r="AT23" s="272"/>
      <c r="AU23" s="375">
        <f t="shared" ref="AU23" si="14">+U23*(100-$G23)/100</f>
        <v>0</v>
      </c>
      <c r="AV23" s="376">
        <f t="shared" ref="AV23" si="15">+V23*(100-$G23)/100</f>
        <v>0</v>
      </c>
      <c r="AW23" s="376">
        <f>+E23*(100-$G23)/100</f>
        <v>0</v>
      </c>
      <c r="AX23" s="275">
        <f t="shared" ref="AX23" si="16">+U23*(100-$H23)/100</f>
        <v>0</v>
      </c>
      <c r="AY23" s="272">
        <f t="shared" ref="AY23" si="17">+V23*(100-$H23)/100</f>
        <v>0</v>
      </c>
      <c r="AZ23" s="276">
        <f t="shared" ref="AZ23" si="18">+E23*(100-$H23)/100</f>
        <v>0</v>
      </c>
      <c r="BA23" s="280">
        <f>IF(BI23=1,BQ23,IF(BI23=2,BQ23/2,0))</f>
        <v>0</v>
      </c>
      <c r="BB23" s="281">
        <f>IF(BI23=1,BR23,IF(BI23=2,BS23,BT23))</f>
        <v>0</v>
      </c>
      <c r="BC23" s="278">
        <f>INDEX(Tiere!AI$30:AI$106,'Nährstoffe und Lagerraum'!$BH23)</f>
        <v>0</v>
      </c>
      <c r="BD23" s="278">
        <f>INDEX(Tiere!AJ$30:AJ$106,'Nährstoffe und Lagerraum'!$BH23)</f>
        <v>0</v>
      </c>
      <c r="BE23" s="278">
        <f>INDEX(Tiere!AK$30:AK$106,'Nährstoffe und Lagerraum'!$BH23)</f>
        <v>0</v>
      </c>
      <c r="BF23" s="283">
        <f>IF(BG23&lt;4,BG23+1,5)</f>
        <v>1</v>
      </c>
      <c r="BG23" s="283" cm="1">
        <f t="array" ref="BG23">INDEX(Tiere!$C$30:$C$106,BH23)</f>
        <v>0</v>
      </c>
      <c r="BH23" s="284">
        <v>1</v>
      </c>
      <c r="BI23" s="284">
        <v>1</v>
      </c>
      <c r="BJ23" s="283">
        <f>INDEX(Tiere!D$30:D$106,'Nährstoffe und Lagerraum'!$BH23)</f>
        <v>0</v>
      </c>
      <c r="BK23" s="283" t="str">
        <f>IF(BJ23&gt;0.001,BJ23,"1")</f>
        <v>1</v>
      </c>
      <c r="BL23" s="283">
        <f>U23*BJ23+V23*BJ23</f>
        <v>0</v>
      </c>
      <c r="BM23" s="282">
        <f>INDEX(Tiere!E$30:E$106,'Nährstoffe und Lagerraum'!$BH23)</f>
        <v>0</v>
      </c>
      <c r="BN23" s="278">
        <f>INDEX(Tiere!F$30:F$106,'Nährstoffe und Lagerraum'!$BH23)</f>
        <v>0</v>
      </c>
      <c r="BO23" s="279">
        <f>INDEX(Tiere!G$30:G$106,'Nährstoffe und Lagerraum'!$BH23)</f>
        <v>0</v>
      </c>
      <c r="BP23" s="278">
        <f>INDEX(Tiere!H$30:H$106,'Nährstoffe und Lagerraum'!$BH23)</f>
        <v>0</v>
      </c>
      <c r="BQ23" s="278">
        <f>INDEX(Tiere!V$30:V$106,'Nährstoffe und Lagerraum'!$BH23)</f>
        <v>0</v>
      </c>
      <c r="BR23" s="282">
        <f>INDEX(Tiere!P$30:P$106,'Nährstoffe und Lagerraum'!$BH23)</f>
        <v>0</v>
      </c>
      <c r="BS23" s="278">
        <f>INDEX(Tiere!Q$30:Q$106,'Nährstoffe und Lagerraum'!$BH23)</f>
        <v>0</v>
      </c>
      <c r="BT23" s="279">
        <f>INDEX(Tiere!R$30:R$106,'Nährstoffe und Lagerraum'!$BH23)</f>
        <v>0</v>
      </c>
      <c r="BU23" s="282">
        <f>INDEX(Tiere!X$30:X$106,'Nährstoffe und Lagerraum'!$BH23)</f>
        <v>0</v>
      </c>
      <c r="BV23" s="279">
        <f>INDEX(Tiere!Y$30:Y$106,'Nährstoffe und Lagerraum'!$BH23)</f>
        <v>0</v>
      </c>
      <c r="BW23" s="285">
        <f>INDEX(Tiere!Z$30:Z$106,'Nährstoffe und Lagerraum'!$BH23)</f>
        <v>0</v>
      </c>
      <c r="BX23" s="279">
        <f>INDEX(Tiere!J$30:J$106,'Nährstoffe und Lagerraum'!$BH23)</f>
        <v>0</v>
      </c>
      <c r="BY23" s="279">
        <f>INDEX(Tiere!K$30:K$106,'Nährstoffe und Lagerraum'!$BH23)</f>
        <v>0</v>
      </c>
      <c r="BZ23" s="279">
        <f>INDEX(Tiere!L$30:L$106,'Nährstoffe und Lagerraum'!$BH23)</f>
        <v>0</v>
      </c>
      <c r="CA23" s="278">
        <f>BX23*'Abweichende Werte'!$Y$64</f>
        <v>0</v>
      </c>
      <c r="CB23" s="278">
        <f>BY23*'Abweichende Werte'!$Y$64</f>
        <v>0</v>
      </c>
      <c r="CC23" s="278">
        <f>BZ23*'Abweichende Werte'!$Y$64</f>
        <v>0</v>
      </c>
      <c r="CD23" s="272">
        <v>5</v>
      </c>
      <c r="CE23" s="272">
        <v>3</v>
      </c>
      <c r="CF23" s="276">
        <v>17</v>
      </c>
      <c r="CG23" s="276">
        <f>'Abweichende Werte'!U$64</f>
        <v>5</v>
      </c>
      <c r="CH23" s="276">
        <f>'Abweichende Werte'!V$64</f>
        <v>3</v>
      </c>
      <c r="CI23" s="276">
        <f>'Abweichende Werte'!W$64</f>
        <v>17</v>
      </c>
      <c r="CJ23" s="276">
        <f>INDEX(Tiere!AD$30:AD$106,'Nährstoffe und Lagerraum'!$BH23)</f>
        <v>0</v>
      </c>
      <c r="CK23" s="276">
        <f>INDEX(Tiere!AE$30:AE$106,'Nährstoffe und Lagerraum'!$BH23)</f>
        <v>0</v>
      </c>
      <c r="CL23" s="286">
        <f t="shared" ref="CL23" si="19">IF(N23=" ",0,CJ23*N23)</f>
        <v>0</v>
      </c>
      <c r="CM23" s="287">
        <f t="shared" ref="CM23" si="20">IF(N23=" ",0,CK23*N23)</f>
        <v>0</v>
      </c>
      <c r="CN23" s="272">
        <f>(AU23+AX23)/2*BP23</f>
        <v>0</v>
      </c>
      <c r="CO23" s="276">
        <f>(AV23+AY23)/2*BA23</f>
        <v>0</v>
      </c>
      <c r="CP23" s="272"/>
      <c r="CQ23" s="272" t="b">
        <f>AND(BH23&gt;1)</f>
        <v>0</v>
      </c>
      <c r="CR23" s="272"/>
      <c r="CS23" s="282">
        <f>INDEX(Tiere!AF$30:AF$106,'Nährstoffe und Lagerraum'!$BH23)</f>
        <v>0</v>
      </c>
      <c r="CT23" s="282">
        <f>INDEX(Tiere!AG$30:AG$106,'Nährstoffe und Lagerraum'!$BH23)</f>
        <v>0</v>
      </c>
      <c r="CU23" s="282">
        <f>INDEX(Tiere!AH$30:AH$106,'Nährstoffe und Lagerraum'!$BH23)</f>
        <v>0</v>
      </c>
      <c r="CV23" s="143">
        <f>+((((AU23*BM23*(100-BU23)/100)*(CS23/100))+((BA23*BC23*AV23)*(CT23/100)))+(((AX23*BM23*(100-BU23)/100)*(CS23/100))+((BA23*BC23*AY23)*(CT23/100))))/2</f>
        <v>0</v>
      </c>
      <c r="CW23" s="148">
        <f t="shared" ref="CW23" si="21">+((AG23+AN23+AJ23+AQ23)/2)/100*CU23</f>
        <v>0</v>
      </c>
      <c r="CX23" s="17"/>
      <c r="CY23" s="17">
        <f>($D23+$E23)*($G23+$H23)/2/100*BM23*(100-BV23)/100</f>
        <v>0</v>
      </c>
      <c r="CZ23" s="17">
        <f>($D23+$E23)*($G23+$H23)/2/100*BN23</f>
        <v>0</v>
      </c>
      <c r="DA23" s="17">
        <f>($D23+$E23)*($G23+$H23)/2/100*BO23</f>
        <v>0</v>
      </c>
      <c r="DD23" s="143">
        <f>BM23*($U23+$V23)</f>
        <v>0</v>
      </c>
      <c r="DE23" s="143">
        <f>CY23+(W23+AA23)/2+(AG23+AJ23)/2</f>
        <v>0</v>
      </c>
      <c r="DF23" s="143">
        <f>BN23*($U23+$V23)</f>
        <v>0</v>
      </c>
      <c r="DG23" s="143">
        <f>BO23*($U23+$V23)</f>
        <v>0</v>
      </c>
      <c r="DL23" s="143">
        <f t="shared" ref="DL23:DL38" si="22">IF(BI23=1,AW23*BX23*BK23*365/1000,IF(BI23=2,AW23*BY23*BK23*365/1000,AW23*BZ23*BK23*365/1000))</f>
        <v>0</v>
      </c>
      <c r="DM23" s="143">
        <f t="shared" ref="DM23:DM38" si="23">IF(BI23=1,AZ23*BX23*BK23*365/1000,IF(BI23=2,AZ23*BY23*BK23*365/1000,AZ23*BZ23*BK23*365/1000))</f>
        <v>0</v>
      </c>
      <c r="DN23" s="143">
        <f t="shared" ref="DN23:DN38" si="24">IF(BI23=1,AW23*CA23*BK23*365/1000,IF(BI23=2,AW23*CB23*BK23*365/1000,AW23*CC23*BK23*365/1000))</f>
        <v>0</v>
      </c>
      <c r="DO23" s="143">
        <f t="shared" ref="DO23:DO38" si="25">IF(BI23=1,AZ23*CA23*BK23*365/1000,IF(BI23=2,AZ23*CB23*BK23*365/1000,AZ23*CC23*BK23*365/1000))</f>
        <v>0</v>
      </c>
      <c r="DP23" s="143">
        <f t="shared" ref="DP23:DP38" si="26">IF(CQ23=FALSE,0,IF(V23=0,0,IF(AY23+AV23=0,0,IF(BF23=4,AV23*BB23-(D23*(1-G23/100)*BB23)*((1220/1000)/(2*11)),AV23*BB23))))</f>
        <v>0</v>
      </c>
      <c r="DQ23" s="143">
        <f t="shared" ref="DQ23:DQ38" si="27">IF(CQ23=FALSE,0,IF(V23=0,0,IF(AY23+AV23=0,0,IF(BF23=4,AY23*BB23-(D23*(1-H23/100)*BB23)*((1220/1000)/(2*11)),AY23*BB23))))</f>
        <v>0</v>
      </c>
      <c r="DS23" s="143" cm="1">
        <f t="array" ref="DS23">INDEX(Tiere!$AB$30:$AB$106,'Nährstoffe und Lagerraum'!BH23)</f>
        <v>0</v>
      </c>
    </row>
    <row r="24" spans="1:123" ht="15.75" customHeight="1" x14ac:dyDescent="0.25">
      <c r="A24" s="1273"/>
      <c r="B24" s="1274"/>
      <c r="C24" s="1390"/>
      <c r="D24" s="1094"/>
      <c r="E24" s="1095"/>
      <c r="F24" s="1173"/>
      <c r="G24" s="1100"/>
      <c r="H24" s="1101"/>
      <c r="I24" s="471" t="str">
        <f t="shared" ref="I24:I38" si="28">IF(P24+R24=0," ",(P24+R24)/2)</f>
        <v xml:space="preserve"> </v>
      </c>
      <c r="J24" s="471" t="str">
        <f>IF(Q24+S24=0," ",(Q24+S24)/2)</f>
        <v xml:space="preserve"> </v>
      </c>
      <c r="K24" s="17"/>
      <c r="L24" s="1145">
        <f t="shared" ref="L24:L38" si="29">IF(OR(AND(D24&gt;0,I24=" ",J24=" ",SUM(G24:H24)&lt;199),AND(E24&gt;0,J24=" ",SUM(G24:H24)&lt;199)),1,0)</f>
        <v>0</v>
      </c>
      <c r="M24" s="272"/>
      <c r="N24" s="272" t="str">
        <f t="shared" ref="N24:N38" si="30">IF(J24=" "," ",(J24*(1/BW24)))</f>
        <v xml:space="preserve"> </v>
      </c>
      <c r="O24" s="272"/>
      <c r="P24" s="272">
        <f t="shared" ref="P24:P38" si="31">IF(CQ24=FALSE,0,IF(U24+V24=0,0,IF(AU24*BP24+AV24*BA24=0,0,AU24*BP24+AV24*BA24)))</f>
        <v>0</v>
      </c>
      <c r="Q24" s="272">
        <f t="shared" si="1"/>
        <v>0</v>
      </c>
      <c r="R24" s="272">
        <f t="shared" ref="R24:R38" si="32">IF(CQ24=FALSE,0,IF(U24+V24=0,0,IF(AX24*BP24+AY24*BA24=0,0,AX24*BP24+AY24*BA24)))</f>
        <v>0</v>
      </c>
      <c r="S24" s="272">
        <f t="shared" si="3"/>
        <v>0</v>
      </c>
      <c r="T24" s="272" t="str">
        <f t="shared" ref="T24:T38" si="33">IF(S24=0," ",(S24*(1/BW24)))</f>
        <v xml:space="preserve"> </v>
      </c>
      <c r="U24" s="273">
        <f t="shared" ref="U24:U38" si="34">IF(BP24=0,0,D24)</f>
        <v>0</v>
      </c>
      <c r="V24" s="274">
        <f t="shared" ref="V24:V38" si="35">IF(BP24=0,D24+E24,E24)</f>
        <v>0</v>
      </c>
      <c r="W24" s="670">
        <f t="shared" ref="W24:W38" si="36">+(AU24*BM24*(100-BU24)/100)+(BA24*BC24*AV24)</f>
        <v>0</v>
      </c>
      <c r="X24" s="670">
        <f t="shared" ref="X24:X38" si="37">IF(BF24=2,W24,0)</f>
        <v>0</v>
      </c>
      <c r="Y24" s="670">
        <f t="shared" ref="Y24:Y38" si="38">AU24*BN24+AV24*BA24*BD24</f>
        <v>0</v>
      </c>
      <c r="Z24" s="670">
        <f t="shared" ref="Z24:Z38" si="39">AU24*BO24+AV24*BA24*BE24</f>
        <v>0</v>
      </c>
      <c r="AA24" s="275">
        <f t="shared" ref="AA24:AA38" si="40">+(AX24*BM24*(100-BU24)/100)+(BA24*BC24*AY24)</f>
        <v>0</v>
      </c>
      <c r="AB24" s="272">
        <f t="shared" ref="AB24:AB38" si="41">IF(BF24=2,AA24,0)</f>
        <v>0</v>
      </c>
      <c r="AC24" s="272">
        <f t="shared" ref="AC24:AC38" si="42">AX24*BN24+AY24*BA24*BD24</f>
        <v>0</v>
      </c>
      <c r="AD24" s="276">
        <f t="shared" ref="AD24:AD38" si="43">AX24*BO24+AY24*BA24*BE24</f>
        <v>0</v>
      </c>
      <c r="AE24" s="277">
        <f>INDEX(Tiere!I$30:I$106,'Nährstoffe und Lagerraum'!$BH24)</f>
        <v>0</v>
      </c>
      <c r="AF24" s="277">
        <f>INDEX(Tiere!W$30:W$106,'Nährstoffe und Lagerraum'!BH24)</f>
        <v>0</v>
      </c>
      <c r="AG24" s="272">
        <f t="shared" ref="AG24:AG38" si="44">+(AV24*BM24*(100-BV24)/100)-BA24*AV24*BC24</f>
        <v>0</v>
      </c>
      <c r="AH24" s="272">
        <f t="shared" ref="AH24:AH38" si="45">AV24*BN24-AV24*BA24*BD24</f>
        <v>0</v>
      </c>
      <c r="AI24" s="272">
        <f t="shared" ref="AI24:AI38" si="46">AV24*BO24-AV24*BA24*BE24</f>
        <v>0</v>
      </c>
      <c r="AJ24" s="275">
        <f t="shared" ref="AJ24:AJ38" si="47">+(AY24*BM24*(100-BV24)/100)-BA24*AY24*BC24</f>
        <v>0</v>
      </c>
      <c r="AK24" s="272">
        <f t="shared" ref="AK24:AK38" si="48">AY24*BN24-AY24*BA24*BD24</f>
        <v>0</v>
      </c>
      <c r="AL24" s="276">
        <f t="shared" ref="AL24:AL38" si="49">AY24*BO24-AY24*BA24*BE24</f>
        <v>0</v>
      </c>
      <c r="AM24" s="277" cm="1">
        <f t="array" ref="AM24">IF(BI24=1,INDEX(Tiere!S$30:S$106,'Nährstoffe und Lagerraum'!$BH24),IF(BI24=2,INDEX(Tiere!$T$30:$T$106,'Nährstoffe und Lagerraum'!BH24),INDEX(Tiere!$U$30:$U$106,'Nährstoffe und Lagerraum'!BH24)))</f>
        <v>0</v>
      </c>
      <c r="AN24" s="431">
        <f>IF(BI24=1,AW24*CA24*BK24*365/1000*CG24,IF(BI24=2,AW24*CB24*BK24*365/1000*CG24,AW24*CC24*BK24*365/1000*CG24))</f>
        <v>0</v>
      </c>
      <c r="AO24" s="431">
        <f t="shared" ref="AO24:AO38" si="50">IF(BI24=1,AW24*CA24*BK24*365/1000*CH24,IF(BI24=2,AW24*CB24*BK24*365/1000*CH24,AW24*CC24*BK24*365/1000*CH24))</f>
        <v>0</v>
      </c>
      <c r="AP24" s="431">
        <f t="shared" ref="AP24:AP38" si="51">IF(BI24=1,AW24*CA24*BK24*365/1000*CI24,IF(BI24=2,AW24*CB24*BK24*365/1000*CI24,AW24*BK24*CC24*365/1000*CI24))</f>
        <v>0</v>
      </c>
      <c r="AQ24" s="432">
        <f t="shared" ref="AQ24:AQ38" si="52">IF(BI24=1,AZ24*CA24*BK24*365/1000*CG24,IF(BI24=2,AZ24*CB24*BK24*365/1000*CG24,AZ24*CC24*BK24*365/1000*CG24))</f>
        <v>0</v>
      </c>
      <c r="AR24" s="433">
        <f t="shared" ref="AR24:AR38" si="53">IF(BI24=1,AZ24*CA24*BK24*365/1000*CH24,IF(BI24=2,AZ24*CB24*BK24*365/1000*CH24,AZ24*CC24*BK24*365/1000*CH24))</f>
        <v>0</v>
      </c>
      <c r="AS24" s="434">
        <f t="shared" ref="AS24:AS38" si="54">IF(BI24=1,AZ24*CA24*BK24*365/1000*CI24,IF(BI24=2,AZ24*CB24*BK24*365/1000*CI24,AZ24*CC24*BK24*365/1000*CI24))</f>
        <v>0</v>
      </c>
      <c r="AT24" s="272"/>
      <c r="AU24" s="375">
        <f t="shared" ref="AU24:AU38" si="55">+U24*(100-$G24)/100</f>
        <v>0</v>
      </c>
      <c r="AV24" s="376">
        <f t="shared" ref="AV24:AV38" si="56">+V24*(100-$G24)/100</f>
        <v>0</v>
      </c>
      <c r="AW24" s="376">
        <f t="shared" ref="AW24:AW38" si="57">+E24*(100-$G24)/100</f>
        <v>0</v>
      </c>
      <c r="AX24" s="275">
        <f t="shared" ref="AX24:AX38" si="58">+U24*(100-$H24)/100</f>
        <v>0</v>
      </c>
      <c r="AY24" s="272">
        <f t="shared" ref="AY24:AY38" si="59">+V24*(100-$H24)/100</f>
        <v>0</v>
      </c>
      <c r="AZ24" s="276">
        <f t="shared" ref="AZ24:AZ38" si="60">+E24*(100-$H24)/100</f>
        <v>0</v>
      </c>
      <c r="BA24" s="280">
        <f t="shared" ref="BA24:BA38" si="61">IF(BI24=1,BQ24,IF(BI24=2,BQ24/2,0))</f>
        <v>0</v>
      </c>
      <c r="BB24" s="281">
        <f t="shared" ref="BB24:BB38" si="62">IF(BI24=1,BR24,IF(BI24=2,BS24,BT24))</f>
        <v>0</v>
      </c>
      <c r="BC24" s="278">
        <f>INDEX(Tiere!AI$30:AI$106,'Nährstoffe und Lagerraum'!$BH24)</f>
        <v>0</v>
      </c>
      <c r="BD24" s="278">
        <f>INDEX(Tiere!AJ$30:AJ$106,'Nährstoffe und Lagerraum'!$BH24)</f>
        <v>0</v>
      </c>
      <c r="BE24" s="278">
        <f>INDEX(Tiere!AK$30:AK$106,'Nährstoffe und Lagerraum'!$BH24)</f>
        <v>0</v>
      </c>
      <c r="BF24" s="283">
        <f t="shared" ref="BF24:BF38" si="63">IF(BG24&lt;4,BG24+1,5)</f>
        <v>1</v>
      </c>
      <c r="BG24" s="283" cm="1">
        <f t="array" ref="BG24">INDEX(Tiere!$C$30:$C$106,BH24)</f>
        <v>0</v>
      </c>
      <c r="BH24" s="284">
        <v>1</v>
      </c>
      <c r="BI24" s="284">
        <v>1</v>
      </c>
      <c r="BJ24" s="283">
        <f>INDEX(Tiere!D$30:D$106,'Nährstoffe und Lagerraum'!$BH24)</f>
        <v>0</v>
      </c>
      <c r="BK24" s="283" t="str">
        <f t="shared" ref="BK24:BK38" si="64">IF(BJ24&gt;0.001,BJ24,"1")</f>
        <v>1</v>
      </c>
      <c r="BL24" s="283">
        <f t="shared" ref="BL24:BL38" si="65">U24*BJ24+V24*BJ24</f>
        <v>0</v>
      </c>
      <c r="BM24" s="282">
        <f>INDEX(Tiere!E$30:E$106,'Nährstoffe und Lagerraum'!$BH24)</f>
        <v>0</v>
      </c>
      <c r="BN24" s="278">
        <f>INDEX(Tiere!F$30:F$106,'Nährstoffe und Lagerraum'!$BH24)</f>
        <v>0</v>
      </c>
      <c r="BO24" s="279">
        <f>INDEX(Tiere!G$30:G$106,'Nährstoffe und Lagerraum'!$BH24)</f>
        <v>0</v>
      </c>
      <c r="BP24" s="278">
        <f>INDEX(Tiere!H$30:H$106,'Nährstoffe und Lagerraum'!$BH24)</f>
        <v>0</v>
      </c>
      <c r="BQ24" s="278">
        <f>INDEX(Tiere!V$30:V$106,'Nährstoffe und Lagerraum'!$BH24)</f>
        <v>0</v>
      </c>
      <c r="BR24" s="282">
        <f>INDEX(Tiere!P$30:P$106,'Nährstoffe und Lagerraum'!$BH24)</f>
        <v>0</v>
      </c>
      <c r="BS24" s="278">
        <f>INDEX(Tiere!Q$30:Q$106,'Nährstoffe und Lagerraum'!$BH24)</f>
        <v>0</v>
      </c>
      <c r="BT24" s="279">
        <f>INDEX(Tiere!R$30:R$106,'Nährstoffe und Lagerraum'!$BH24)</f>
        <v>0</v>
      </c>
      <c r="BU24" s="282">
        <f>INDEX(Tiere!X$30:X$106,'Nährstoffe und Lagerraum'!$BH24)</f>
        <v>0</v>
      </c>
      <c r="BV24" s="279">
        <f>INDEX(Tiere!Y$30:Y$106,'Nährstoffe und Lagerraum'!$BH24)</f>
        <v>0</v>
      </c>
      <c r="BW24" s="285">
        <f>INDEX(Tiere!Z$30:Z$106,'Nährstoffe und Lagerraum'!$BH24)</f>
        <v>0</v>
      </c>
      <c r="BX24" s="279">
        <f>INDEX(Tiere!J$30:J$106,'Nährstoffe und Lagerraum'!$BH24)</f>
        <v>0</v>
      </c>
      <c r="BY24" s="279">
        <f>INDEX(Tiere!K$30:K$106,'Nährstoffe und Lagerraum'!$BH24)</f>
        <v>0</v>
      </c>
      <c r="BZ24" s="279">
        <f>INDEX(Tiere!L$30:L$106,'Nährstoffe und Lagerraum'!$BH24)</f>
        <v>0</v>
      </c>
      <c r="CA24" s="278">
        <f>BX24*'Abweichende Werte'!$Y$64</f>
        <v>0</v>
      </c>
      <c r="CB24" s="278">
        <f>BY24*'Abweichende Werte'!$Y$64</f>
        <v>0</v>
      </c>
      <c r="CC24" s="278">
        <f>BZ24*'Abweichende Werte'!$Y$64</f>
        <v>0</v>
      </c>
      <c r="CD24" s="272">
        <v>5</v>
      </c>
      <c r="CE24" s="272">
        <v>3</v>
      </c>
      <c r="CF24" s="276">
        <v>17</v>
      </c>
      <c r="CG24" s="276">
        <f>'Abweichende Werte'!U$64</f>
        <v>5</v>
      </c>
      <c r="CH24" s="276">
        <f>'Abweichende Werte'!V$64</f>
        <v>3</v>
      </c>
      <c r="CI24" s="276">
        <f>'Abweichende Werte'!W$64</f>
        <v>17</v>
      </c>
      <c r="CJ24" s="276">
        <f>INDEX(Tiere!AD$30:AD$106,'Nährstoffe und Lagerraum'!$BH24)</f>
        <v>0</v>
      </c>
      <c r="CK24" s="276">
        <f>INDEX(Tiere!AE$30:AE$106,'Nährstoffe und Lagerraum'!$BH24)</f>
        <v>0</v>
      </c>
      <c r="CL24" s="286">
        <f t="shared" ref="CL24:CL38" si="66">IF(N24=" ",0,CJ24*N24)</f>
        <v>0</v>
      </c>
      <c r="CM24" s="287">
        <f t="shared" ref="CM24:CM38" si="67">IF(N24=" ",0,CK24*N24)</f>
        <v>0</v>
      </c>
      <c r="CN24" s="272">
        <f t="shared" ref="CN24:CN38" si="68">(AU24+AX24)/2*BP24</f>
        <v>0</v>
      </c>
      <c r="CO24" s="276">
        <f t="shared" ref="CO24:CO38" si="69">(AV24+AY24)/2*BA24</f>
        <v>0</v>
      </c>
      <c r="CP24" s="272"/>
      <c r="CQ24" s="272" t="b">
        <f t="shared" ref="CQ24:CQ38" si="70">AND(BH24&gt;1)</f>
        <v>0</v>
      </c>
      <c r="CR24" s="272"/>
      <c r="CS24" s="282">
        <f>INDEX(Tiere!AF$30:AF$106,'Nährstoffe und Lagerraum'!$BH24)</f>
        <v>0</v>
      </c>
      <c r="CT24" s="282">
        <f>INDEX(Tiere!AG$30:AG$106,'Nährstoffe und Lagerraum'!$BH24)</f>
        <v>0</v>
      </c>
      <c r="CU24" s="282">
        <f>INDEX(Tiere!AH$30:AH$106,'Nährstoffe und Lagerraum'!$BH24)</f>
        <v>0</v>
      </c>
      <c r="CV24" s="143">
        <f t="shared" ref="CV24:CV38" si="71">+((((AU24*BM24*(100-BU24)/100)*(CS24/100))+((BA24*BC24*AV24)*(CT24/100)))+(((AX24*BM24*(100-BU24)/100)*(CS24/100))+((BA24*BC24*AY24)*(CT24/100))))/2</f>
        <v>0</v>
      </c>
      <c r="CW24" s="148">
        <f t="shared" ref="CW24:CW38" si="72">+((AG24+AN24+AJ24+AQ24)/2)/100*CU24</f>
        <v>0</v>
      </c>
      <c r="CX24" s="17"/>
      <c r="CY24" s="17">
        <f t="shared" ref="CY24:CY38" si="73">($D24+$E24)*($G24+$H24)/2/100*BM24*(100-BV24)/100</f>
        <v>0</v>
      </c>
      <c r="CZ24" s="17">
        <f t="shared" ref="CZ24:CZ38" si="74">($D24+$E24)*($G24+$H24)/2/100*BN24</f>
        <v>0</v>
      </c>
      <c r="DA24" s="17">
        <f t="shared" ref="DA24:DA38" si="75">($D24+$E24)*($G24+$H24)/2/100*BO24</f>
        <v>0</v>
      </c>
      <c r="DD24" s="143">
        <f t="shared" ref="DD24:DD38" si="76">BM24*(U24+V24)</f>
        <v>0</v>
      </c>
      <c r="DE24" s="143">
        <f t="shared" ref="DE24:DE38" si="77">CY24+(W24+AA24)/2+(AG24+AJ24)/2</f>
        <v>0</v>
      </c>
      <c r="DF24" s="143">
        <f t="shared" ref="DF24:DF38" si="78">BN24*($U24+$V24)</f>
        <v>0</v>
      </c>
      <c r="DG24" s="143">
        <f t="shared" ref="DG24:DG38" si="79">BO24*($U24+$V24)</f>
        <v>0</v>
      </c>
      <c r="DL24" s="143">
        <f t="shared" si="22"/>
        <v>0</v>
      </c>
      <c r="DM24" s="143">
        <f t="shared" si="23"/>
        <v>0</v>
      </c>
      <c r="DN24" s="143">
        <f t="shared" si="24"/>
        <v>0</v>
      </c>
      <c r="DO24" s="143">
        <f t="shared" si="25"/>
        <v>0</v>
      </c>
      <c r="DP24" s="143">
        <f t="shared" si="26"/>
        <v>0</v>
      </c>
      <c r="DQ24" s="143">
        <f t="shared" si="27"/>
        <v>0</v>
      </c>
      <c r="DS24" s="143" cm="1">
        <f t="array" ref="DS24">INDEX(Tiere!$AB$30:$AB$106,'Nährstoffe und Lagerraum'!BH24)</f>
        <v>0</v>
      </c>
    </row>
    <row r="25" spans="1:123" ht="15.75" customHeight="1" x14ac:dyDescent="0.25">
      <c r="A25" s="1273"/>
      <c r="B25" s="1274"/>
      <c r="C25" s="1274"/>
      <c r="D25" s="1094"/>
      <c r="E25" s="1095"/>
      <c r="F25" s="1173"/>
      <c r="G25" s="1100"/>
      <c r="H25" s="1101"/>
      <c r="I25" s="471" t="str">
        <f t="shared" si="28"/>
        <v xml:space="preserve"> </v>
      </c>
      <c r="J25" s="471" t="str">
        <f>IF(Q25+S25=0," ",(Q25+S25)/2)</f>
        <v xml:space="preserve"> </v>
      </c>
      <c r="K25" s="17"/>
      <c r="L25" s="1145">
        <f t="shared" si="29"/>
        <v>0</v>
      </c>
      <c r="M25" s="272"/>
      <c r="N25" s="272" t="str">
        <f t="shared" si="30"/>
        <v xml:space="preserve"> </v>
      </c>
      <c r="O25" s="272"/>
      <c r="P25" s="272">
        <f t="shared" si="31"/>
        <v>0</v>
      </c>
      <c r="Q25" s="272">
        <f t="shared" si="1"/>
        <v>0</v>
      </c>
      <c r="R25" s="272">
        <f t="shared" si="32"/>
        <v>0</v>
      </c>
      <c r="S25" s="272">
        <f>IF(CQ25=FALSE,0,IF(V25=0,0,IF(AY25+AV25=0,0,IF(BF25=4,AY25*BB25-(D25*(1-H25/100)*BB25)*((1220/1000)/(2*11))+DO25-DM25,AY25*BB25+DO25-DM25))))</f>
        <v>0</v>
      </c>
      <c r="T25" s="272" t="str">
        <f>IF(S25=0," ",(S25*(1/BW25)))</f>
        <v xml:space="preserve"> </v>
      </c>
      <c r="U25" s="273">
        <f t="shared" si="34"/>
        <v>0</v>
      </c>
      <c r="V25" s="274">
        <f t="shared" si="35"/>
        <v>0</v>
      </c>
      <c r="W25" s="670">
        <f t="shared" si="36"/>
        <v>0</v>
      </c>
      <c r="X25" s="670">
        <f t="shared" si="37"/>
        <v>0</v>
      </c>
      <c r="Y25" s="670">
        <f t="shared" si="38"/>
        <v>0</v>
      </c>
      <c r="Z25" s="670">
        <f t="shared" si="39"/>
        <v>0</v>
      </c>
      <c r="AA25" s="275">
        <f t="shared" si="40"/>
        <v>0</v>
      </c>
      <c r="AB25" s="272">
        <f t="shared" si="41"/>
        <v>0</v>
      </c>
      <c r="AC25" s="272">
        <f t="shared" si="42"/>
        <v>0</v>
      </c>
      <c r="AD25" s="276">
        <f t="shared" si="43"/>
        <v>0</v>
      </c>
      <c r="AE25" s="277">
        <f>INDEX(Tiere!I$30:I$106,'Nährstoffe und Lagerraum'!$BH25)</f>
        <v>0</v>
      </c>
      <c r="AF25" s="277">
        <f>INDEX(Tiere!W$30:W$106,'Nährstoffe und Lagerraum'!BH25)</f>
        <v>0</v>
      </c>
      <c r="AG25" s="272">
        <f>+(AV25*BM25*(100-BV25)/100)-BA25*AV25*BC25</f>
        <v>0</v>
      </c>
      <c r="AH25" s="272">
        <f t="shared" si="45"/>
        <v>0</v>
      </c>
      <c r="AI25" s="272">
        <f t="shared" si="46"/>
        <v>0</v>
      </c>
      <c r="AJ25" s="275">
        <f t="shared" si="47"/>
        <v>0</v>
      </c>
      <c r="AK25" s="272">
        <f t="shared" si="48"/>
        <v>0</v>
      </c>
      <c r="AL25" s="276">
        <f t="shared" si="49"/>
        <v>0</v>
      </c>
      <c r="AM25" s="277" cm="1">
        <f t="array" ref="AM25">IF(BI25=1,INDEX(Tiere!S$30:S$106,'Nährstoffe und Lagerraum'!$BH25),IF(BI25=2,INDEX(Tiere!$T$30:$T$106,'Nährstoffe und Lagerraum'!BH25),INDEX(Tiere!$U$30:$U$106,'Nährstoffe und Lagerraum'!BH25)))</f>
        <v>0</v>
      </c>
      <c r="AN25" s="431">
        <f t="shared" ref="AN25:AN38" si="80">IF(BI25=1,AW25*CA25*BK25*365/1000*CG25,IF(BI25=2,AW25*CB25*BK25*365/1000*CG25,AW25*CC25*BK25*365/1000*CG25))</f>
        <v>0</v>
      </c>
      <c r="AO25" s="431">
        <f t="shared" si="50"/>
        <v>0</v>
      </c>
      <c r="AP25" s="431">
        <f t="shared" si="51"/>
        <v>0</v>
      </c>
      <c r="AQ25" s="432">
        <f t="shared" si="52"/>
        <v>0</v>
      </c>
      <c r="AR25" s="433">
        <f t="shared" si="53"/>
        <v>0</v>
      </c>
      <c r="AS25" s="434">
        <f t="shared" si="54"/>
        <v>0</v>
      </c>
      <c r="AT25" s="272"/>
      <c r="AU25" s="375">
        <f t="shared" si="55"/>
        <v>0</v>
      </c>
      <c r="AV25" s="376">
        <f t="shared" si="56"/>
        <v>0</v>
      </c>
      <c r="AW25" s="376">
        <f t="shared" si="57"/>
        <v>0</v>
      </c>
      <c r="AX25" s="275">
        <f t="shared" si="58"/>
        <v>0</v>
      </c>
      <c r="AY25" s="272">
        <f t="shared" si="59"/>
        <v>0</v>
      </c>
      <c r="AZ25" s="276">
        <f t="shared" si="60"/>
        <v>0</v>
      </c>
      <c r="BA25" s="280">
        <f t="shared" si="61"/>
        <v>0</v>
      </c>
      <c r="BB25" s="281">
        <f t="shared" si="62"/>
        <v>0</v>
      </c>
      <c r="BC25" s="278">
        <f>INDEX(Tiere!AI$30:AI$106,'Nährstoffe und Lagerraum'!$BH25)</f>
        <v>0</v>
      </c>
      <c r="BD25" s="278">
        <f>INDEX(Tiere!AJ$30:AJ$106,'Nährstoffe und Lagerraum'!$BH25)</f>
        <v>0</v>
      </c>
      <c r="BE25" s="278">
        <f>INDEX(Tiere!AK$30:AK$106,'Nährstoffe und Lagerraum'!$BH25)</f>
        <v>0</v>
      </c>
      <c r="BF25" s="283">
        <f t="shared" si="63"/>
        <v>1</v>
      </c>
      <c r="BG25" s="283" cm="1">
        <f t="array" ref="BG25">INDEX(Tiere!$C$30:$C$106,BH25)</f>
        <v>0</v>
      </c>
      <c r="BH25" s="284">
        <v>1</v>
      </c>
      <c r="BI25" s="284">
        <v>1</v>
      </c>
      <c r="BJ25" s="283">
        <f>INDEX(Tiere!D$30:D$106,'Nährstoffe und Lagerraum'!$BH25)</f>
        <v>0</v>
      </c>
      <c r="BK25" s="283" t="str">
        <f t="shared" si="64"/>
        <v>1</v>
      </c>
      <c r="BL25" s="283">
        <f t="shared" si="65"/>
        <v>0</v>
      </c>
      <c r="BM25" s="282">
        <f>INDEX(Tiere!E$30:E$106,'Nährstoffe und Lagerraum'!$BH25)</f>
        <v>0</v>
      </c>
      <c r="BN25" s="278">
        <f>INDEX(Tiere!F$30:F$106,'Nährstoffe und Lagerraum'!$BH25)</f>
        <v>0</v>
      </c>
      <c r="BO25" s="279">
        <f>INDEX(Tiere!G$30:G$106,'Nährstoffe und Lagerraum'!$BH25)</f>
        <v>0</v>
      </c>
      <c r="BP25" s="278">
        <f>INDEX(Tiere!H$30:H$106,'Nährstoffe und Lagerraum'!$BH25)</f>
        <v>0</v>
      </c>
      <c r="BQ25" s="278">
        <f>INDEX(Tiere!V$30:V$106,'Nährstoffe und Lagerraum'!$BH25)</f>
        <v>0</v>
      </c>
      <c r="BR25" s="282">
        <f>INDEX(Tiere!P$30:P$106,'Nährstoffe und Lagerraum'!$BH25)</f>
        <v>0</v>
      </c>
      <c r="BS25" s="278">
        <f>INDEX(Tiere!Q$30:Q$106,'Nährstoffe und Lagerraum'!$BH25)</f>
        <v>0</v>
      </c>
      <c r="BT25" s="279">
        <f>INDEX(Tiere!R$30:R$106,'Nährstoffe und Lagerraum'!$BH25)</f>
        <v>0</v>
      </c>
      <c r="BU25" s="282">
        <f>INDEX(Tiere!X$30:X$106,'Nährstoffe und Lagerraum'!$BH25)</f>
        <v>0</v>
      </c>
      <c r="BV25" s="279">
        <f>INDEX(Tiere!Y$30:Y$106,'Nährstoffe und Lagerraum'!$BH25)</f>
        <v>0</v>
      </c>
      <c r="BW25" s="285">
        <f>INDEX(Tiere!Z$30:Z$106,'Nährstoffe und Lagerraum'!$BH25)</f>
        <v>0</v>
      </c>
      <c r="BX25" s="279">
        <f>INDEX(Tiere!J$30:J$106,'Nährstoffe und Lagerraum'!$BH25)</f>
        <v>0</v>
      </c>
      <c r="BY25" s="279">
        <f>INDEX(Tiere!K$30:K$106,'Nährstoffe und Lagerraum'!$BH25)</f>
        <v>0</v>
      </c>
      <c r="BZ25" s="279">
        <f>INDEX(Tiere!L$30:L$106,'Nährstoffe und Lagerraum'!$BH25)</f>
        <v>0</v>
      </c>
      <c r="CA25" s="278">
        <f>BX25*'Abweichende Werte'!$Y$64</f>
        <v>0</v>
      </c>
      <c r="CB25" s="278">
        <f>BY25*'Abweichende Werte'!$Y$64</f>
        <v>0</v>
      </c>
      <c r="CC25" s="278">
        <f>BZ25*'Abweichende Werte'!$Y$64</f>
        <v>0</v>
      </c>
      <c r="CD25" s="272">
        <v>5</v>
      </c>
      <c r="CE25" s="272">
        <v>3</v>
      </c>
      <c r="CF25" s="276">
        <v>17</v>
      </c>
      <c r="CG25" s="276">
        <f>'Abweichende Werte'!U$64</f>
        <v>5</v>
      </c>
      <c r="CH25" s="276">
        <f>'Abweichende Werte'!V$64</f>
        <v>3</v>
      </c>
      <c r="CI25" s="276">
        <f>'Abweichende Werte'!W$64</f>
        <v>17</v>
      </c>
      <c r="CJ25" s="276">
        <f>INDEX(Tiere!AD$30:AD$106,'Nährstoffe und Lagerraum'!$BH25)</f>
        <v>0</v>
      </c>
      <c r="CK25" s="276">
        <f>INDEX(Tiere!AE$30:AE$106,'Nährstoffe und Lagerraum'!$BH25)</f>
        <v>0</v>
      </c>
      <c r="CL25" s="286">
        <f t="shared" si="66"/>
        <v>0</v>
      </c>
      <c r="CM25" s="287">
        <f t="shared" si="67"/>
        <v>0</v>
      </c>
      <c r="CN25" s="272">
        <f t="shared" si="68"/>
        <v>0</v>
      </c>
      <c r="CO25" s="276">
        <f t="shared" si="69"/>
        <v>0</v>
      </c>
      <c r="CP25" s="272"/>
      <c r="CQ25" s="272" t="b">
        <f t="shared" si="70"/>
        <v>0</v>
      </c>
      <c r="CR25" s="272"/>
      <c r="CS25" s="282">
        <f>INDEX(Tiere!AF$30:AF$106,'Nährstoffe und Lagerraum'!$BH25)</f>
        <v>0</v>
      </c>
      <c r="CT25" s="282">
        <f>INDEX(Tiere!AG$30:AG$106,'Nährstoffe und Lagerraum'!$BH25)</f>
        <v>0</v>
      </c>
      <c r="CU25" s="282">
        <f>INDEX(Tiere!AH$30:AH$106,'Nährstoffe und Lagerraum'!$BH25)</f>
        <v>0</v>
      </c>
      <c r="CV25" s="143">
        <f t="shared" si="71"/>
        <v>0</v>
      </c>
      <c r="CW25" s="148">
        <f t="shared" si="72"/>
        <v>0</v>
      </c>
      <c r="CX25" s="17"/>
      <c r="CY25" s="17">
        <f t="shared" si="73"/>
        <v>0</v>
      </c>
      <c r="CZ25" s="17">
        <f t="shared" si="74"/>
        <v>0</v>
      </c>
      <c r="DA25" s="17">
        <f t="shared" si="75"/>
        <v>0</v>
      </c>
      <c r="DD25" s="143">
        <f t="shared" si="76"/>
        <v>0</v>
      </c>
      <c r="DE25" s="143">
        <f t="shared" si="77"/>
        <v>0</v>
      </c>
      <c r="DF25" s="143">
        <f t="shared" si="78"/>
        <v>0</v>
      </c>
      <c r="DG25" s="143">
        <f t="shared" si="79"/>
        <v>0</v>
      </c>
      <c r="DL25" s="143">
        <f t="shared" si="22"/>
        <v>0</v>
      </c>
      <c r="DM25" s="143">
        <f t="shared" si="23"/>
        <v>0</v>
      </c>
      <c r="DN25" s="143">
        <f t="shared" si="24"/>
        <v>0</v>
      </c>
      <c r="DO25" s="143">
        <f t="shared" si="25"/>
        <v>0</v>
      </c>
      <c r="DP25" s="143">
        <f t="shared" si="26"/>
        <v>0</v>
      </c>
      <c r="DQ25" s="143">
        <f t="shared" si="27"/>
        <v>0</v>
      </c>
      <c r="DS25" s="143" cm="1">
        <f t="array" ref="DS25">INDEX(Tiere!$AB$30:$AB$106,'Nährstoffe und Lagerraum'!BH25)</f>
        <v>0</v>
      </c>
    </row>
    <row r="26" spans="1:123" ht="15.75" customHeight="1" x14ac:dyDescent="0.25">
      <c r="A26" s="1273"/>
      <c r="B26" s="1274"/>
      <c r="C26" s="1274"/>
      <c r="D26" s="1094"/>
      <c r="E26" s="1095"/>
      <c r="F26" s="1173"/>
      <c r="G26" s="1100"/>
      <c r="H26" s="1101"/>
      <c r="I26" s="471" t="str">
        <f t="shared" si="28"/>
        <v xml:space="preserve"> </v>
      </c>
      <c r="J26" s="471" t="str">
        <f>IF(Q26+S26=0," ",(Q26+S26)/2)</f>
        <v xml:space="preserve"> </v>
      </c>
      <c r="K26" s="17"/>
      <c r="L26" s="1145">
        <f t="shared" si="29"/>
        <v>0</v>
      </c>
      <c r="M26" s="272"/>
      <c r="N26" s="272" t="str">
        <f>IF(J26=" "," ",(J26*(1/BW26)))</f>
        <v xml:space="preserve"> </v>
      </c>
      <c r="O26" s="272"/>
      <c r="P26" s="272">
        <f t="shared" si="31"/>
        <v>0</v>
      </c>
      <c r="Q26" s="272">
        <f>IF(CQ26=FALSE,0,IF(V26=0,0,IF(AY26+AV26=0,0,IF(BF26=4,AV26*BB26-(D26*(1-G26/100)*BB26)*((1220/1000)/(2*11))+DN26-DL26,AV26*BB26+DN26-DL26))))</f>
        <v>0</v>
      </c>
      <c r="R26" s="272">
        <f t="shared" si="32"/>
        <v>0</v>
      </c>
      <c r="S26" s="272">
        <f t="shared" si="3"/>
        <v>0</v>
      </c>
      <c r="T26" s="272" t="str">
        <f t="shared" si="33"/>
        <v xml:space="preserve"> </v>
      </c>
      <c r="U26" s="273">
        <f t="shared" si="34"/>
        <v>0</v>
      </c>
      <c r="V26" s="274">
        <f t="shared" si="35"/>
        <v>0</v>
      </c>
      <c r="W26" s="670">
        <f t="shared" si="36"/>
        <v>0</v>
      </c>
      <c r="X26" s="670">
        <f t="shared" si="37"/>
        <v>0</v>
      </c>
      <c r="Y26" s="670">
        <f t="shared" si="38"/>
        <v>0</v>
      </c>
      <c r="Z26" s="670">
        <f t="shared" si="39"/>
        <v>0</v>
      </c>
      <c r="AA26" s="275">
        <f t="shared" si="40"/>
        <v>0</v>
      </c>
      <c r="AB26" s="272">
        <f t="shared" si="41"/>
        <v>0</v>
      </c>
      <c r="AC26" s="272">
        <f t="shared" si="42"/>
        <v>0</v>
      </c>
      <c r="AD26" s="276">
        <f t="shared" si="43"/>
        <v>0</v>
      </c>
      <c r="AE26" s="277">
        <f>INDEX(Tiere!I$30:I$106,'Nährstoffe und Lagerraum'!$BH26)</f>
        <v>0</v>
      </c>
      <c r="AF26" s="277">
        <f>INDEX(Tiere!W$30:W$106,'Nährstoffe und Lagerraum'!BH26)</f>
        <v>0</v>
      </c>
      <c r="AG26" s="272">
        <f t="shared" si="44"/>
        <v>0</v>
      </c>
      <c r="AH26" s="272">
        <f t="shared" si="45"/>
        <v>0</v>
      </c>
      <c r="AI26" s="272">
        <f t="shared" si="46"/>
        <v>0</v>
      </c>
      <c r="AJ26" s="275">
        <f t="shared" si="47"/>
        <v>0</v>
      </c>
      <c r="AK26" s="272">
        <f t="shared" si="48"/>
        <v>0</v>
      </c>
      <c r="AL26" s="276">
        <f t="shared" si="49"/>
        <v>0</v>
      </c>
      <c r="AM26" s="277" cm="1">
        <f t="array" ref="AM26">IF(BI26=1,INDEX(Tiere!S$30:S$106,'Nährstoffe und Lagerraum'!$BH26),IF(BI26=2,INDEX(Tiere!$T$30:$T$106,'Nährstoffe und Lagerraum'!BH26),INDEX(Tiere!$U$30:$U$106,'Nährstoffe und Lagerraum'!BH26)))</f>
        <v>0</v>
      </c>
      <c r="AN26" s="431">
        <f t="shared" si="80"/>
        <v>0</v>
      </c>
      <c r="AO26" s="431">
        <f t="shared" si="50"/>
        <v>0</v>
      </c>
      <c r="AP26" s="431">
        <f t="shared" si="51"/>
        <v>0</v>
      </c>
      <c r="AQ26" s="432">
        <f t="shared" si="52"/>
        <v>0</v>
      </c>
      <c r="AR26" s="433">
        <f t="shared" si="53"/>
        <v>0</v>
      </c>
      <c r="AS26" s="434">
        <f t="shared" si="54"/>
        <v>0</v>
      </c>
      <c r="AT26" s="272"/>
      <c r="AU26" s="375">
        <f t="shared" si="55"/>
        <v>0</v>
      </c>
      <c r="AV26" s="376">
        <f t="shared" si="56"/>
        <v>0</v>
      </c>
      <c r="AW26" s="376">
        <f>+E26*(100-$G26)/100</f>
        <v>0</v>
      </c>
      <c r="AX26" s="275">
        <f t="shared" si="58"/>
        <v>0</v>
      </c>
      <c r="AY26" s="272">
        <f t="shared" si="59"/>
        <v>0</v>
      </c>
      <c r="AZ26" s="276">
        <f t="shared" si="60"/>
        <v>0</v>
      </c>
      <c r="BA26" s="280">
        <f t="shared" si="61"/>
        <v>0</v>
      </c>
      <c r="BB26" s="281">
        <f t="shared" si="62"/>
        <v>0</v>
      </c>
      <c r="BC26" s="278">
        <f>INDEX(Tiere!AI$30:AI$106,'Nährstoffe und Lagerraum'!$BH26)</f>
        <v>0</v>
      </c>
      <c r="BD26" s="278">
        <f>INDEX(Tiere!AJ$30:AJ$106,'Nährstoffe und Lagerraum'!$BH26)</f>
        <v>0</v>
      </c>
      <c r="BE26" s="278">
        <f>INDEX(Tiere!AK$30:AK$106,'Nährstoffe und Lagerraum'!$BH26)</f>
        <v>0</v>
      </c>
      <c r="BF26" s="283">
        <f t="shared" si="63"/>
        <v>1</v>
      </c>
      <c r="BG26" s="283" cm="1">
        <f t="array" ref="BG26">INDEX(Tiere!$C$30:$C$106,BH26)</f>
        <v>0</v>
      </c>
      <c r="BH26" s="284">
        <v>1</v>
      </c>
      <c r="BI26" s="284">
        <v>1</v>
      </c>
      <c r="BJ26" s="283">
        <f>INDEX(Tiere!D$30:D$106,'Nährstoffe und Lagerraum'!$BH26)</f>
        <v>0</v>
      </c>
      <c r="BK26" s="283" t="str">
        <f t="shared" si="64"/>
        <v>1</v>
      </c>
      <c r="BL26" s="283">
        <f t="shared" si="65"/>
        <v>0</v>
      </c>
      <c r="BM26" s="282">
        <f>INDEX(Tiere!E$30:E$106,'Nährstoffe und Lagerraum'!$BH26)</f>
        <v>0</v>
      </c>
      <c r="BN26" s="278">
        <f>INDEX(Tiere!F$30:F$106,'Nährstoffe und Lagerraum'!$BH26)</f>
        <v>0</v>
      </c>
      <c r="BO26" s="279">
        <f>INDEX(Tiere!G$30:G$106,'Nährstoffe und Lagerraum'!$BH26)</f>
        <v>0</v>
      </c>
      <c r="BP26" s="278">
        <f>INDEX(Tiere!H$30:H$106,'Nährstoffe und Lagerraum'!$BH26)</f>
        <v>0</v>
      </c>
      <c r="BQ26" s="278">
        <f>INDEX(Tiere!V$30:V$106,'Nährstoffe und Lagerraum'!$BH26)</f>
        <v>0</v>
      </c>
      <c r="BR26" s="282">
        <f>INDEX(Tiere!P$30:P$106,'Nährstoffe und Lagerraum'!$BH26)</f>
        <v>0</v>
      </c>
      <c r="BS26" s="278">
        <f>INDEX(Tiere!Q$30:Q$106,'Nährstoffe und Lagerraum'!$BH26)</f>
        <v>0</v>
      </c>
      <c r="BT26" s="279">
        <f>INDEX(Tiere!R$30:R$106,'Nährstoffe und Lagerraum'!$BH26)</f>
        <v>0</v>
      </c>
      <c r="BU26" s="282">
        <f>INDEX(Tiere!X$30:X$106,'Nährstoffe und Lagerraum'!$BH26)</f>
        <v>0</v>
      </c>
      <c r="BV26" s="279">
        <f>INDEX(Tiere!Y$30:Y$106,'Nährstoffe und Lagerraum'!$BH26)</f>
        <v>0</v>
      </c>
      <c r="BW26" s="285">
        <f>INDEX(Tiere!Z$30:Z$106,'Nährstoffe und Lagerraum'!$BH26)</f>
        <v>0</v>
      </c>
      <c r="BX26" s="279">
        <f>INDEX(Tiere!J$30:J$106,'Nährstoffe und Lagerraum'!$BH26)</f>
        <v>0</v>
      </c>
      <c r="BY26" s="279">
        <f>INDEX(Tiere!K$30:K$106,'Nährstoffe und Lagerraum'!$BH26)</f>
        <v>0</v>
      </c>
      <c r="BZ26" s="279">
        <f>INDEX(Tiere!L$30:L$106,'Nährstoffe und Lagerraum'!$BH26)</f>
        <v>0</v>
      </c>
      <c r="CA26" s="278">
        <f>BX26*'Abweichende Werte'!$Y$64</f>
        <v>0</v>
      </c>
      <c r="CB26" s="278">
        <f>BY26*'Abweichende Werte'!$Y$64</f>
        <v>0</v>
      </c>
      <c r="CC26" s="278">
        <f>BZ26*'Abweichende Werte'!$Y$64</f>
        <v>0</v>
      </c>
      <c r="CD26" s="272">
        <v>5</v>
      </c>
      <c r="CE26" s="272">
        <v>3</v>
      </c>
      <c r="CF26" s="276">
        <v>17</v>
      </c>
      <c r="CG26" s="276">
        <f>'Abweichende Werte'!U$64</f>
        <v>5</v>
      </c>
      <c r="CH26" s="276">
        <f>'Abweichende Werte'!V$64</f>
        <v>3</v>
      </c>
      <c r="CI26" s="276">
        <f>'Abweichende Werte'!W$64</f>
        <v>17</v>
      </c>
      <c r="CJ26" s="276">
        <f>INDEX(Tiere!AD$30:AD$106,'Nährstoffe und Lagerraum'!$BH26)</f>
        <v>0</v>
      </c>
      <c r="CK26" s="276">
        <f>INDEX(Tiere!AE$30:AE$106,'Nährstoffe und Lagerraum'!$BH26)</f>
        <v>0</v>
      </c>
      <c r="CL26" s="286">
        <f t="shared" si="66"/>
        <v>0</v>
      </c>
      <c r="CM26" s="287">
        <f t="shared" si="67"/>
        <v>0</v>
      </c>
      <c r="CN26" s="272">
        <f t="shared" si="68"/>
        <v>0</v>
      </c>
      <c r="CO26" s="276">
        <f t="shared" si="69"/>
        <v>0</v>
      </c>
      <c r="CP26" s="272"/>
      <c r="CQ26" s="272" t="b">
        <f t="shared" si="70"/>
        <v>0</v>
      </c>
      <c r="CR26" s="272"/>
      <c r="CS26" s="282">
        <f>INDEX(Tiere!AF$30:AF$106,'Nährstoffe und Lagerraum'!$BH26)</f>
        <v>0</v>
      </c>
      <c r="CT26" s="282">
        <f>INDEX(Tiere!AG$30:AG$106,'Nährstoffe und Lagerraum'!$BH26)</f>
        <v>0</v>
      </c>
      <c r="CU26" s="282">
        <f>INDEX(Tiere!AH$30:AH$106,'Nährstoffe und Lagerraum'!$BH26)</f>
        <v>0</v>
      </c>
      <c r="CV26" s="143">
        <f t="shared" si="71"/>
        <v>0</v>
      </c>
      <c r="CW26" s="148">
        <f t="shared" si="72"/>
        <v>0</v>
      </c>
      <c r="CX26" s="17"/>
      <c r="CY26" s="17">
        <f t="shared" si="73"/>
        <v>0</v>
      </c>
      <c r="CZ26" s="17">
        <f t="shared" si="74"/>
        <v>0</v>
      </c>
      <c r="DA26" s="17">
        <f t="shared" si="75"/>
        <v>0</v>
      </c>
      <c r="DD26" s="143">
        <f t="shared" si="76"/>
        <v>0</v>
      </c>
      <c r="DE26" s="143">
        <f t="shared" si="77"/>
        <v>0</v>
      </c>
      <c r="DF26" s="143">
        <f t="shared" si="78"/>
        <v>0</v>
      </c>
      <c r="DG26" s="143">
        <f t="shared" si="79"/>
        <v>0</v>
      </c>
      <c r="DL26" s="143">
        <f t="shared" si="22"/>
        <v>0</v>
      </c>
      <c r="DM26" s="143">
        <f t="shared" si="23"/>
        <v>0</v>
      </c>
      <c r="DN26" s="143">
        <f t="shared" si="24"/>
        <v>0</v>
      </c>
      <c r="DO26" s="143">
        <f t="shared" si="25"/>
        <v>0</v>
      </c>
      <c r="DP26" s="143">
        <f t="shared" si="26"/>
        <v>0</v>
      </c>
      <c r="DQ26" s="143">
        <f t="shared" si="27"/>
        <v>0</v>
      </c>
      <c r="DS26" s="143" cm="1">
        <f t="array" ref="DS26">INDEX(Tiere!$AB$30:$AB$106,'Nährstoffe und Lagerraum'!BH26)</f>
        <v>0</v>
      </c>
    </row>
    <row r="27" spans="1:123" ht="15.75" customHeight="1" x14ac:dyDescent="0.25">
      <c r="A27" s="1273"/>
      <c r="B27" s="1274"/>
      <c r="C27" s="1274"/>
      <c r="D27" s="1094"/>
      <c r="E27" s="1095"/>
      <c r="F27" s="1173"/>
      <c r="G27" s="1100"/>
      <c r="H27" s="1101"/>
      <c r="I27" s="471" t="str">
        <f t="shared" si="28"/>
        <v xml:space="preserve"> </v>
      </c>
      <c r="J27" s="471" t="str">
        <f>IF(Q27+S27=0," ",(Q27+S27)/2)</f>
        <v xml:space="preserve"> </v>
      </c>
      <c r="K27" s="18"/>
      <c r="L27" s="1145">
        <f t="shared" si="29"/>
        <v>0</v>
      </c>
      <c r="M27" s="244"/>
      <c r="N27" s="272" t="str">
        <f t="shared" si="30"/>
        <v xml:space="preserve"> </v>
      </c>
      <c r="O27" s="272"/>
      <c r="P27" s="272">
        <f t="shared" si="31"/>
        <v>0</v>
      </c>
      <c r="Q27" s="272">
        <f t="shared" si="1"/>
        <v>0</v>
      </c>
      <c r="R27" s="272">
        <f t="shared" si="32"/>
        <v>0</v>
      </c>
      <c r="S27" s="272">
        <f t="shared" si="3"/>
        <v>0</v>
      </c>
      <c r="T27" s="272" t="str">
        <f t="shared" si="33"/>
        <v xml:space="preserve"> </v>
      </c>
      <c r="U27" s="273">
        <f t="shared" si="34"/>
        <v>0</v>
      </c>
      <c r="V27" s="274">
        <f t="shared" si="35"/>
        <v>0</v>
      </c>
      <c r="W27" s="670">
        <f t="shared" si="36"/>
        <v>0</v>
      </c>
      <c r="X27" s="670">
        <f t="shared" si="37"/>
        <v>0</v>
      </c>
      <c r="Y27" s="670">
        <f t="shared" si="38"/>
        <v>0</v>
      </c>
      <c r="Z27" s="670">
        <f t="shared" si="39"/>
        <v>0</v>
      </c>
      <c r="AA27" s="275">
        <f t="shared" si="40"/>
        <v>0</v>
      </c>
      <c r="AB27" s="272">
        <f t="shared" si="41"/>
        <v>0</v>
      </c>
      <c r="AC27" s="272">
        <f t="shared" si="42"/>
        <v>0</v>
      </c>
      <c r="AD27" s="276">
        <f t="shared" si="43"/>
        <v>0</v>
      </c>
      <c r="AE27" s="277">
        <f>INDEX(Tiere!I$30:I$106,'Nährstoffe und Lagerraum'!$BH27)</f>
        <v>0</v>
      </c>
      <c r="AF27" s="277">
        <f>INDEX(Tiere!W$30:W$106,'Nährstoffe und Lagerraum'!BH27)</f>
        <v>0</v>
      </c>
      <c r="AG27" s="272">
        <f t="shared" si="44"/>
        <v>0</v>
      </c>
      <c r="AH27" s="272">
        <f t="shared" si="45"/>
        <v>0</v>
      </c>
      <c r="AI27" s="272">
        <f t="shared" si="46"/>
        <v>0</v>
      </c>
      <c r="AJ27" s="275">
        <f t="shared" si="47"/>
        <v>0</v>
      </c>
      <c r="AK27" s="272">
        <f t="shared" si="48"/>
        <v>0</v>
      </c>
      <c r="AL27" s="276">
        <f t="shared" si="49"/>
        <v>0</v>
      </c>
      <c r="AM27" s="277" cm="1">
        <f t="array" ref="AM27">IF(BI27=1,INDEX(Tiere!S$30:S$106,'Nährstoffe und Lagerraum'!$BH27),IF(BI27=2,INDEX(Tiere!$T$30:$T$106,'Nährstoffe und Lagerraum'!BH27),INDEX(Tiere!$U$30:$U$106,'Nährstoffe und Lagerraum'!BH27)))</f>
        <v>0</v>
      </c>
      <c r="AN27" s="431">
        <f t="shared" si="80"/>
        <v>0</v>
      </c>
      <c r="AO27" s="431">
        <f t="shared" si="50"/>
        <v>0</v>
      </c>
      <c r="AP27" s="431">
        <f t="shared" si="51"/>
        <v>0</v>
      </c>
      <c r="AQ27" s="432">
        <f t="shared" si="52"/>
        <v>0</v>
      </c>
      <c r="AR27" s="433">
        <f t="shared" si="53"/>
        <v>0</v>
      </c>
      <c r="AS27" s="434">
        <f t="shared" si="54"/>
        <v>0</v>
      </c>
      <c r="AT27" s="272"/>
      <c r="AU27" s="375">
        <f t="shared" si="55"/>
        <v>0</v>
      </c>
      <c r="AV27" s="376">
        <f t="shared" si="56"/>
        <v>0</v>
      </c>
      <c r="AW27" s="376">
        <f t="shared" si="57"/>
        <v>0</v>
      </c>
      <c r="AX27" s="275">
        <f t="shared" si="58"/>
        <v>0</v>
      </c>
      <c r="AY27" s="272">
        <f t="shared" si="59"/>
        <v>0</v>
      </c>
      <c r="AZ27" s="276">
        <f t="shared" si="60"/>
        <v>0</v>
      </c>
      <c r="BA27" s="280">
        <f t="shared" si="61"/>
        <v>0</v>
      </c>
      <c r="BB27" s="281">
        <f t="shared" si="62"/>
        <v>0</v>
      </c>
      <c r="BC27" s="278">
        <f>INDEX(Tiere!AI$30:AI$106,'Nährstoffe und Lagerraum'!$BH27)</f>
        <v>0</v>
      </c>
      <c r="BD27" s="278">
        <f>INDEX(Tiere!AJ$30:AJ$106,'Nährstoffe und Lagerraum'!$BH27)</f>
        <v>0</v>
      </c>
      <c r="BE27" s="278">
        <f>INDEX(Tiere!AK$30:AK$106,'Nährstoffe und Lagerraum'!$BH27)</f>
        <v>0</v>
      </c>
      <c r="BF27" s="283">
        <f t="shared" si="63"/>
        <v>1</v>
      </c>
      <c r="BG27" s="283" cm="1">
        <f t="array" ref="BG27">INDEX(Tiere!$C$30:$C$106,BH27)</f>
        <v>0</v>
      </c>
      <c r="BH27" s="284">
        <v>1</v>
      </c>
      <c r="BI27" s="284">
        <v>1</v>
      </c>
      <c r="BJ27" s="283">
        <f>INDEX(Tiere!D$30:D$106,'Nährstoffe und Lagerraum'!$BH27)</f>
        <v>0</v>
      </c>
      <c r="BK27" s="283" t="str">
        <f t="shared" si="64"/>
        <v>1</v>
      </c>
      <c r="BL27" s="283">
        <f t="shared" si="65"/>
        <v>0</v>
      </c>
      <c r="BM27" s="282">
        <f>INDEX(Tiere!E$30:E$106,'Nährstoffe und Lagerraum'!$BH27)</f>
        <v>0</v>
      </c>
      <c r="BN27" s="278">
        <f>INDEX(Tiere!F$30:F$106,'Nährstoffe und Lagerraum'!$BH27)</f>
        <v>0</v>
      </c>
      <c r="BO27" s="279">
        <f>INDEX(Tiere!G$30:G$106,'Nährstoffe und Lagerraum'!$BH27)</f>
        <v>0</v>
      </c>
      <c r="BP27" s="278">
        <f>INDEX(Tiere!H$30:H$106,'Nährstoffe und Lagerraum'!$BH27)</f>
        <v>0</v>
      </c>
      <c r="BQ27" s="278">
        <f>INDEX(Tiere!V$30:V$106,'Nährstoffe und Lagerraum'!$BH27)</f>
        <v>0</v>
      </c>
      <c r="BR27" s="282">
        <f>INDEX(Tiere!P$30:P$106,'Nährstoffe und Lagerraum'!$BH27)</f>
        <v>0</v>
      </c>
      <c r="BS27" s="278">
        <f>INDEX(Tiere!Q$30:Q$106,'Nährstoffe und Lagerraum'!$BH27)</f>
        <v>0</v>
      </c>
      <c r="BT27" s="279">
        <f>INDEX(Tiere!R$30:R$106,'Nährstoffe und Lagerraum'!$BH27)</f>
        <v>0</v>
      </c>
      <c r="BU27" s="282">
        <f>INDEX(Tiere!X$30:X$106,'Nährstoffe und Lagerraum'!$BH27)</f>
        <v>0</v>
      </c>
      <c r="BV27" s="279">
        <f>INDEX(Tiere!Y$30:Y$106,'Nährstoffe und Lagerraum'!$BH27)</f>
        <v>0</v>
      </c>
      <c r="BW27" s="285">
        <f>INDEX(Tiere!Z$30:Z$106,'Nährstoffe und Lagerraum'!$BH27)</f>
        <v>0</v>
      </c>
      <c r="BX27" s="279">
        <f>INDEX(Tiere!J$30:J$106,'Nährstoffe und Lagerraum'!$BH27)</f>
        <v>0</v>
      </c>
      <c r="BY27" s="279">
        <f>INDEX(Tiere!K$30:K$106,'Nährstoffe und Lagerraum'!$BH27)</f>
        <v>0</v>
      </c>
      <c r="BZ27" s="279">
        <f>INDEX(Tiere!L$30:L$106,'Nährstoffe und Lagerraum'!$BH27)</f>
        <v>0</v>
      </c>
      <c r="CA27" s="278">
        <f>BX27*'Abweichende Werte'!$Y$64</f>
        <v>0</v>
      </c>
      <c r="CB27" s="278">
        <f>BY27*'Abweichende Werte'!$Y$64</f>
        <v>0</v>
      </c>
      <c r="CC27" s="278">
        <f>BZ27*'Abweichende Werte'!$Y$64</f>
        <v>0</v>
      </c>
      <c r="CD27" s="272">
        <v>5</v>
      </c>
      <c r="CE27" s="272">
        <v>3</v>
      </c>
      <c r="CF27" s="276">
        <v>17</v>
      </c>
      <c r="CG27" s="276">
        <f>'Abweichende Werte'!U$64</f>
        <v>5</v>
      </c>
      <c r="CH27" s="276">
        <f>'Abweichende Werte'!V$64</f>
        <v>3</v>
      </c>
      <c r="CI27" s="276">
        <f>'Abweichende Werte'!W$64</f>
        <v>17</v>
      </c>
      <c r="CJ27" s="276">
        <f>INDEX(Tiere!AD$30:AD$106,'Nährstoffe und Lagerraum'!$BH27)</f>
        <v>0</v>
      </c>
      <c r="CK27" s="276">
        <f>INDEX(Tiere!AE$30:AE$106,'Nährstoffe und Lagerraum'!$BH27)</f>
        <v>0</v>
      </c>
      <c r="CL27" s="286">
        <f t="shared" si="66"/>
        <v>0</v>
      </c>
      <c r="CM27" s="287">
        <f t="shared" si="67"/>
        <v>0</v>
      </c>
      <c r="CN27" s="272">
        <f t="shared" si="68"/>
        <v>0</v>
      </c>
      <c r="CO27" s="276">
        <f t="shared" si="69"/>
        <v>0</v>
      </c>
      <c r="CP27" s="272"/>
      <c r="CQ27" s="272" t="b">
        <f t="shared" si="70"/>
        <v>0</v>
      </c>
      <c r="CR27" s="272"/>
      <c r="CS27" s="282">
        <f>INDEX(Tiere!AF$30:AF$106,'Nährstoffe und Lagerraum'!$BH27)</f>
        <v>0</v>
      </c>
      <c r="CT27" s="282">
        <f>INDEX(Tiere!AG$30:AG$106,'Nährstoffe und Lagerraum'!$BH27)</f>
        <v>0</v>
      </c>
      <c r="CU27" s="282">
        <f>INDEX(Tiere!AH$30:AH$106,'Nährstoffe und Lagerraum'!$BH27)</f>
        <v>0</v>
      </c>
      <c r="CV27" s="143">
        <f t="shared" si="71"/>
        <v>0</v>
      </c>
      <c r="CW27" s="148">
        <f t="shared" si="72"/>
        <v>0</v>
      </c>
      <c r="CX27" s="17"/>
      <c r="CY27" s="17">
        <f t="shared" si="73"/>
        <v>0</v>
      </c>
      <c r="CZ27" s="17">
        <f t="shared" si="74"/>
        <v>0</v>
      </c>
      <c r="DA27" s="17">
        <f t="shared" si="75"/>
        <v>0</v>
      </c>
      <c r="DD27" s="143">
        <f t="shared" si="76"/>
        <v>0</v>
      </c>
      <c r="DE27" s="143">
        <f t="shared" si="77"/>
        <v>0</v>
      </c>
      <c r="DF27" s="143">
        <f t="shared" si="78"/>
        <v>0</v>
      </c>
      <c r="DG27" s="143">
        <f t="shared" si="79"/>
        <v>0</v>
      </c>
      <c r="DL27" s="143">
        <f t="shared" si="22"/>
        <v>0</v>
      </c>
      <c r="DM27" s="143">
        <f t="shared" si="23"/>
        <v>0</v>
      </c>
      <c r="DN27" s="143">
        <f t="shared" si="24"/>
        <v>0</v>
      </c>
      <c r="DO27" s="143">
        <f t="shared" si="25"/>
        <v>0</v>
      </c>
      <c r="DP27" s="143">
        <f t="shared" si="26"/>
        <v>0</v>
      </c>
      <c r="DQ27" s="143">
        <f t="shared" si="27"/>
        <v>0</v>
      </c>
      <c r="DS27" s="143" cm="1">
        <f t="array" ref="DS27">INDEX(Tiere!$AB$30:$AB$106,'Nährstoffe und Lagerraum'!BH27)</f>
        <v>0</v>
      </c>
    </row>
    <row r="28" spans="1:123" ht="15.75" customHeight="1" x14ac:dyDescent="0.25">
      <c r="A28" s="1273"/>
      <c r="B28" s="1274"/>
      <c r="C28" s="1274"/>
      <c r="D28" s="1094"/>
      <c r="E28" s="1095"/>
      <c r="F28" s="1173"/>
      <c r="G28" s="1100"/>
      <c r="H28" s="1101"/>
      <c r="I28" s="471" t="str">
        <f t="shared" si="28"/>
        <v xml:space="preserve"> </v>
      </c>
      <c r="J28" s="471" t="str">
        <f t="shared" ref="J28:J38" si="81">IF(Q28+S28=0," ",(Q28+S28)/2)</f>
        <v xml:space="preserve"> </v>
      </c>
      <c r="K28" s="18"/>
      <c r="L28" s="1145">
        <f t="shared" si="29"/>
        <v>0</v>
      </c>
      <c r="M28" s="244"/>
      <c r="N28" s="272" t="str">
        <f t="shared" si="30"/>
        <v xml:space="preserve"> </v>
      </c>
      <c r="O28" s="272"/>
      <c r="P28" s="272">
        <f t="shared" si="31"/>
        <v>0</v>
      </c>
      <c r="Q28" s="272">
        <f t="shared" si="1"/>
        <v>0</v>
      </c>
      <c r="R28" s="272">
        <f t="shared" si="32"/>
        <v>0</v>
      </c>
      <c r="S28" s="272">
        <f t="shared" si="3"/>
        <v>0</v>
      </c>
      <c r="T28" s="272" t="str">
        <f t="shared" si="33"/>
        <v xml:space="preserve"> </v>
      </c>
      <c r="U28" s="273">
        <f t="shared" si="34"/>
        <v>0</v>
      </c>
      <c r="V28" s="274">
        <f t="shared" si="35"/>
        <v>0</v>
      </c>
      <c r="W28" s="670">
        <f t="shared" si="36"/>
        <v>0</v>
      </c>
      <c r="X28" s="670">
        <f t="shared" si="37"/>
        <v>0</v>
      </c>
      <c r="Y28" s="670">
        <f t="shared" si="38"/>
        <v>0</v>
      </c>
      <c r="Z28" s="670">
        <f t="shared" si="39"/>
        <v>0</v>
      </c>
      <c r="AA28" s="275">
        <f t="shared" si="40"/>
        <v>0</v>
      </c>
      <c r="AB28" s="272">
        <f t="shared" si="41"/>
        <v>0</v>
      </c>
      <c r="AC28" s="272">
        <f t="shared" si="42"/>
        <v>0</v>
      </c>
      <c r="AD28" s="276">
        <f t="shared" si="43"/>
        <v>0</v>
      </c>
      <c r="AE28" s="277">
        <f>INDEX(Tiere!I$30:I$106,'Nährstoffe und Lagerraum'!$BH28)</f>
        <v>0</v>
      </c>
      <c r="AF28" s="277">
        <f>INDEX(Tiere!W$30:W$106,'Nährstoffe und Lagerraum'!BH28)</f>
        <v>0</v>
      </c>
      <c r="AG28" s="272">
        <f t="shared" si="44"/>
        <v>0</v>
      </c>
      <c r="AH28" s="272">
        <f t="shared" si="45"/>
        <v>0</v>
      </c>
      <c r="AI28" s="272">
        <f t="shared" si="46"/>
        <v>0</v>
      </c>
      <c r="AJ28" s="275">
        <f t="shared" si="47"/>
        <v>0</v>
      </c>
      <c r="AK28" s="272">
        <f t="shared" si="48"/>
        <v>0</v>
      </c>
      <c r="AL28" s="276">
        <f t="shared" si="49"/>
        <v>0</v>
      </c>
      <c r="AM28" s="277" cm="1">
        <f t="array" ref="AM28">IF(BI28=1,INDEX(Tiere!S$30:S$106,'Nährstoffe und Lagerraum'!$BH28),IF(BI28=2,INDEX(Tiere!$T$30:$T$106,'Nährstoffe und Lagerraum'!BH28),INDEX(Tiere!$U$30:$U$106,'Nährstoffe und Lagerraum'!BH28)))</f>
        <v>0</v>
      </c>
      <c r="AN28" s="431">
        <f t="shared" si="80"/>
        <v>0</v>
      </c>
      <c r="AO28" s="431">
        <f t="shared" si="50"/>
        <v>0</v>
      </c>
      <c r="AP28" s="431">
        <f t="shared" si="51"/>
        <v>0</v>
      </c>
      <c r="AQ28" s="432">
        <f t="shared" si="52"/>
        <v>0</v>
      </c>
      <c r="AR28" s="433">
        <f t="shared" si="53"/>
        <v>0</v>
      </c>
      <c r="AS28" s="434">
        <f t="shared" si="54"/>
        <v>0</v>
      </c>
      <c r="AT28" s="272"/>
      <c r="AU28" s="375">
        <f t="shared" si="55"/>
        <v>0</v>
      </c>
      <c r="AV28" s="376">
        <f t="shared" si="56"/>
        <v>0</v>
      </c>
      <c r="AW28" s="376">
        <f t="shared" si="57"/>
        <v>0</v>
      </c>
      <c r="AX28" s="275">
        <f t="shared" si="58"/>
        <v>0</v>
      </c>
      <c r="AY28" s="272">
        <f t="shared" si="59"/>
        <v>0</v>
      </c>
      <c r="AZ28" s="276">
        <f t="shared" si="60"/>
        <v>0</v>
      </c>
      <c r="BA28" s="280">
        <f t="shared" si="61"/>
        <v>0</v>
      </c>
      <c r="BB28" s="281">
        <f t="shared" si="62"/>
        <v>0</v>
      </c>
      <c r="BC28" s="278">
        <f>INDEX(Tiere!AI$30:AI$106,'Nährstoffe und Lagerraum'!$BH28)</f>
        <v>0</v>
      </c>
      <c r="BD28" s="278">
        <f>INDEX(Tiere!AJ$30:AJ$106,'Nährstoffe und Lagerraum'!$BH28)</f>
        <v>0</v>
      </c>
      <c r="BE28" s="278">
        <f>INDEX(Tiere!AK$30:AK$106,'Nährstoffe und Lagerraum'!$BH28)</f>
        <v>0</v>
      </c>
      <c r="BF28" s="283">
        <f t="shared" si="63"/>
        <v>1</v>
      </c>
      <c r="BG28" s="283" cm="1">
        <f t="array" ref="BG28">INDEX(Tiere!$C$30:$C$106,BH28)</f>
        <v>0</v>
      </c>
      <c r="BH28" s="284">
        <v>1</v>
      </c>
      <c r="BI28" s="284">
        <v>1</v>
      </c>
      <c r="BJ28" s="283">
        <f>INDEX(Tiere!D$30:D$106,'Nährstoffe und Lagerraum'!$BH28)</f>
        <v>0</v>
      </c>
      <c r="BK28" s="283" t="str">
        <f t="shared" si="64"/>
        <v>1</v>
      </c>
      <c r="BL28" s="283">
        <f t="shared" si="65"/>
        <v>0</v>
      </c>
      <c r="BM28" s="282">
        <f>INDEX(Tiere!E$30:E$106,'Nährstoffe und Lagerraum'!$BH28)</f>
        <v>0</v>
      </c>
      <c r="BN28" s="278">
        <f>INDEX(Tiere!F$30:F$106,'Nährstoffe und Lagerraum'!$BH28)</f>
        <v>0</v>
      </c>
      <c r="BO28" s="279">
        <f>INDEX(Tiere!G$30:G$106,'Nährstoffe und Lagerraum'!$BH28)</f>
        <v>0</v>
      </c>
      <c r="BP28" s="278">
        <f>INDEX(Tiere!H$30:H$106,'Nährstoffe und Lagerraum'!$BH28)</f>
        <v>0</v>
      </c>
      <c r="BQ28" s="278">
        <f>INDEX(Tiere!V$30:V$106,'Nährstoffe und Lagerraum'!$BH28)</f>
        <v>0</v>
      </c>
      <c r="BR28" s="282">
        <f>INDEX(Tiere!P$30:P$106,'Nährstoffe und Lagerraum'!$BH28)</f>
        <v>0</v>
      </c>
      <c r="BS28" s="278">
        <f>INDEX(Tiere!Q$30:Q$106,'Nährstoffe und Lagerraum'!$BH28)</f>
        <v>0</v>
      </c>
      <c r="BT28" s="279">
        <f>INDEX(Tiere!R$30:R$106,'Nährstoffe und Lagerraum'!$BH28)</f>
        <v>0</v>
      </c>
      <c r="BU28" s="282">
        <f>INDEX(Tiere!X$30:X$106,'Nährstoffe und Lagerraum'!$BH28)</f>
        <v>0</v>
      </c>
      <c r="BV28" s="279">
        <f>INDEX(Tiere!Y$30:Y$106,'Nährstoffe und Lagerraum'!$BH28)</f>
        <v>0</v>
      </c>
      <c r="BW28" s="285">
        <f>INDEX(Tiere!Z$30:Z$106,'Nährstoffe und Lagerraum'!$BH28)</f>
        <v>0</v>
      </c>
      <c r="BX28" s="279">
        <f>INDEX(Tiere!J$30:J$106,'Nährstoffe und Lagerraum'!$BH28)</f>
        <v>0</v>
      </c>
      <c r="BY28" s="279">
        <f>INDEX(Tiere!K$30:K$106,'Nährstoffe und Lagerraum'!$BH28)</f>
        <v>0</v>
      </c>
      <c r="BZ28" s="279">
        <f>INDEX(Tiere!L$30:L$106,'Nährstoffe und Lagerraum'!$BH28)</f>
        <v>0</v>
      </c>
      <c r="CA28" s="278">
        <f>BX28*'Abweichende Werte'!$Y$64</f>
        <v>0</v>
      </c>
      <c r="CB28" s="278">
        <f>BY28*'Abweichende Werte'!$Y$64</f>
        <v>0</v>
      </c>
      <c r="CC28" s="278">
        <f>BZ28*'Abweichende Werte'!$Y$64</f>
        <v>0</v>
      </c>
      <c r="CD28" s="272">
        <v>5</v>
      </c>
      <c r="CE28" s="272">
        <v>3</v>
      </c>
      <c r="CF28" s="276">
        <v>17</v>
      </c>
      <c r="CG28" s="276">
        <f>'Abweichende Werte'!U$64</f>
        <v>5</v>
      </c>
      <c r="CH28" s="276">
        <f>'Abweichende Werte'!V$64</f>
        <v>3</v>
      </c>
      <c r="CI28" s="276">
        <f>'Abweichende Werte'!W$64</f>
        <v>17</v>
      </c>
      <c r="CJ28" s="276">
        <f>INDEX(Tiere!AD$30:AD$106,'Nährstoffe und Lagerraum'!$BH28)</f>
        <v>0</v>
      </c>
      <c r="CK28" s="276">
        <f>INDEX(Tiere!AE$30:AE$106,'Nährstoffe und Lagerraum'!$BH28)</f>
        <v>0</v>
      </c>
      <c r="CL28" s="286">
        <f t="shared" si="66"/>
        <v>0</v>
      </c>
      <c r="CM28" s="287">
        <f t="shared" si="67"/>
        <v>0</v>
      </c>
      <c r="CN28" s="272">
        <f t="shared" si="68"/>
        <v>0</v>
      </c>
      <c r="CO28" s="276">
        <f t="shared" si="69"/>
        <v>0</v>
      </c>
      <c r="CP28" s="272"/>
      <c r="CQ28" s="272" t="b">
        <f t="shared" si="70"/>
        <v>0</v>
      </c>
      <c r="CR28" s="272"/>
      <c r="CS28" s="282">
        <f>INDEX(Tiere!AF$30:AF$106,'Nährstoffe und Lagerraum'!$BH28)</f>
        <v>0</v>
      </c>
      <c r="CT28" s="282">
        <f>INDEX(Tiere!AG$30:AG$106,'Nährstoffe und Lagerraum'!$BH28)</f>
        <v>0</v>
      </c>
      <c r="CU28" s="282">
        <f>INDEX(Tiere!AH$30:AH$106,'Nährstoffe und Lagerraum'!$BH28)</f>
        <v>0</v>
      </c>
      <c r="CV28" s="143">
        <f t="shared" si="71"/>
        <v>0</v>
      </c>
      <c r="CW28" s="148">
        <f t="shared" si="72"/>
        <v>0</v>
      </c>
      <c r="CX28" s="17"/>
      <c r="CY28" s="17">
        <f t="shared" si="73"/>
        <v>0</v>
      </c>
      <c r="CZ28" s="17">
        <f t="shared" si="74"/>
        <v>0</v>
      </c>
      <c r="DA28" s="17">
        <f t="shared" si="75"/>
        <v>0</v>
      </c>
      <c r="DD28" s="143">
        <f t="shared" si="76"/>
        <v>0</v>
      </c>
      <c r="DE28" s="143">
        <f t="shared" si="77"/>
        <v>0</v>
      </c>
      <c r="DF28" s="143">
        <f t="shared" si="78"/>
        <v>0</v>
      </c>
      <c r="DG28" s="143">
        <f t="shared" si="79"/>
        <v>0</v>
      </c>
      <c r="DL28" s="143">
        <f t="shared" si="22"/>
        <v>0</v>
      </c>
      <c r="DM28" s="143">
        <f t="shared" si="23"/>
        <v>0</v>
      </c>
      <c r="DN28" s="143">
        <f t="shared" si="24"/>
        <v>0</v>
      </c>
      <c r="DO28" s="143">
        <f t="shared" si="25"/>
        <v>0</v>
      </c>
      <c r="DP28" s="143">
        <f t="shared" si="26"/>
        <v>0</v>
      </c>
      <c r="DQ28" s="143">
        <f t="shared" si="27"/>
        <v>0</v>
      </c>
      <c r="DS28" s="143" cm="1">
        <f t="array" ref="DS28">INDEX(Tiere!$AB$30:$AB$106,'Nährstoffe und Lagerraum'!BH28)</f>
        <v>0</v>
      </c>
    </row>
    <row r="29" spans="1:123" ht="15.75" customHeight="1" x14ac:dyDescent="0.25">
      <c r="A29" s="1273"/>
      <c r="B29" s="1274"/>
      <c r="C29" s="1274"/>
      <c r="D29" s="1094"/>
      <c r="E29" s="1095"/>
      <c r="F29" s="1173"/>
      <c r="G29" s="1100"/>
      <c r="H29" s="1101"/>
      <c r="I29" s="471" t="str">
        <f t="shared" si="28"/>
        <v xml:space="preserve"> </v>
      </c>
      <c r="J29" s="471" t="str">
        <f t="shared" si="81"/>
        <v xml:space="preserve"> </v>
      </c>
      <c r="K29" s="18"/>
      <c r="L29" s="1145">
        <f t="shared" si="29"/>
        <v>0</v>
      </c>
      <c r="M29" s="244"/>
      <c r="N29" s="272" t="str">
        <f t="shared" si="30"/>
        <v xml:space="preserve"> </v>
      </c>
      <c r="O29" s="272"/>
      <c r="P29" s="272">
        <f t="shared" si="31"/>
        <v>0</v>
      </c>
      <c r="Q29" s="272">
        <f t="shared" si="1"/>
        <v>0</v>
      </c>
      <c r="R29" s="272">
        <f t="shared" si="32"/>
        <v>0</v>
      </c>
      <c r="S29" s="272">
        <f t="shared" si="3"/>
        <v>0</v>
      </c>
      <c r="T29" s="272" t="str">
        <f t="shared" si="33"/>
        <v xml:space="preserve"> </v>
      </c>
      <c r="U29" s="273">
        <f t="shared" si="34"/>
        <v>0</v>
      </c>
      <c r="V29" s="274">
        <f t="shared" si="35"/>
        <v>0</v>
      </c>
      <c r="W29" s="670">
        <f t="shared" si="36"/>
        <v>0</v>
      </c>
      <c r="X29" s="670">
        <f t="shared" si="37"/>
        <v>0</v>
      </c>
      <c r="Y29" s="670">
        <f t="shared" si="38"/>
        <v>0</v>
      </c>
      <c r="Z29" s="670">
        <f t="shared" si="39"/>
        <v>0</v>
      </c>
      <c r="AA29" s="275">
        <f t="shared" si="40"/>
        <v>0</v>
      </c>
      <c r="AB29" s="272">
        <f t="shared" si="41"/>
        <v>0</v>
      </c>
      <c r="AC29" s="272">
        <f t="shared" si="42"/>
        <v>0</v>
      </c>
      <c r="AD29" s="276">
        <f t="shared" si="43"/>
        <v>0</v>
      </c>
      <c r="AE29" s="277">
        <f>INDEX(Tiere!I$30:I$106,'Nährstoffe und Lagerraum'!$BH29)</f>
        <v>0</v>
      </c>
      <c r="AF29" s="277">
        <f>INDEX(Tiere!W$30:W$106,'Nährstoffe und Lagerraum'!BH29)</f>
        <v>0</v>
      </c>
      <c r="AG29" s="272">
        <f t="shared" si="44"/>
        <v>0</v>
      </c>
      <c r="AH29" s="272">
        <f t="shared" si="45"/>
        <v>0</v>
      </c>
      <c r="AI29" s="272">
        <f t="shared" si="46"/>
        <v>0</v>
      </c>
      <c r="AJ29" s="275">
        <f t="shared" si="47"/>
        <v>0</v>
      </c>
      <c r="AK29" s="272">
        <f t="shared" si="48"/>
        <v>0</v>
      </c>
      <c r="AL29" s="276">
        <f t="shared" si="49"/>
        <v>0</v>
      </c>
      <c r="AM29" s="277" cm="1">
        <f t="array" ref="AM29">IF(BI29=1,INDEX(Tiere!S$30:S$106,'Nährstoffe und Lagerraum'!$BH29),IF(BI29=2,INDEX(Tiere!$T$30:$T$106,'Nährstoffe und Lagerraum'!BH29),INDEX(Tiere!$U$30:$U$106,'Nährstoffe und Lagerraum'!BH29)))</f>
        <v>0</v>
      </c>
      <c r="AN29" s="431">
        <f t="shared" si="80"/>
        <v>0</v>
      </c>
      <c r="AO29" s="431">
        <f t="shared" si="50"/>
        <v>0</v>
      </c>
      <c r="AP29" s="431">
        <f t="shared" si="51"/>
        <v>0</v>
      </c>
      <c r="AQ29" s="432">
        <f t="shared" si="52"/>
        <v>0</v>
      </c>
      <c r="AR29" s="433">
        <f t="shared" si="53"/>
        <v>0</v>
      </c>
      <c r="AS29" s="434">
        <f t="shared" si="54"/>
        <v>0</v>
      </c>
      <c r="AT29" s="272"/>
      <c r="AU29" s="375">
        <f t="shared" si="55"/>
        <v>0</v>
      </c>
      <c r="AV29" s="376">
        <f t="shared" si="56"/>
        <v>0</v>
      </c>
      <c r="AW29" s="376">
        <f t="shared" si="57"/>
        <v>0</v>
      </c>
      <c r="AX29" s="275">
        <f t="shared" si="58"/>
        <v>0</v>
      </c>
      <c r="AY29" s="272">
        <f t="shared" si="59"/>
        <v>0</v>
      </c>
      <c r="AZ29" s="276">
        <f t="shared" si="60"/>
        <v>0</v>
      </c>
      <c r="BA29" s="280">
        <f t="shared" si="61"/>
        <v>0</v>
      </c>
      <c r="BB29" s="281">
        <f t="shared" si="62"/>
        <v>0</v>
      </c>
      <c r="BC29" s="278">
        <f>INDEX(Tiere!AI$30:AI$106,'Nährstoffe und Lagerraum'!$BH29)</f>
        <v>0</v>
      </c>
      <c r="BD29" s="278">
        <f>INDEX(Tiere!AJ$30:AJ$106,'Nährstoffe und Lagerraum'!$BH29)</f>
        <v>0</v>
      </c>
      <c r="BE29" s="278">
        <f>INDEX(Tiere!AK$30:AK$106,'Nährstoffe und Lagerraum'!$BH29)</f>
        <v>0</v>
      </c>
      <c r="BF29" s="283">
        <f t="shared" si="63"/>
        <v>1</v>
      </c>
      <c r="BG29" s="283" cm="1">
        <f t="array" ref="BG29">INDEX(Tiere!$C$30:$C$106,BH29)</f>
        <v>0</v>
      </c>
      <c r="BH29" s="284">
        <v>1</v>
      </c>
      <c r="BI29" s="284">
        <v>1</v>
      </c>
      <c r="BJ29" s="283">
        <f>INDEX(Tiere!D$30:D$106,'Nährstoffe und Lagerraum'!$BH29)</f>
        <v>0</v>
      </c>
      <c r="BK29" s="283" t="str">
        <f t="shared" si="64"/>
        <v>1</v>
      </c>
      <c r="BL29" s="283">
        <f t="shared" si="65"/>
        <v>0</v>
      </c>
      <c r="BM29" s="282">
        <f>INDEX(Tiere!E$30:E$106,'Nährstoffe und Lagerraum'!$BH29)</f>
        <v>0</v>
      </c>
      <c r="BN29" s="278">
        <f>INDEX(Tiere!F$30:F$106,'Nährstoffe und Lagerraum'!$BH29)</f>
        <v>0</v>
      </c>
      <c r="BO29" s="279">
        <f>INDEX(Tiere!G$30:G$106,'Nährstoffe und Lagerraum'!$BH29)</f>
        <v>0</v>
      </c>
      <c r="BP29" s="278">
        <f>INDEX(Tiere!H$30:H$106,'Nährstoffe und Lagerraum'!$BH29)</f>
        <v>0</v>
      </c>
      <c r="BQ29" s="278">
        <f>INDEX(Tiere!V$30:V$106,'Nährstoffe und Lagerraum'!$BH29)</f>
        <v>0</v>
      </c>
      <c r="BR29" s="282">
        <f>INDEX(Tiere!P$30:P$106,'Nährstoffe und Lagerraum'!$BH29)</f>
        <v>0</v>
      </c>
      <c r="BS29" s="278">
        <f>INDEX(Tiere!Q$30:Q$106,'Nährstoffe und Lagerraum'!$BH29)</f>
        <v>0</v>
      </c>
      <c r="BT29" s="279">
        <f>INDEX(Tiere!R$30:R$106,'Nährstoffe und Lagerraum'!$BH29)</f>
        <v>0</v>
      </c>
      <c r="BU29" s="282">
        <f>INDEX(Tiere!X$30:X$106,'Nährstoffe und Lagerraum'!$BH29)</f>
        <v>0</v>
      </c>
      <c r="BV29" s="279">
        <f>INDEX(Tiere!Y$30:Y$106,'Nährstoffe und Lagerraum'!$BH29)</f>
        <v>0</v>
      </c>
      <c r="BW29" s="285">
        <f>INDEX(Tiere!Z$30:Z$106,'Nährstoffe und Lagerraum'!$BH29)</f>
        <v>0</v>
      </c>
      <c r="BX29" s="279">
        <f>INDEX(Tiere!J$30:J$106,'Nährstoffe und Lagerraum'!$BH29)</f>
        <v>0</v>
      </c>
      <c r="BY29" s="279">
        <f>INDEX(Tiere!K$30:K$106,'Nährstoffe und Lagerraum'!$BH29)</f>
        <v>0</v>
      </c>
      <c r="BZ29" s="279">
        <f>INDEX(Tiere!L$30:L$106,'Nährstoffe und Lagerraum'!$BH29)</f>
        <v>0</v>
      </c>
      <c r="CA29" s="278">
        <f>BX29*'Abweichende Werte'!$Y$64</f>
        <v>0</v>
      </c>
      <c r="CB29" s="278">
        <f>BY29*'Abweichende Werte'!$Y$64</f>
        <v>0</v>
      </c>
      <c r="CC29" s="278">
        <f>BZ29*'Abweichende Werte'!$Y$64</f>
        <v>0</v>
      </c>
      <c r="CD29" s="272">
        <v>5</v>
      </c>
      <c r="CE29" s="272">
        <v>3</v>
      </c>
      <c r="CF29" s="276">
        <v>17</v>
      </c>
      <c r="CG29" s="276">
        <f>'Abweichende Werte'!U$64</f>
        <v>5</v>
      </c>
      <c r="CH29" s="276">
        <f>'Abweichende Werte'!V$64</f>
        <v>3</v>
      </c>
      <c r="CI29" s="276">
        <f>'Abweichende Werte'!W$64</f>
        <v>17</v>
      </c>
      <c r="CJ29" s="276">
        <f>INDEX(Tiere!AD$30:AD$106,'Nährstoffe und Lagerraum'!$BH29)</f>
        <v>0</v>
      </c>
      <c r="CK29" s="276">
        <f>INDEX(Tiere!AE$30:AE$106,'Nährstoffe und Lagerraum'!$BH29)</f>
        <v>0</v>
      </c>
      <c r="CL29" s="286">
        <f t="shared" si="66"/>
        <v>0</v>
      </c>
      <c r="CM29" s="287">
        <f t="shared" si="67"/>
        <v>0</v>
      </c>
      <c r="CN29" s="272">
        <f t="shared" si="68"/>
        <v>0</v>
      </c>
      <c r="CO29" s="276">
        <f t="shared" si="69"/>
        <v>0</v>
      </c>
      <c r="CP29" s="272"/>
      <c r="CQ29" s="272" t="b">
        <f t="shared" si="70"/>
        <v>0</v>
      </c>
      <c r="CR29" s="272"/>
      <c r="CS29" s="282">
        <f>INDEX(Tiere!AF$30:AF$106,'Nährstoffe und Lagerraum'!$BH29)</f>
        <v>0</v>
      </c>
      <c r="CT29" s="282">
        <f>INDEX(Tiere!AG$30:AG$106,'Nährstoffe und Lagerraum'!$BH29)</f>
        <v>0</v>
      </c>
      <c r="CU29" s="282">
        <f>INDEX(Tiere!AH$30:AH$106,'Nährstoffe und Lagerraum'!$BH29)</f>
        <v>0</v>
      </c>
      <c r="CV29" s="143">
        <f t="shared" si="71"/>
        <v>0</v>
      </c>
      <c r="CW29" s="148">
        <f t="shared" si="72"/>
        <v>0</v>
      </c>
      <c r="CX29" s="17"/>
      <c r="CY29" s="17">
        <f t="shared" si="73"/>
        <v>0</v>
      </c>
      <c r="CZ29" s="17">
        <f t="shared" si="74"/>
        <v>0</v>
      </c>
      <c r="DA29" s="17">
        <f t="shared" si="75"/>
        <v>0</v>
      </c>
      <c r="DD29" s="143">
        <f t="shared" si="76"/>
        <v>0</v>
      </c>
      <c r="DE29" s="143">
        <f t="shared" si="77"/>
        <v>0</v>
      </c>
      <c r="DF29" s="143">
        <f t="shared" si="78"/>
        <v>0</v>
      </c>
      <c r="DG29" s="143">
        <f t="shared" si="79"/>
        <v>0</v>
      </c>
      <c r="DL29" s="143">
        <f t="shared" si="22"/>
        <v>0</v>
      </c>
      <c r="DM29" s="143">
        <f t="shared" si="23"/>
        <v>0</v>
      </c>
      <c r="DN29" s="143">
        <f t="shared" si="24"/>
        <v>0</v>
      </c>
      <c r="DO29" s="143">
        <f t="shared" si="25"/>
        <v>0</v>
      </c>
      <c r="DP29" s="143">
        <f t="shared" si="26"/>
        <v>0</v>
      </c>
      <c r="DQ29" s="143">
        <f t="shared" si="27"/>
        <v>0</v>
      </c>
      <c r="DS29" s="143" cm="1">
        <f t="array" ref="DS29">INDEX(Tiere!$AB$30:$AB$106,'Nährstoffe und Lagerraum'!BH29)</f>
        <v>0</v>
      </c>
    </row>
    <row r="30" spans="1:123" ht="15.75" customHeight="1" x14ac:dyDescent="0.25">
      <c r="A30" s="1273"/>
      <c r="B30" s="1274"/>
      <c r="C30" s="1274"/>
      <c r="D30" s="1094"/>
      <c r="E30" s="1095"/>
      <c r="F30" s="1173"/>
      <c r="G30" s="1100"/>
      <c r="H30" s="1101"/>
      <c r="I30" s="471" t="str">
        <f t="shared" si="28"/>
        <v xml:space="preserve"> </v>
      </c>
      <c r="J30" s="471" t="str">
        <f t="shared" si="81"/>
        <v xml:space="preserve"> </v>
      </c>
      <c r="K30" s="18"/>
      <c r="L30" s="1145">
        <f t="shared" si="29"/>
        <v>0</v>
      </c>
      <c r="M30" s="244"/>
      <c r="N30" s="272" t="str">
        <f t="shared" si="30"/>
        <v xml:space="preserve"> </v>
      </c>
      <c r="O30" s="272"/>
      <c r="P30" s="272">
        <f t="shared" si="31"/>
        <v>0</v>
      </c>
      <c r="Q30" s="272">
        <f t="shared" si="1"/>
        <v>0</v>
      </c>
      <c r="R30" s="272">
        <f t="shared" si="32"/>
        <v>0</v>
      </c>
      <c r="S30" s="272">
        <f t="shared" si="3"/>
        <v>0</v>
      </c>
      <c r="T30" s="272" t="str">
        <f t="shared" si="33"/>
        <v xml:space="preserve"> </v>
      </c>
      <c r="U30" s="273">
        <f t="shared" si="34"/>
        <v>0</v>
      </c>
      <c r="V30" s="274">
        <f t="shared" si="35"/>
        <v>0</v>
      </c>
      <c r="W30" s="670">
        <f t="shared" si="36"/>
        <v>0</v>
      </c>
      <c r="X30" s="670">
        <f t="shared" si="37"/>
        <v>0</v>
      </c>
      <c r="Y30" s="670">
        <f t="shared" si="38"/>
        <v>0</v>
      </c>
      <c r="Z30" s="670">
        <f t="shared" si="39"/>
        <v>0</v>
      </c>
      <c r="AA30" s="275">
        <f t="shared" si="40"/>
        <v>0</v>
      </c>
      <c r="AB30" s="272">
        <f t="shared" si="41"/>
        <v>0</v>
      </c>
      <c r="AC30" s="272">
        <f t="shared" si="42"/>
        <v>0</v>
      </c>
      <c r="AD30" s="276">
        <f t="shared" si="43"/>
        <v>0</v>
      </c>
      <c r="AE30" s="277">
        <f>INDEX(Tiere!I$30:I$106,'Nährstoffe und Lagerraum'!$BH30)</f>
        <v>0</v>
      </c>
      <c r="AF30" s="277">
        <f>INDEX(Tiere!W$30:W$106,'Nährstoffe und Lagerraum'!BH30)</f>
        <v>0</v>
      </c>
      <c r="AG30" s="272">
        <f t="shared" si="44"/>
        <v>0</v>
      </c>
      <c r="AH30" s="272">
        <f t="shared" si="45"/>
        <v>0</v>
      </c>
      <c r="AI30" s="272">
        <f t="shared" si="46"/>
        <v>0</v>
      </c>
      <c r="AJ30" s="275">
        <f t="shared" si="47"/>
        <v>0</v>
      </c>
      <c r="AK30" s="272">
        <f t="shared" si="48"/>
        <v>0</v>
      </c>
      <c r="AL30" s="276">
        <f t="shared" si="49"/>
        <v>0</v>
      </c>
      <c r="AM30" s="277" cm="1">
        <f t="array" ref="AM30">IF(BI30=1,INDEX(Tiere!S$30:S$106,'Nährstoffe und Lagerraum'!$BH30),IF(BI30=2,INDEX(Tiere!$T$30:$T$106,'Nährstoffe und Lagerraum'!BH30),INDEX(Tiere!$U$30:$U$106,'Nährstoffe und Lagerraum'!BH30)))</f>
        <v>0</v>
      </c>
      <c r="AN30" s="431">
        <f t="shared" si="80"/>
        <v>0</v>
      </c>
      <c r="AO30" s="431">
        <f t="shared" si="50"/>
        <v>0</v>
      </c>
      <c r="AP30" s="431">
        <f t="shared" si="51"/>
        <v>0</v>
      </c>
      <c r="AQ30" s="432">
        <f t="shared" si="52"/>
        <v>0</v>
      </c>
      <c r="AR30" s="433">
        <f t="shared" si="53"/>
        <v>0</v>
      </c>
      <c r="AS30" s="434">
        <f t="shared" si="54"/>
        <v>0</v>
      </c>
      <c r="AT30" s="272"/>
      <c r="AU30" s="375">
        <f t="shared" si="55"/>
        <v>0</v>
      </c>
      <c r="AV30" s="376">
        <f t="shared" si="56"/>
        <v>0</v>
      </c>
      <c r="AW30" s="376">
        <f t="shared" si="57"/>
        <v>0</v>
      </c>
      <c r="AX30" s="275">
        <f t="shared" si="58"/>
        <v>0</v>
      </c>
      <c r="AY30" s="272">
        <f t="shared" si="59"/>
        <v>0</v>
      </c>
      <c r="AZ30" s="276">
        <f t="shared" si="60"/>
        <v>0</v>
      </c>
      <c r="BA30" s="280">
        <f t="shared" si="61"/>
        <v>0</v>
      </c>
      <c r="BB30" s="281">
        <f t="shared" si="62"/>
        <v>0</v>
      </c>
      <c r="BC30" s="278">
        <f>INDEX(Tiere!AI$30:AI$106,'Nährstoffe und Lagerraum'!$BH30)</f>
        <v>0</v>
      </c>
      <c r="BD30" s="278">
        <f>INDEX(Tiere!AJ$30:AJ$106,'Nährstoffe und Lagerraum'!$BH30)</f>
        <v>0</v>
      </c>
      <c r="BE30" s="278">
        <f>INDEX(Tiere!AK$30:AK$106,'Nährstoffe und Lagerraum'!$BH30)</f>
        <v>0</v>
      </c>
      <c r="BF30" s="283">
        <f t="shared" si="63"/>
        <v>1</v>
      </c>
      <c r="BG30" s="283" cm="1">
        <f t="array" ref="BG30">INDEX(Tiere!$C$30:$C$106,BH30)</f>
        <v>0</v>
      </c>
      <c r="BH30" s="284">
        <v>1</v>
      </c>
      <c r="BI30" s="284">
        <v>1</v>
      </c>
      <c r="BJ30" s="283">
        <f>INDEX(Tiere!D$30:D$106,'Nährstoffe und Lagerraum'!$BH30)</f>
        <v>0</v>
      </c>
      <c r="BK30" s="283" t="str">
        <f t="shared" si="64"/>
        <v>1</v>
      </c>
      <c r="BL30" s="283">
        <f t="shared" si="65"/>
        <v>0</v>
      </c>
      <c r="BM30" s="282">
        <f>INDEX(Tiere!E$30:E$106,'Nährstoffe und Lagerraum'!$BH30)</f>
        <v>0</v>
      </c>
      <c r="BN30" s="278">
        <f>INDEX(Tiere!F$30:F$106,'Nährstoffe und Lagerraum'!$BH30)</f>
        <v>0</v>
      </c>
      <c r="BO30" s="279">
        <f>INDEX(Tiere!G$30:G$106,'Nährstoffe und Lagerraum'!$BH30)</f>
        <v>0</v>
      </c>
      <c r="BP30" s="278">
        <f>INDEX(Tiere!H$30:H$106,'Nährstoffe und Lagerraum'!$BH30)</f>
        <v>0</v>
      </c>
      <c r="BQ30" s="278">
        <f>INDEX(Tiere!V$30:V$106,'Nährstoffe und Lagerraum'!$BH30)</f>
        <v>0</v>
      </c>
      <c r="BR30" s="282">
        <f>INDEX(Tiere!P$30:P$106,'Nährstoffe und Lagerraum'!$BH30)</f>
        <v>0</v>
      </c>
      <c r="BS30" s="278">
        <f>INDEX(Tiere!Q$30:Q$106,'Nährstoffe und Lagerraum'!$BH30)</f>
        <v>0</v>
      </c>
      <c r="BT30" s="279">
        <f>INDEX(Tiere!R$30:R$106,'Nährstoffe und Lagerraum'!$BH30)</f>
        <v>0</v>
      </c>
      <c r="BU30" s="282">
        <f>INDEX(Tiere!X$30:X$106,'Nährstoffe und Lagerraum'!$BH30)</f>
        <v>0</v>
      </c>
      <c r="BV30" s="279">
        <f>INDEX(Tiere!Y$30:Y$106,'Nährstoffe und Lagerraum'!$BH30)</f>
        <v>0</v>
      </c>
      <c r="BW30" s="285">
        <f>INDEX(Tiere!Z$30:Z$106,'Nährstoffe und Lagerraum'!$BH30)</f>
        <v>0</v>
      </c>
      <c r="BX30" s="279">
        <f>INDEX(Tiere!J$30:J$106,'Nährstoffe und Lagerraum'!$BH30)</f>
        <v>0</v>
      </c>
      <c r="BY30" s="279">
        <f>INDEX(Tiere!K$30:K$106,'Nährstoffe und Lagerraum'!$BH30)</f>
        <v>0</v>
      </c>
      <c r="BZ30" s="279">
        <f>INDEX(Tiere!L$30:L$106,'Nährstoffe und Lagerraum'!$BH30)</f>
        <v>0</v>
      </c>
      <c r="CA30" s="278">
        <f>BX30*'Abweichende Werte'!$Y$64</f>
        <v>0</v>
      </c>
      <c r="CB30" s="278">
        <f>BY30*'Abweichende Werte'!$Y$64</f>
        <v>0</v>
      </c>
      <c r="CC30" s="278">
        <f>BZ30*'Abweichende Werte'!$Y$64</f>
        <v>0</v>
      </c>
      <c r="CD30" s="272">
        <v>5</v>
      </c>
      <c r="CE30" s="272">
        <v>3</v>
      </c>
      <c r="CF30" s="276">
        <v>17</v>
      </c>
      <c r="CG30" s="276">
        <f>'Abweichende Werte'!U$64</f>
        <v>5</v>
      </c>
      <c r="CH30" s="276">
        <f>'Abweichende Werte'!V$64</f>
        <v>3</v>
      </c>
      <c r="CI30" s="276">
        <f>'Abweichende Werte'!W$64</f>
        <v>17</v>
      </c>
      <c r="CJ30" s="276">
        <f>INDEX(Tiere!AD$30:AD$106,'Nährstoffe und Lagerraum'!$BH30)</f>
        <v>0</v>
      </c>
      <c r="CK30" s="276">
        <f>INDEX(Tiere!AE$30:AE$106,'Nährstoffe und Lagerraum'!$BH30)</f>
        <v>0</v>
      </c>
      <c r="CL30" s="286">
        <f t="shared" si="66"/>
        <v>0</v>
      </c>
      <c r="CM30" s="287">
        <f t="shared" si="67"/>
        <v>0</v>
      </c>
      <c r="CN30" s="272">
        <f t="shared" si="68"/>
        <v>0</v>
      </c>
      <c r="CO30" s="276">
        <f t="shared" si="69"/>
        <v>0</v>
      </c>
      <c r="CP30" s="272"/>
      <c r="CQ30" s="272" t="b">
        <f t="shared" si="70"/>
        <v>0</v>
      </c>
      <c r="CR30" s="272"/>
      <c r="CS30" s="282">
        <f>INDEX(Tiere!AF$30:AF$106,'Nährstoffe und Lagerraum'!$BH30)</f>
        <v>0</v>
      </c>
      <c r="CT30" s="282">
        <f>INDEX(Tiere!AG$30:AG$106,'Nährstoffe und Lagerraum'!$BH30)</f>
        <v>0</v>
      </c>
      <c r="CU30" s="282">
        <f>INDEX(Tiere!AH$30:AH$106,'Nährstoffe und Lagerraum'!$BH30)</f>
        <v>0</v>
      </c>
      <c r="CV30" s="143">
        <f t="shared" si="71"/>
        <v>0</v>
      </c>
      <c r="CW30" s="148">
        <f t="shared" si="72"/>
        <v>0</v>
      </c>
      <c r="CX30" s="17"/>
      <c r="CY30" s="17">
        <f t="shared" si="73"/>
        <v>0</v>
      </c>
      <c r="CZ30" s="17">
        <f t="shared" si="74"/>
        <v>0</v>
      </c>
      <c r="DA30" s="17">
        <f t="shared" si="75"/>
        <v>0</v>
      </c>
      <c r="DD30" s="143">
        <f t="shared" si="76"/>
        <v>0</v>
      </c>
      <c r="DE30" s="143">
        <f t="shared" si="77"/>
        <v>0</v>
      </c>
      <c r="DF30" s="143">
        <f t="shared" si="78"/>
        <v>0</v>
      </c>
      <c r="DG30" s="143">
        <f t="shared" si="79"/>
        <v>0</v>
      </c>
      <c r="DL30" s="143">
        <f t="shared" si="22"/>
        <v>0</v>
      </c>
      <c r="DM30" s="143">
        <f t="shared" si="23"/>
        <v>0</v>
      </c>
      <c r="DN30" s="143">
        <f t="shared" si="24"/>
        <v>0</v>
      </c>
      <c r="DO30" s="143">
        <f t="shared" si="25"/>
        <v>0</v>
      </c>
      <c r="DP30" s="143">
        <f t="shared" si="26"/>
        <v>0</v>
      </c>
      <c r="DQ30" s="143">
        <f t="shared" si="27"/>
        <v>0</v>
      </c>
      <c r="DS30" s="143" cm="1">
        <f t="array" ref="DS30">INDEX(Tiere!$AB$30:$AB$106,'Nährstoffe und Lagerraum'!BH30)</f>
        <v>0</v>
      </c>
    </row>
    <row r="31" spans="1:123" ht="15.75" customHeight="1" x14ac:dyDescent="0.25">
      <c r="A31" s="1273"/>
      <c r="B31" s="1274"/>
      <c r="C31" s="1274"/>
      <c r="D31" s="1094"/>
      <c r="E31" s="1095"/>
      <c r="F31" s="1173"/>
      <c r="G31" s="1100"/>
      <c r="H31" s="1101"/>
      <c r="I31" s="471" t="str">
        <f t="shared" si="28"/>
        <v xml:space="preserve"> </v>
      </c>
      <c r="J31" s="471" t="str">
        <f t="shared" si="81"/>
        <v xml:space="preserve"> </v>
      </c>
      <c r="K31" s="18"/>
      <c r="L31" s="1145">
        <f t="shared" si="29"/>
        <v>0</v>
      </c>
      <c r="M31" s="244"/>
      <c r="N31" s="272" t="str">
        <f t="shared" si="30"/>
        <v xml:space="preserve"> </v>
      </c>
      <c r="O31" s="272"/>
      <c r="P31" s="272">
        <f t="shared" si="31"/>
        <v>0</v>
      </c>
      <c r="Q31" s="272">
        <f t="shared" si="1"/>
        <v>0</v>
      </c>
      <c r="R31" s="272">
        <f t="shared" si="32"/>
        <v>0</v>
      </c>
      <c r="S31" s="272">
        <f t="shared" si="3"/>
        <v>0</v>
      </c>
      <c r="T31" s="272" t="str">
        <f t="shared" si="33"/>
        <v xml:space="preserve"> </v>
      </c>
      <c r="U31" s="273">
        <f t="shared" si="34"/>
        <v>0</v>
      </c>
      <c r="V31" s="274">
        <f t="shared" si="35"/>
        <v>0</v>
      </c>
      <c r="W31" s="670">
        <f t="shared" si="36"/>
        <v>0</v>
      </c>
      <c r="X31" s="670">
        <f t="shared" si="37"/>
        <v>0</v>
      </c>
      <c r="Y31" s="670">
        <f t="shared" si="38"/>
        <v>0</v>
      </c>
      <c r="Z31" s="670">
        <f t="shared" si="39"/>
        <v>0</v>
      </c>
      <c r="AA31" s="275">
        <f t="shared" si="40"/>
        <v>0</v>
      </c>
      <c r="AB31" s="272">
        <f t="shared" si="41"/>
        <v>0</v>
      </c>
      <c r="AC31" s="272">
        <f t="shared" si="42"/>
        <v>0</v>
      </c>
      <c r="AD31" s="276">
        <f t="shared" si="43"/>
        <v>0</v>
      </c>
      <c r="AE31" s="277">
        <f>INDEX(Tiere!I$30:I$106,'Nährstoffe und Lagerraum'!$BH31)</f>
        <v>0</v>
      </c>
      <c r="AF31" s="277">
        <f>INDEX(Tiere!W$30:W$106,'Nährstoffe und Lagerraum'!BH31)</f>
        <v>0</v>
      </c>
      <c r="AG31" s="272">
        <f t="shared" si="44"/>
        <v>0</v>
      </c>
      <c r="AH31" s="272">
        <f t="shared" si="45"/>
        <v>0</v>
      </c>
      <c r="AI31" s="272">
        <f t="shared" si="46"/>
        <v>0</v>
      </c>
      <c r="AJ31" s="275">
        <f t="shared" si="47"/>
        <v>0</v>
      </c>
      <c r="AK31" s="272">
        <f t="shared" si="48"/>
        <v>0</v>
      </c>
      <c r="AL31" s="276">
        <f t="shared" si="49"/>
        <v>0</v>
      </c>
      <c r="AM31" s="277" cm="1">
        <f t="array" ref="AM31">IF(BI31=1,INDEX(Tiere!S$30:S$106,'Nährstoffe und Lagerraum'!$BH31),IF(BI31=2,INDEX(Tiere!$T$30:$T$106,'Nährstoffe und Lagerraum'!BH31),INDEX(Tiere!$U$30:$U$106,'Nährstoffe und Lagerraum'!BH31)))</f>
        <v>0</v>
      </c>
      <c r="AN31" s="431">
        <f t="shared" si="80"/>
        <v>0</v>
      </c>
      <c r="AO31" s="431">
        <f t="shared" si="50"/>
        <v>0</v>
      </c>
      <c r="AP31" s="431">
        <f t="shared" si="51"/>
        <v>0</v>
      </c>
      <c r="AQ31" s="432">
        <f t="shared" si="52"/>
        <v>0</v>
      </c>
      <c r="AR31" s="433">
        <f t="shared" si="53"/>
        <v>0</v>
      </c>
      <c r="AS31" s="434">
        <f t="shared" si="54"/>
        <v>0</v>
      </c>
      <c r="AT31" s="272"/>
      <c r="AU31" s="375">
        <f t="shared" si="55"/>
        <v>0</v>
      </c>
      <c r="AV31" s="376">
        <f t="shared" si="56"/>
        <v>0</v>
      </c>
      <c r="AW31" s="376">
        <f t="shared" si="57"/>
        <v>0</v>
      </c>
      <c r="AX31" s="275">
        <f t="shared" si="58"/>
        <v>0</v>
      </c>
      <c r="AY31" s="272">
        <f t="shared" si="59"/>
        <v>0</v>
      </c>
      <c r="AZ31" s="276">
        <f t="shared" si="60"/>
        <v>0</v>
      </c>
      <c r="BA31" s="280">
        <f t="shared" si="61"/>
        <v>0</v>
      </c>
      <c r="BB31" s="281">
        <f t="shared" si="62"/>
        <v>0</v>
      </c>
      <c r="BC31" s="278">
        <f>INDEX(Tiere!AI$30:AI$106,'Nährstoffe und Lagerraum'!$BH31)</f>
        <v>0</v>
      </c>
      <c r="BD31" s="278">
        <f>INDEX(Tiere!AJ$30:AJ$106,'Nährstoffe und Lagerraum'!$BH31)</f>
        <v>0</v>
      </c>
      <c r="BE31" s="278">
        <f>INDEX(Tiere!AK$30:AK$106,'Nährstoffe und Lagerraum'!$BH31)</f>
        <v>0</v>
      </c>
      <c r="BF31" s="283">
        <f t="shared" si="63"/>
        <v>1</v>
      </c>
      <c r="BG31" s="283" cm="1">
        <f t="array" ref="BG31">INDEX(Tiere!$C$30:$C$106,BH31)</f>
        <v>0</v>
      </c>
      <c r="BH31" s="284">
        <v>1</v>
      </c>
      <c r="BI31" s="284">
        <v>1</v>
      </c>
      <c r="BJ31" s="283">
        <f>INDEX(Tiere!D$30:D$106,'Nährstoffe und Lagerraum'!$BH31)</f>
        <v>0</v>
      </c>
      <c r="BK31" s="283" t="str">
        <f t="shared" si="64"/>
        <v>1</v>
      </c>
      <c r="BL31" s="283">
        <f t="shared" si="65"/>
        <v>0</v>
      </c>
      <c r="BM31" s="282">
        <f>INDEX(Tiere!E$30:E$106,'Nährstoffe und Lagerraum'!$BH31)</f>
        <v>0</v>
      </c>
      <c r="BN31" s="278">
        <f>INDEX(Tiere!F$30:F$106,'Nährstoffe und Lagerraum'!$BH31)</f>
        <v>0</v>
      </c>
      <c r="BO31" s="279">
        <f>INDEX(Tiere!G$30:G$106,'Nährstoffe und Lagerraum'!$BH31)</f>
        <v>0</v>
      </c>
      <c r="BP31" s="278">
        <f>INDEX(Tiere!H$30:H$106,'Nährstoffe und Lagerraum'!$BH31)</f>
        <v>0</v>
      </c>
      <c r="BQ31" s="278">
        <f>INDEX(Tiere!V$30:V$106,'Nährstoffe und Lagerraum'!$BH31)</f>
        <v>0</v>
      </c>
      <c r="BR31" s="282">
        <f>INDEX(Tiere!P$30:P$106,'Nährstoffe und Lagerraum'!$BH31)</f>
        <v>0</v>
      </c>
      <c r="BS31" s="278">
        <f>INDEX(Tiere!Q$30:Q$106,'Nährstoffe und Lagerraum'!$BH31)</f>
        <v>0</v>
      </c>
      <c r="BT31" s="279">
        <f>INDEX(Tiere!R$30:R$106,'Nährstoffe und Lagerraum'!$BH31)</f>
        <v>0</v>
      </c>
      <c r="BU31" s="282">
        <f>INDEX(Tiere!X$30:X$106,'Nährstoffe und Lagerraum'!$BH31)</f>
        <v>0</v>
      </c>
      <c r="BV31" s="279">
        <f>INDEX(Tiere!Y$30:Y$106,'Nährstoffe und Lagerraum'!$BH31)</f>
        <v>0</v>
      </c>
      <c r="BW31" s="285">
        <f>INDEX(Tiere!Z$30:Z$106,'Nährstoffe und Lagerraum'!$BH31)</f>
        <v>0</v>
      </c>
      <c r="BX31" s="279">
        <f>INDEX(Tiere!J$30:J$106,'Nährstoffe und Lagerraum'!$BH31)</f>
        <v>0</v>
      </c>
      <c r="BY31" s="279">
        <f>INDEX(Tiere!K$30:K$106,'Nährstoffe und Lagerraum'!$BH31)</f>
        <v>0</v>
      </c>
      <c r="BZ31" s="279">
        <f>INDEX(Tiere!L$30:L$106,'Nährstoffe und Lagerraum'!$BH31)</f>
        <v>0</v>
      </c>
      <c r="CA31" s="278">
        <f>BX31*'Abweichende Werte'!$Y$64</f>
        <v>0</v>
      </c>
      <c r="CB31" s="278">
        <f>BY31*'Abweichende Werte'!$Y$64</f>
        <v>0</v>
      </c>
      <c r="CC31" s="278">
        <f>BZ31*'Abweichende Werte'!$Y$64</f>
        <v>0</v>
      </c>
      <c r="CD31" s="272">
        <v>5</v>
      </c>
      <c r="CE31" s="272">
        <v>3</v>
      </c>
      <c r="CF31" s="276">
        <v>17</v>
      </c>
      <c r="CG31" s="276">
        <f>'Abweichende Werte'!U$64</f>
        <v>5</v>
      </c>
      <c r="CH31" s="276">
        <f>'Abweichende Werte'!V$64</f>
        <v>3</v>
      </c>
      <c r="CI31" s="276">
        <f>'Abweichende Werte'!W$64</f>
        <v>17</v>
      </c>
      <c r="CJ31" s="276">
        <f>INDEX(Tiere!AD$30:AD$106,'Nährstoffe und Lagerraum'!$BH31)</f>
        <v>0</v>
      </c>
      <c r="CK31" s="276">
        <f>INDEX(Tiere!AE$30:AE$106,'Nährstoffe und Lagerraum'!$BH31)</f>
        <v>0</v>
      </c>
      <c r="CL31" s="286">
        <f t="shared" si="66"/>
        <v>0</v>
      </c>
      <c r="CM31" s="287">
        <f t="shared" si="67"/>
        <v>0</v>
      </c>
      <c r="CN31" s="272">
        <f t="shared" si="68"/>
        <v>0</v>
      </c>
      <c r="CO31" s="276">
        <f t="shared" si="69"/>
        <v>0</v>
      </c>
      <c r="CP31" s="272"/>
      <c r="CQ31" s="272" t="b">
        <f t="shared" si="70"/>
        <v>0</v>
      </c>
      <c r="CR31" s="272"/>
      <c r="CS31" s="282">
        <f>INDEX(Tiere!AF$30:AF$106,'Nährstoffe und Lagerraum'!$BH31)</f>
        <v>0</v>
      </c>
      <c r="CT31" s="282">
        <f>INDEX(Tiere!AG$30:AG$106,'Nährstoffe und Lagerraum'!$BH31)</f>
        <v>0</v>
      </c>
      <c r="CU31" s="282">
        <f>INDEX(Tiere!AH$30:AH$106,'Nährstoffe und Lagerraum'!$BH31)</f>
        <v>0</v>
      </c>
      <c r="CV31" s="143">
        <f t="shared" si="71"/>
        <v>0</v>
      </c>
      <c r="CW31" s="148">
        <f t="shared" si="72"/>
        <v>0</v>
      </c>
      <c r="CX31" s="17"/>
      <c r="CY31" s="17">
        <f t="shared" si="73"/>
        <v>0</v>
      </c>
      <c r="CZ31" s="17">
        <f t="shared" si="74"/>
        <v>0</v>
      </c>
      <c r="DA31" s="17">
        <f t="shared" si="75"/>
        <v>0</v>
      </c>
      <c r="DD31" s="143">
        <f t="shared" si="76"/>
        <v>0</v>
      </c>
      <c r="DE31" s="143">
        <f t="shared" si="77"/>
        <v>0</v>
      </c>
      <c r="DF31" s="143">
        <f t="shared" si="78"/>
        <v>0</v>
      </c>
      <c r="DG31" s="143">
        <f t="shared" si="79"/>
        <v>0</v>
      </c>
      <c r="DL31" s="143">
        <f t="shared" si="22"/>
        <v>0</v>
      </c>
      <c r="DM31" s="143">
        <f t="shared" si="23"/>
        <v>0</v>
      </c>
      <c r="DN31" s="143">
        <f t="shared" si="24"/>
        <v>0</v>
      </c>
      <c r="DO31" s="143">
        <f t="shared" si="25"/>
        <v>0</v>
      </c>
      <c r="DP31" s="143">
        <f t="shared" si="26"/>
        <v>0</v>
      </c>
      <c r="DQ31" s="143">
        <f t="shared" si="27"/>
        <v>0</v>
      </c>
      <c r="DS31" s="143" cm="1">
        <f t="array" ref="DS31">INDEX(Tiere!$AB$30:$AB$106,'Nährstoffe und Lagerraum'!BH31)</f>
        <v>0</v>
      </c>
    </row>
    <row r="32" spans="1:123" ht="15.75" customHeight="1" x14ac:dyDescent="0.25">
      <c r="A32" s="1273"/>
      <c r="B32" s="1274"/>
      <c r="C32" s="1274"/>
      <c r="D32" s="1094"/>
      <c r="E32" s="1095"/>
      <c r="F32" s="1173"/>
      <c r="G32" s="1100"/>
      <c r="H32" s="1101"/>
      <c r="I32" s="471" t="str">
        <f t="shared" si="28"/>
        <v xml:space="preserve"> </v>
      </c>
      <c r="J32" s="471" t="str">
        <f t="shared" si="81"/>
        <v xml:space="preserve"> </v>
      </c>
      <c r="K32" s="18"/>
      <c r="L32" s="1145">
        <f t="shared" si="29"/>
        <v>0</v>
      </c>
      <c r="M32" s="244"/>
      <c r="N32" s="272" t="str">
        <f t="shared" si="30"/>
        <v xml:space="preserve"> </v>
      </c>
      <c r="O32" s="272"/>
      <c r="P32" s="272">
        <f t="shared" si="31"/>
        <v>0</v>
      </c>
      <c r="Q32" s="272">
        <f t="shared" si="1"/>
        <v>0</v>
      </c>
      <c r="R32" s="272">
        <f t="shared" si="32"/>
        <v>0</v>
      </c>
      <c r="S32" s="272">
        <f t="shared" si="3"/>
        <v>0</v>
      </c>
      <c r="T32" s="272" t="str">
        <f t="shared" si="33"/>
        <v xml:space="preserve"> </v>
      </c>
      <c r="U32" s="273">
        <f t="shared" si="34"/>
        <v>0</v>
      </c>
      <c r="V32" s="274">
        <f t="shared" si="35"/>
        <v>0</v>
      </c>
      <c r="W32" s="670">
        <f t="shared" si="36"/>
        <v>0</v>
      </c>
      <c r="X32" s="670">
        <f t="shared" si="37"/>
        <v>0</v>
      </c>
      <c r="Y32" s="670">
        <f t="shared" si="38"/>
        <v>0</v>
      </c>
      <c r="Z32" s="670">
        <f t="shared" si="39"/>
        <v>0</v>
      </c>
      <c r="AA32" s="275">
        <f t="shared" si="40"/>
        <v>0</v>
      </c>
      <c r="AB32" s="272">
        <f t="shared" si="41"/>
        <v>0</v>
      </c>
      <c r="AC32" s="272">
        <f t="shared" si="42"/>
        <v>0</v>
      </c>
      <c r="AD32" s="276">
        <f t="shared" si="43"/>
        <v>0</v>
      </c>
      <c r="AE32" s="277">
        <f>INDEX(Tiere!I$30:I$106,'Nährstoffe und Lagerraum'!$BH32)</f>
        <v>0</v>
      </c>
      <c r="AF32" s="277">
        <f>INDEX(Tiere!W$30:W$106,'Nährstoffe und Lagerraum'!BH32)</f>
        <v>0</v>
      </c>
      <c r="AG32" s="272">
        <f t="shared" si="44"/>
        <v>0</v>
      </c>
      <c r="AH32" s="272">
        <f t="shared" si="45"/>
        <v>0</v>
      </c>
      <c r="AI32" s="272">
        <f t="shared" si="46"/>
        <v>0</v>
      </c>
      <c r="AJ32" s="275">
        <f t="shared" si="47"/>
        <v>0</v>
      </c>
      <c r="AK32" s="272">
        <f t="shared" si="48"/>
        <v>0</v>
      </c>
      <c r="AL32" s="276">
        <f t="shared" si="49"/>
        <v>0</v>
      </c>
      <c r="AM32" s="277" cm="1">
        <f t="array" ref="AM32">IF(BI32=1,INDEX(Tiere!S$30:S$106,'Nährstoffe und Lagerraum'!$BH32),IF(BI32=2,INDEX(Tiere!$T$30:$T$106,'Nährstoffe und Lagerraum'!BH32),INDEX(Tiere!$U$30:$U$106,'Nährstoffe und Lagerraum'!BH32)))</f>
        <v>0</v>
      </c>
      <c r="AN32" s="431">
        <f t="shared" si="80"/>
        <v>0</v>
      </c>
      <c r="AO32" s="431">
        <f t="shared" si="50"/>
        <v>0</v>
      </c>
      <c r="AP32" s="431">
        <f t="shared" si="51"/>
        <v>0</v>
      </c>
      <c r="AQ32" s="432">
        <f t="shared" si="52"/>
        <v>0</v>
      </c>
      <c r="AR32" s="433">
        <f t="shared" si="53"/>
        <v>0</v>
      </c>
      <c r="AS32" s="434">
        <f t="shared" si="54"/>
        <v>0</v>
      </c>
      <c r="AT32" s="272"/>
      <c r="AU32" s="375">
        <f t="shared" si="55"/>
        <v>0</v>
      </c>
      <c r="AV32" s="376">
        <f t="shared" si="56"/>
        <v>0</v>
      </c>
      <c r="AW32" s="376">
        <f t="shared" si="57"/>
        <v>0</v>
      </c>
      <c r="AX32" s="275">
        <f t="shared" si="58"/>
        <v>0</v>
      </c>
      <c r="AY32" s="272">
        <f t="shared" si="59"/>
        <v>0</v>
      </c>
      <c r="AZ32" s="276">
        <f t="shared" si="60"/>
        <v>0</v>
      </c>
      <c r="BA32" s="280">
        <f t="shared" si="61"/>
        <v>0</v>
      </c>
      <c r="BB32" s="281">
        <f t="shared" si="62"/>
        <v>0</v>
      </c>
      <c r="BC32" s="278">
        <f>INDEX(Tiere!AI$30:AI$106,'Nährstoffe und Lagerraum'!$BH32)</f>
        <v>0</v>
      </c>
      <c r="BD32" s="278">
        <f>INDEX(Tiere!AJ$30:AJ$106,'Nährstoffe und Lagerraum'!$BH32)</f>
        <v>0</v>
      </c>
      <c r="BE32" s="278">
        <f>INDEX(Tiere!AK$30:AK$106,'Nährstoffe und Lagerraum'!$BH32)</f>
        <v>0</v>
      </c>
      <c r="BF32" s="283">
        <f t="shared" si="63"/>
        <v>1</v>
      </c>
      <c r="BG32" s="283" cm="1">
        <f t="array" ref="BG32">INDEX(Tiere!$C$30:$C$106,BH32)</f>
        <v>0</v>
      </c>
      <c r="BH32" s="284">
        <v>1</v>
      </c>
      <c r="BI32" s="284">
        <v>1</v>
      </c>
      <c r="BJ32" s="283">
        <f>INDEX(Tiere!D$30:D$106,'Nährstoffe und Lagerraum'!$BH32)</f>
        <v>0</v>
      </c>
      <c r="BK32" s="283" t="str">
        <f t="shared" si="64"/>
        <v>1</v>
      </c>
      <c r="BL32" s="283">
        <f t="shared" si="65"/>
        <v>0</v>
      </c>
      <c r="BM32" s="282">
        <f>INDEX(Tiere!E$30:E$106,'Nährstoffe und Lagerraum'!$BH32)</f>
        <v>0</v>
      </c>
      <c r="BN32" s="278">
        <f>INDEX(Tiere!F$30:F$106,'Nährstoffe und Lagerraum'!$BH32)</f>
        <v>0</v>
      </c>
      <c r="BO32" s="279">
        <f>INDEX(Tiere!G$30:G$106,'Nährstoffe und Lagerraum'!$BH32)</f>
        <v>0</v>
      </c>
      <c r="BP32" s="278">
        <f>INDEX(Tiere!H$30:H$106,'Nährstoffe und Lagerraum'!$BH32)</f>
        <v>0</v>
      </c>
      <c r="BQ32" s="278">
        <f>INDEX(Tiere!V$30:V$106,'Nährstoffe und Lagerraum'!$BH32)</f>
        <v>0</v>
      </c>
      <c r="BR32" s="282">
        <f>INDEX(Tiere!P$30:P$106,'Nährstoffe und Lagerraum'!$BH32)</f>
        <v>0</v>
      </c>
      <c r="BS32" s="278">
        <f>INDEX(Tiere!Q$30:Q$106,'Nährstoffe und Lagerraum'!$BH32)</f>
        <v>0</v>
      </c>
      <c r="BT32" s="279">
        <f>INDEX(Tiere!R$30:R$106,'Nährstoffe und Lagerraum'!$BH32)</f>
        <v>0</v>
      </c>
      <c r="BU32" s="282">
        <f>INDEX(Tiere!X$30:X$106,'Nährstoffe und Lagerraum'!$BH32)</f>
        <v>0</v>
      </c>
      <c r="BV32" s="279">
        <f>INDEX(Tiere!Y$30:Y$106,'Nährstoffe und Lagerraum'!$BH32)</f>
        <v>0</v>
      </c>
      <c r="BW32" s="285">
        <f>INDEX(Tiere!Z$30:Z$106,'Nährstoffe und Lagerraum'!$BH32)</f>
        <v>0</v>
      </c>
      <c r="BX32" s="279">
        <f>INDEX(Tiere!J$30:J$106,'Nährstoffe und Lagerraum'!$BH32)</f>
        <v>0</v>
      </c>
      <c r="BY32" s="279">
        <f>INDEX(Tiere!K$30:K$106,'Nährstoffe und Lagerraum'!$BH32)</f>
        <v>0</v>
      </c>
      <c r="BZ32" s="279">
        <f>INDEX(Tiere!L$30:L$106,'Nährstoffe und Lagerraum'!$BH32)</f>
        <v>0</v>
      </c>
      <c r="CA32" s="278">
        <f>BX32*'Abweichende Werte'!$Y$64</f>
        <v>0</v>
      </c>
      <c r="CB32" s="278">
        <f>BY32*'Abweichende Werte'!$Y$64</f>
        <v>0</v>
      </c>
      <c r="CC32" s="278">
        <f>BZ32*'Abweichende Werte'!$Y$64</f>
        <v>0</v>
      </c>
      <c r="CD32" s="272">
        <v>5</v>
      </c>
      <c r="CE32" s="272">
        <v>3</v>
      </c>
      <c r="CF32" s="276">
        <v>17</v>
      </c>
      <c r="CG32" s="276">
        <f>'Abweichende Werte'!U$64</f>
        <v>5</v>
      </c>
      <c r="CH32" s="276">
        <f>'Abweichende Werte'!V$64</f>
        <v>3</v>
      </c>
      <c r="CI32" s="276">
        <f>'Abweichende Werte'!W$64</f>
        <v>17</v>
      </c>
      <c r="CJ32" s="276">
        <f>INDEX(Tiere!AD$30:AD$106,'Nährstoffe und Lagerraum'!$BH32)</f>
        <v>0</v>
      </c>
      <c r="CK32" s="276">
        <f>INDEX(Tiere!AE$30:AE$106,'Nährstoffe und Lagerraum'!$BH32)</f>
        <v>0</v>
      </c>
      <c r="CL32" s="286">
        <f t="shared" si="66"/>
        <v>0</v>
      </c>
      <c r="CM32" s="287">
        <f t="shared" si="67"/>
        <v>0</v>
      </c>
      <c r="CN32" s="272">
        <f t="shared" si="68"/>
        <v>0</v>
      </c>
      <c r="CO32" s="276">
        <f t="shared" si="69"/>
        <v>0</v>
      </c>
      <c r="CP32" s="272"/>
      <c r="CQ32" s="272" t="b">
        <f t="shared" si="70"/>
        <v>0</v>
      </c>
      <c r="CR32" s="272"/>
      <c r="CS32" s="282">
        <f>INDEX(Tiere!AF$30:AF$106,'Nährstoffe und Lagerraum'!$BH32)</f>
        <v>0</v>
      </c>
      <c r="CT32" s="282">
        <f>INDEX(Tiere!AG$30:AG$106,'Nährstoffe und Lagerraum'!$BH32)</f>
        <v>0</v>
      </c>
      <c r="CU32" s="282">
        <f>INDEX(Tiere!AH$30:AH$106,'Nährstoffe und Lagerraum'!$BH32)</f>
        <v>0</v>
      </c>
      <c r="CV32" s="143">
        <f t="shared" si="71"/>
        <v>0</v>
      </c>
      <c r="CW32" s="148">
        <f t="shared" si="72"/>
        <v>0</v>
      </c>
      <c r="CX32" s="17"/>
      <c r="CY32" s="17">
        <f t="shared" si="73"/>
        <v>0</v>
      </c>
      <c r="CZ32" s="17">
        <f t="shared" si="74"/>
        <v>0</v>
      </c>
      <c r="DA32" s="17">
        <f t="shared" si="75"/>
        <v>0</v>
      </c>
      <c r="DD32" s="143">
        <f t="shared" si="76"/>
        <v>0</v>
      </c>
      <c r="DE32" s="143">
        <f t="shared" si="77"/>
        <v>0</v>
      </c>
      <c r="DF32" s="143">
        <f t="shared" si="78"/>
        <v>0</v>
      </c>
      <c r="DG32" s="143">
        <f t="shared" si="79"/>
        <v>0</v>
      </c>
      <c r="DL32" s="143">
        <f t="shared" si="22"/>
        <v>0</v>
      </c>
      <c r="DM32" s="143">
        <f t="shared" si="23"/>
        <v>0</v>
      </c>
      <c r="DN32" s="143">
        <f t="shared" si="24"/>
        <v>0</v>
      </c>
      <c r="DO32" s="143">
        <f t="shared" si="25"/>
        <v>0</v>
      </c>
      <c r="DP32" s="143">
        <f t="shared" si="26"/>
        <v>0</v>
      </c>
      <c r="DQ32" s="143">
        <f t="shared" si="27"/>
        <v>0</v>
      </c>
      <c r="DS32" s="143" cm="1">
        <f t="array" ref="DS32">INDEX(Tiere!$AB$30:$AB$106,'Nährstoffe und Lagerraum'!BH32)</f>
        <v>0</v>
      </c>
    </row>
    <row r="33" spans="1:123" ht="15.75" customHeight="1" x14ac:dyDescent="0.25">
      <c r="A33" s="1273"/>
      <c r="B33" s="1274"/>
      <c r="C33" s="1274"/>
      <c r="D33" s="1094"/>
      <c r="E33" s="1095"/>
      <c r="F33" s="470"/>
      <c r="G33" s="1100"/>
      <c r="H33" s="1101"/>
      <c r="I33" s="471" t="str">
        <f t="shared" si="28"/>
        <v xml:space="preserve"> </v>
      </c>
      <c r="J33" s="471" t="str">
        <f t="shared" si="81"/>
        <v xml:space="preserve"> </v>
      </c>
      <c r="K33" s="18"/>
      <c r="L33" s="1145">
        <f t="shared" si="29"/>
        <v>0</v>
      </c>
      <c r="M33" s="244"/>
      <c r="N33" s="272" t="str">
        <f t="shared" si="30"/>
        <v xml:space="preserve"> </v>
      </c>
      <c r="O33" s="272"/>
      <c r="P33" s="272">
        <f t="shared" si="31"/>
        <v>0</v>
      </c>
      <c r="Q33" s="272">
        <f t="shared" si="1"/>
        <v>0</v>
      </c>
      <c r="R33" s="272">
        <f t="shared" si="32"/>
        <v>0</v>
      </c>
      <c r="S33" s="272">
        <f t="shared" si="3"/>
        <v>0</v>
      </c>
      <c r="T33" s="272" t="str">
        <f t="shared" si="33"/>
        <v xml:space="preserve"> </v>
      </c>
      <c r="U33" s="273">
        <f t="shared" si="34"/>
        <v>0</v>
      </c>
      <c r="V33" s="274">
        <f t="shared" si="35"/>
        <v>0</v>
      </c>
      <c r="W33" s="670">
        <f t="shared" si="36"/>
        <v>0</v>
      </c>
      <c r="X33" s="670">
        <f t="shared" si="37"/>
        <v>0</v>
      </c>
      <c r="Y33" s="670">
        <f t="shared" si="38"/>
        <v>0</v>
      </c>
      <c r="Z33" s="670">
        <f t="shared" si="39"/>
        <v>0</v>
      </c>
      <c r="AA33" s="275">
        <f t="shared" si="40"/>
        <v>0</v>
      </c>
      <c r="AB33" s="272">
        <f t="shared" si="41"/>
        <v>0</v>
      </c>
      <c r="AC33" s="272">
        <f t="shared" si="42"/>
        <v>0</v>
      </c>
      <c r="AD33" s="276">
        <f t="shared" si="43"/>
        <v>0</v>
      </c>
      <c r="AE33" s="277">
        <f>INDEX(Tiere!I$30:I$106,'Nährstoffe und Lagerraum'!$BH33)</f>
        <v>0</v>
      </c>
      <c r="AF33" s="277">
        <f>INDEX(Tiere!W$30:W$106,'Nährstoffe und Lagerraum'!BH33)</f>
        <v>0</v>
      </c>
      <c r="AG33" s="272">
        <f t="shared" si="44"/>
        <v>0</v>
      </c>
      <c r="AH33" s="272">
        <f t="shared" si="45"/>
        <v>0</v>
      </c>
      <c r="AI33" s="272">
        <f t="shared" si="46"/>
        <v>0</v>
      </c>
      <c r="AJ33" s="275">
        <f t="shared" si="47"/>
        <v>0</v>
      </c>
      <c r="AK33" s="272">
        <f t="shared" si="48"/>
        <v>0</v>
      </c>
      <c r="AL33" s="276">
        <f t="shared" si="49"/>
        <v>0</v>
      </c>
      <c r="AM33" s="277" cm="1">
        <f t="array" ref="AM33">IF(BI33=1,INDEX(Tiere!S$30:S$106,'Nährstoffe und Lagerraum'!$BH33),IF(BI33=2,INDEX(Tiere!$T$30:$T$106,'Nährstoffe und Lagerraum'!BH33),INDEX(Tiere!$U$30:$U$106,'Nährstoffe und Lagerraum'!BH33)))</f>
        <v>0</v>
      </c>
      <c r="AN33" s="431">
        <f t="shared" si="80"/>
        <v>0</v>
      </c>
      <c r="AO33" s="431">
        <f t="shared" si="50"/>
        <v>0</v>
      </c>
      <c r="AP33" s="431">
        <f t="shared" si="51"/>
        <v>0</v>
      </c>
      <c r="AQ33" s="432">
        <f t="shared" si="52"/>
        <v>0</v>
      </c>
      <c r="AR33" s="433">
        <f t="shared" si="53"/>
        <v>0</v>
      </c>
      <c r="AS33" s="434">
        <f t="shared" si="54"/>
        <v>0</v>
      </c>
      <c r="AT33" s="272"/>
      <c r="AU33" s="375">
        <f t="shared" si="55"/>
        <v>0</v>
      </c>
      <c r="AV33" s="376">
        <f t="shared" si="56"/>
        <v>0</v>
      </c>
      <c r="AW33" s="376">
        <f t="shared" si="57"/>
        <v>0</v>
      </c>
      <c r="AX33" s="275">
        <f t="shared" si="58"/>
        <v>0</v>
      </c>
      <c r="AY33" s="272">
        <f t="shared" si="59"/>
        <v>0</v>
      </c>
      <c r="AZ33" s="276">
        <f t="shared" si="60"/>
        <v>0</v>
      </c>
      <c r="BA33" s="280">
        <f t="shared" si="61"/>
        <v>0</v>
      </c>
      <c r="BB33" s="281">
        <f t="shared" si="62"/>
        <v>0</v>
      </c>
      <c r="BC33" s="278">
        <f>INDEX(Tiere!AI$30:AI$106,'Nährstoffe und Lagerraum'!$BH33)</f>
        <v>0</v>
      </c>
      <c r="BD33" s="278">
        <f>INDEX(Tiere!AJ$30:AJ$106,'Nährstoffe und Lagerraum'!$BH33)</f>
        <v>0</v>
      </c>
      <c r="BE33" s="278">
        <f>INDEX(Tiere!AK$30:AK$106,'Nährstoffe und Lagerraum'!$BH33)</f>
        <v>0</v>
      </c>
      <c r="BF33" s="283">
        <f t="shared" si="63"/>
        <v>1</v>
      </c>
      <c r="BG33" s="283" cm="1">
        <f t="array" ref="BG33">INDEX(Tiere!$C$30:$C$106,BH33)</f>
        <v>0</v>
      </c>
      <c r="BH33" s="284">
        <v>1</v>
      </c>
      <c r="BI33" s="284">
        <v>1</v>
      </c>
      <c r="BJ33" s="283">
        <f>INDEX(Tiere!D$30:D$106,'Nährstoffe und Lagerraum'!$BH33)</f>
        <v>0</v>
      </c>
      <c r="BK33" s="283" t="str">
        <f t="shared" si="64"/>
        <v>1</v>
      </c>
      <c r="BL33" s="283">
        <f t="shared" si="65"/>
        <v>0</v>
      </c>
      <c r="BM33" s="282">
        <f>INDEX(Tiere!E$30:E$106,'Nährstoffe und Lagerraum'!$BH33)</f>
        <v>0</v>
      </c>
      <c r="BN33" s="278">
        <f>INDEX(Tiere!F$30:F$106,'Nährstoffe und Lagerraum'!$BH33)</f>
        <v>0</v>
      </c>
      <c r="BO33" s="279">
        <f>INDEX(Tiere!G$30:G$106,'Nährstoffe und Lagerraum'!$BH33)</f>
        <v>0</v>
      </c>
      <c r="BP33" s="278">
        <f>INDEX(Tiere!H$30:H$106,'Nährstoffe und Lagerraum'!$BH33)</f>
        <v>0</v>
      </c>
      <c r="BQ33" s="278">
        <f>INDEX(Tiere!V$30:V$106,'Nährstoffe und Lagerraum'!$BH33)</f>
        <v>0</v>
      </c>
      <c r="BR33" s="282">
        <f>INDEX(Tiere!P$30:P$106,'Nährstoffe und Lagerraum'!$BH33)</f>
        <v>0</v>
      </c>
      <c r="BS33" s="278">
        <f>INDEX(Tiere!Q$30:Q$106,'Nährstoffe und Lagerraum'!$BH33)</f>
        <v>0</v>
      </c>
      <c r="BT33" s="279">
        <f>INDEX(Tiere!R$30:R$106,'Nährstoffe und Lagerraum'!$BH33)</f>
        <v>0</v>
      </c>
      <c r="BU33" s="282">
        <f>INDEX(Tiere!X$30:X$106,'Nährstoffe und Lagerraum'!$BH33)</f>
        <v>0</v>
      </c>
      <c r="BV33" s="279">
        <f>INDEX(Tiere!Y$30:Y$106,'Nährstoffe und Lagerraum'!$BH33)</f>
        <v>0</v>
      </c>
      <c r="BW33" s="285">
        <f>INDEX(Tiere!Z$30:Z$106,'Nährstoffe und Lagerraum'!$BH33)</f>
        <v>0</v>
      </c>
      <c r="BX33" s="279">
        <f>INDEX(Tiere!J$30:J$106,'Nährstoffe und Lagerraum'!$BH33)</f>
        <v>0</v>
      </c>
      <c r="BY33" s="279">
        <f>INDEX(Tiere!K$30:K$106,'Nährstoffe und Lagerraum'!$BH33)</f>
        <v>0</v>
      </c>
      <c r="BZ33" s="279">
        <f>INDEX(Tiere!L$30:L$106,'Nährstoffe und Lagerraum'!$BH33)</f>
        <v>0</v>
      </c>
      <c r="CA33" s="278">
        <f>BX33*'Abweichende Werte'!$Y$64</f>
        <v>0</v>
      </c>
      <c r="CB33" s="278">
        <f>BY33*'Abweichende Werte'!$Y$64</f>
        <v>0</v>
      </c>
      <c r="CC33" s="278">
        <f>BZ33*'Abweichende Werte'!$Y$64</f>
        <v>0</v>
      </c>
      <c r="CD33" s="272">
        <v>5</v>
      </c>
      <c r="CE33" s="272">
        <v>3</v>
      </c>
      <c r="CF33" s="276">
        <v>17</v>
      </c>
      <c r="CG33" s="276">
        <f>'Abweichende Werte'!U$64</f>
        <v>5</v>
      </c>
      <c r="CH33" s="276">
        <f>'Abweichende Werte'!V$64</f>
        <v>3</v>
      </c>
      <c r="CI33" s="276">
        <f>'Abweichende Werte'!W$64</f>
        <v>17</v>
      </c>
      <c r="CJ33" s="276">
        <f>INDEX(Tiere!AD$30:AD$106,'Nährstoffe und Lagerraum'!$BH33)</f>
        <v>0</v>
      </c>
      <c r="CK33" s="276">
        <f>INDEX(Tiere!AE$30:AE$106,'Nährstoffe und Lagerraum'!$BH33)</f>
        <v>0</v>
      </c>
      <c r="CL33" s="286">
        <f t="shared" si="66"/>
        <v>0</v>
      </c>
      <c r="CM33" s="287">
        <f t="shared" si="67"/>
        <v>0</v>
      </c>
      <c r="CN33" s="272">
        <f t="shared" si="68"/>
        <v>0</v>
      </c>
      <c r="CO33" s="276">
        <f t="shared" si="69"/>
        <v>0</v>
      </c>
      <c r="CP33" s="272"/>
      <c r="CQ33" s="272" t="b">
        <f t="shared" si="70"/>
        <v>0</v>
      </c>
      <c r="CR33" s="272"/>
      <c r="CS33" s="282">
        <f>INDEX(Tiere!AF$30:AF$106,'Nährstoffe und Lagerraum'!$BH33)</f>
        <v>0</v>
      </c>
      <c r="CT33" s="282">
        <f>INDEX(Tiere!AG$30:AG$106,'Nährstoffe und Lagerraum'!$BH33)</f>
        <v>0</v>
      </c>
      <c r="CU33" s="282">
        <f>INDEX(Tiere!AH$30:AH$106,'Nährstoffe und Lagerraum'!$BH33)</f>
        <v>0</v>
      </c>
      <c r="CV33" s="143">
        <f t="shared" si="71"/>
        <v>0</v>
      </c>
      <c r="CW33" s="148">
        <f t="shared" si="72"/>
        <v>0</v>
      </c>
      <c r="CX33" s="17"/>
      <c r="CY33" s="17">
        <f t="shared" si="73"/>
        <v>0</v>
      </c>
      <c r="CZ33" s="17">
        <f t="shared" si="74"/>
        <v>0</v>
      </c>
      <c r="DA33" s="17">
        <f t="shared" si="75"/>
        <v>0</v>
      </c>
      <c r="DD33" s="143">
        <f t="shared" si="76"/>
        <v>0</v>
      </c>
      <c r="DE33" s="143">
        <f t="shared" si="77"/>
        <v>0</v>
      </c>
      <c r="DF33" s="143">
        <f t="shared" si="78"/>
        <v>0</v>
      </c>
      <c r="DG33" s="143">
        <f t="shared" si="79"/>
        <v>0</v>
      </c>
      <c r="DL33" s="143">
        <f t="shared" si="22"/>
        <v>0</v>
      </c>
      <c r="DM33" s="143">
        <f t="shared" si="23"/>
        <v>0</v>
      </c>
      <c r="DN33" s="143">
        <f t="shared" si="24"/>
        <v>0</v>
      </c>
      <c r="DO33" s="143">
        <f t="shared" si="25"/>
        <v>0</v>
      </c>
      <c r="DP33" s="143">
        <f t="shared" si="26"/>
        <v>0</v>
      </c>
      <c r="DQ33" s="143">
        <f t="shared" si="27"/>
        <v>0</v>
      </c>
      <c r="DS33" s="143" cm="1">
        <f t="array" ref="DS33">INDEX(Tiere!$AB$30:$AB$106,'Nährstoffe und Lagerraum'!BH33)</f>
        <v>0</v>
      </c>
    </row>
    <row r="34" spans="1:123" ht="15.75" customHeight="1" x14ac:dyDescent="0.25">
      <c r="A34" s="1273"/>
      <c r="B34" s="1274"/>
      <c r="C34" s="1274"/>
      <c r="D34" s="1094"/>
      <c r="E34" s="1095"/>
      <c r="F34" s="470"/>
      <c r="G34" s="1100"/>
      <c r="H34" s="1101"/>
      <c r="I34" s="471" t="str">
        <f t="shared" si="28"/>
        <v xml:space="preserve"> </v>
      </c>
      <c r="J34" s="471" t="str">
        <f t="shared" si="81"/>
        <v xml:space="preserve"> </v>
      </c>
      <c r="K34" s="18"/>
      <c r="L34" s="1145">
        <f t="shared" si="29"/>
        <v>0</v>
      </c>
      <c r="M34" s="244"/>
      <c r="N34" s="272" t="str">
        <f t="shared" si="30"/>
        <v xml:space="preserve"> </v>
      </c>
      <c r="O34" s="272"/>
      <c r="P34" s="272">
        <f t="shared" si="31"/>
        <v>0</v>
      </c>
      <c r="Q34" s="272">
        <f t="shared" si="1"/>
        <v>0</v>
      </c>
      <c r="R34" s="272">
        <f t="shared" si="32"/>
        <v>0</v>
      </c>
      <c r="S34" s="272">
        <f t="shared" si="3"/>
        <v>0</v>
      </c>
      <c r="T34" s="272" t="str">
        <f t="shared" si="33"/>
        <v xml:space="preserve"> </v>
      </c>
      <c r="U34" s="273">
        <f t="shared" si="34"/>
        <v>0</v>
      </c>
      <c r="V34" s="274">
        <f t="shared" si="35"/>
        <v>0</v>
      </c>
      <c r="W34" s="670">
        <f t="shared" si="36"/>
        <v>0</v>
      </c>
      <c r="X34" s="670">
        <f t="shared" si="37"/>
        <v>0</v>
      </c>
      <c r="Y34" s="670">
        <f t="shared" si="38"/>
        <v>0</v>
      </c>
      <c r="Z34" s="670">
        <f t="shared" si="39"/>
        <v>0</v>
      </c>
      <c r="AA34" s="275">
        <f t="shared" si="40"/>
        <v>0</v>
      </c>
      <c r="AB34" s="272">
        <f t="shared" si="41"/>
        <v>0</v>
      </c>
      <c r="AC34" s="272">
        <f t="shared" si="42"/>
        <v>0</v>
      </c>
      <c r="AD34" s="276">
        <f t="shared" si="43"/>
        <v>0</v>
      </c>
      <c r="AE34" s="277">
        <f>INDEX(Tiere!I$30:I$106,'Nährstoffe und Lagerraum'!$BH34)</f>
        <v>0</v>
      </c>
      <c r="AF34" s="277">
        <f>INDEX(Tiere!W$30:W$106,'Nährstoffe und Lagerraum'!BH34)</f>
        <v>0</v>
      </c>
      <c r="AG34" s="272">
        <f t="shared" si="44"/>
        <v>0</v>
      </c>
      <c r="AH34" s="272">
        <f t="shared" si="45"/>
        <v>0</v>
      </c>
      <c r="AI34" s="272">
        <f t="shared" si="46"/>
        <v>0</v>
      </c>
      <c r="AJ34" s="275">
        <f t="shared" si="47"/>
        <v>0</v>
      </c>
      <c r="AK34" s="272">
        <f t="shared" si="48"/>
        <v>0</v>
      </c>
      <c r="AL34" s="276">
        <f t="shared" si="49"/>
        <v>0</v>
      </c>
      <c r="AM34" s="277" cm="1">
        <f t="array" ref="AM34">IF(BI34=1,INDEX(Tiere!S$30:S$106,'Nährstoffe und Lagerraum'!$BH34),IF(BI34=2,INDEX(Tiere!$T$30:$T$106,'Nährstoffe und Lagerraum'!BH34),INDEX(Tiere!$U$30:$U$106,'Nährstoffe und Lagerraum'!BH34)))</f>
        <v>0</v>
      </c>
      <c r="AN34" s="431">
        <f t="shared" si="80"/>
        <v>0</v>
      </c>
      <c r="AO34" s="431">
        <f t="shared" si="50"/>
        <v>0</v>
      </c>
      <c r="AP34" s="431">
        <f t="shared" si="51"/>
        <v>0</v>
      </c>
      <c r="AQ34" s="432">
        <f t="shared" si="52"/>
        <v>0</v>
      </c>
      <c r="AR34" s="433">
        <f t="shared" si="53"/>
        <v>0</v>
      </c>
      <c r="AS34" s="434">
        <f t="shared" si="54"/>
        <v>0</v>
      </c>
      <c r="AT34" s="272"/>
      <c r="AU34" s="375">
        <f t="shared" si="55"/>
        <v>0</v>
      </c>
      <c r="AV34" s="376">
        <f t="shared" si="56"/>
        <v>0</v>
      </c>
      <c r="AW34" s="376">
        <f t="shared" si="57"/>
        <v>0</v>
      </c>
      <c r="AX34" s="275">
        <f t="shared" si="58"/>
        <v>0</v>
      </c>
      <c r="AY34" s="272">
        <f t="shared" si="59"/>
        <v>0</v>
      </c>
      <c r="AZ34" s="276">
        <f t="shared" si="60"/>
        <v>0</v>
      </c>
      <c r="BA34" s="280">
        <f t="shared" si="61"/>
        <v>0</v>
      </c>
      <c r="BB34" s="281">
        <f t="shared" si="62"/>
        <v>0</v>
      </c>
      <c r="BC34" s="278">
        <f>INDEX(Tiere!AI$30:AI$106,'Nährstoffe und Lagerraum'!$BH34)</f>
        <v>0</v>
      </c>
      <c r="BD34" s="278">
        <f>INDEX(Tiere!AJ$30:AJ$106,'Nährstoffe und Lagerraum'!$BH34)</f>
        <v>0</v>
      </c>
      <c r="BE34" s="278">
        <f>INDEX(Tiere!AK$30:AK$106,'Nährstoffe und Lagerraum'!$BH34)</f>
        <v>0</v>
      </c>
      <c r="BF34" s="283">
        <f t="shared" si="63"/>
        <v>1</v>
      </c>
      <c r="BG34" s="283" cm="1">
        <f t="array" ref="BG34">INDEX(Tiere!$C$30:$C$106,BH34)</f>
        <v>0</v>
      </c>
      <c r="BH34" s="284">
        <v>1</v>
      </c>
      <c r="BI34" s="284">
        <v>1</v>
      </c>
      <c r="BJ34" s="283">
        <f>INDEX(Tiere!D$30:D$106,'Nährstoffe und Lagerraum'!$BH34)</f>
        <v>0</v>
      </c>
      <c r="BK34" s="283" t="str">
        <f t="shared" si="64"/>
        <v>1</v>
      </c>
      <c r="BL34" s="283">
        <f t="shared" si="65"/>
        <v>0</v>
      </c>
      <c r="BM34" s="282">
        <f>INDEX(Tiere!E$30:E$106,'Nährstoffe und Lagerraum'!$BH34)</f>
        <v>0</v>
      </c>
      <c r="BN34" s="278">
        <f>INDEX(Tiere!F$30:F$106,'Nährstoffe und Lagerraum'!$BH34)</f>
        <v>0</v>
      </c>
      <c r="BO34" s="279">
        <f>INDEX(Tiere!G$30:G$106,'Nährstoffe und Lagerraum'!$BH34)</f>
        <v>0</v>
      </c>
      <c r="BP34" s="278">
        <f>INDEX(Tiere!H$30:H$106,'Nährstoffe und Lagerraum'!$BH34)</f>
        <v>0</v>
      </c>
      <c r="BQ34" s="278">
        <f>INDEX(Tiere!V$30:V$106,'Nährstoffe und Lagerraum'!$BH34)</f>
        <v>0</v>
      </c>
      <c r="BR34" s="282">
        <f>INDEX(Tiere!P$30:P$106,'Nährstoffe und Lagerraum'!$BH34)</f>
        <v>0</v>
      </c>
      <c r="BS34" s="278">
        <f>INDEX(Tiere!Q$30:Q$106,'Nährstoffe und Lagerraum'!$BH34)</f>
        <v>0</v>
      </c>
      <c r="BT34" s="279">
        <f>INDEX(Tiere!R$30:R$106,'Nährstoffe und Lagerraum'!$BH34)</f>
        <v>0</v>
      </c>
      <c r="BU34" s="282">
        <f>INDEX(Tiere!X$30:X$106,'Nährstoffe und Lagerraum'!$BH34)</f>
        <v>0</v>
      </c>
      <c r="BV34" s="279">
        <f>INDEX(Tiere!Y$30:Y$106,'Nährstoffe und Lagerraum'!$BH34)</f>
        <v>0</v>
      </c>
      <c r="BW34" s="285">
        <f>INDEX(Tiere!Z$30:Z$106,'Nährstoffe und Lagerraum'!$BH34)</f>
        <v>0</v>
      </c>
      <c r="BX34" s="279">
        <f>INDEX(Tiere!J$30:J$106,'Nährstoffe und Lagerraum'!$BH34)</f>
        <v>0</v>
      </c>
      <c r="BY34" s="279">
        <f>INDEX(Tiere!K$30:K$106,'Nährstoffe und Lagerraum'!$BH34)</f>
        <v>0</v>
      </c>
      <c r="BZ34" s="279">
        <f>INDEX(Tiere!L$30:L$106,'Nährstoffe und Lagerraum'!$BH34)</f>
        <v>0</v>
      </c>
      <c r="CA34" s="278">
        <f>BX34*'Abweichende Werte'!$Y$64</f>
        <v>0</v>
      </c>
      <c r="CB34" s="278">
        <f>BY34*'Abweichende Werte'!$Y$64</f>
        <v>0</v>
      </c>
      <c r="CC34" s="278">
        <f>BZ34*'Abweichende Werte'!$Y$64</f>
        <v>0</v>
      </c>
      <c r="CD34" s="272">
        <v>5</v>
      </c>
      <c r="CE34" s="272">
        <v>3</v>
      </c>
      <c r="CF34" s="276">
        <v>17</v>
      </c>
      <c r="CG34" s="276">
        <f>'Abweichende Werte'!U$64</f>
        <v>5</v>
      </c>
      <c r="CH34" s="276">
        <f>'Abweichende Werte'!V$64</f>
        <v>3</v>
      </c>
      <c r="CI34" s="276">
        <f>'Abweichende Werte'!W$64</f>
        <v>17</v>
      </c>
      <c r="CJ34" s="276">
        <f>INDEX(Tiere!AD$30:AD$106,'Nährstoffe und Lagerraum'!$BH34)</f>
        <v>0</v>
      </c>
      <c r="CK34" s="276">
        <f>INDEX(Tiere!AE$30:AE$106,'Nährstoffe und Lagerraum'!$BH34)</f>
        <v>0</v>
      </c>
      <c r="CL34" s="286">
        <f t="shared" si="66"/>
        <v>0</v>
      </c>
      <c r="CM34" s="287">
        <f t="shared" si="67"/>
        <v>0</v>
      </c>
      <c r="CN34" s="272">
        <f t="shared" si="68"/>
        <v>0</v>
      </c>
      <c r="CO34" s="276">
        <f t="shared" si="69"/>
        <v>0</v>
      </c>
      <c r="CP34" s="272"/>
      <c r="CQ34" s="272" t="b">
        <f t="shared" si="70"/>
        <v>0</v>
      </c>
      <c r="CR34" s="272"/>
      <c r="CS34" s="282">
        <f>INDEX(Tiere!AF$30:AF$106,'Nährstoffe und Lagerraum'!$BH34)</f>
        <v>0</v>
      </c>
      <c r="CT34" s="282">
        <f>INDEX(Tiere!AG$30:AG$106,'Nährstoffe und Lagerraum'!$BH34)</f>
        <v>0</v>
      </c>
      <c r="CU34" s="282">
        <f>INDEX(Tiere!AH$30:AH$106,'Nährstoffe und Lagerraum'!$BH34)</f>
        <v>0</v>
      </c>
      <c r="CV34" s="143">
        <f t="shared" si="71"/>
        <v>0</v>
      </c>
      <c r="CW34" s="148">
        <f t="shared" si="72"/>
        <v>0</v>
      </c>
      <c r="CX34" s="17"/>
      <c r="CY34" s="17">
        <f t="shared" si="73"/>
        <v>0</v>
      </c>
      <c r="CZ34" s="17">
        <f t="shared" si="74"/>
        <v>0</v>
      </c>
      <c r="DA34" s="17">
        <f t="shared" si="75"/>
        <v>0</v>
      </c>
      <c r="DD34" s="143">
        <f t="shared" si="76"/>
        <v>0</v>
      </c>
      <c r="DE34" s="143">
        <f t="shared" si="77"/>
        <v>0</v>
      </c>
      <c r="DF34" s="143">
        <f t="shared" si="78"/>
        <v>0</v>
      </c>
      <c r="DG34" s="143">
        <f t="shared" si="79"/>
        <v>0</v>
      </c>
      <c r="DL34" s="143">
        <f t="shared" si="22"/>
        <v>0</v>
      </c>
      <c r="DM34" s="143">
        <f t="shared" si="23"/>
        <v>0</v>
      </c>
      <c r="DN34" s="143">
        <f t="shared" si="24"/>
        <v>0</v>
      </c>
      <c r="DO34" s="143">
        <f t="shared" si="25"/>
        <v>0</v>
      </c>
      <c r="DP34" s="143">
        <f t="shared" si="26"/>
        <v>0</v>
      </c>
      <c r="DQ34" s="143">
        <f t="shared" si="27"/>
        <v>0</v>
      </c>
      <c r="DS34" s="143" cm="1">
        <f t="array" ref="DS34">INDEX(Tiere!$AB$30:$AB$106,'Nährstoffe und Lagerraum'!BH34)</f>
        <v>0</v>
      </c>
    </row>
    <row r="35" spans="1:123" ht="15.75" customHeight="1" x14ac:dyDescent="0.25">
      <c r="A35" s="1273"/>
      <c r="B35" s="1274"/>
      <c r="C35" s="1274"/>
      <c r="D35" s="1094"/>
      <c r="E35" s="1095"/>
      <c r="F35" s="470"/>
      <c r="G35" s="1100"/>
      <c r="H35" s="1101"/>
      <c r="I35" s="471" t="str">
        <f t="shared" si="28"/>
        <v xml:space="preserve"> </v>
      </c>
      <c r="J35" s="471" t="str">
        <f t="shared" si="81"/>
        <v xml:space="preserve"> </v>
      </c>
      <c r="K35" s="18"/>
      <c r="L35" s="1145">
        <f t="shared" si="29"/>
        <v>0</v>
      </c>
      <c r="M35" s="244"/>
      <c r="N35" s="272" t="str">
        <f>IF(J35=" "," ",(J35*(1/BW35)))</f>
        <v xml:space="preserve"> </v>
      </c>
      <c r="O35" s="272"/>
      <c r="P35" s="272">
        <f t="shared" si="31"/>
        <v>0</v>
      </c>
      <c r="Q35" s="272">
        <f t="shared" si="1"/>
        <v>0</v>
      </c>
      <c r="R35" s="272">
        <f t="shared" si="32"/>
        <v>0</v>
      </c>
      <c r="S35" s="272">
        <f t="shared" si="3"/>
        <v>0</v>
      </c>
      <c r="T35" s="272" t="str">
        <f t="shared" si="33"/>
        <v xml:space="preserve"> </v>
      </c>
      <c r="U35" s="273">
        <f t="shared" si="34"/>
        <v>0</v>
      </c>
      <c r="V35" s="274">
        <f t="shared" si="35"/>
        <v>0</v>
      </c>
      <c r="W35" s="670">
        <f t="shared" si="36"/>
        <v>0</v>
      </c>
      <c r="X35" s="670">
        <f t="shared" si="37"/>
        <v>0</v>
      </c>
      <c r="Y35" s="670">
        <f t="shared" si="38"/>
        <v>0</v>
      </c>
      <c r="Z35" s="670">
        <f t="shared" si="39"/>
        <v>0</v>
      </c>
      <c r="AA35" s="275">
        <f t="shared" si="40"/>
        <v>0</v>
      </c>
      <c r="AB35" s="272">
        <f t="shared" si="41"/>
        <v>0</v>
      </c>
      <c r="AC35" s="272">
        <f t="shared" si="42"/>
        <v>0</v>
      </c>
      <c r="AD35" s="276">
        <f t="shared" si="43"/>
        <v>0</v>
      </c>
      <c r="AE35" s="277">
        <f>INDEX(Tiere!I$30:I$106,'Nährstoffe und Lagerraum'!$BH35)</f>
        <v>0</v>
      </c>
      <c r="AF35" s="277">
        <f>INDEX(Tiere!W$30:W$106,'Nährstoffe und Lagerraum'!BH35)</f>
        <v>0</v>
      </c>
      <c r="AG35" s="272">
        <f t="shared" si="44"/>
        <v>0</v>
      </c>
      <c r="AH35" s="272">
        <f t="shared" si="45"/>
        <v>0</v>
      </c>
      <c r="AI35" s="272">
        <f t="shared" si="46"/>
        <v>0</v>
      </c>
      <c r="AJ35" s="275">
        <f t="shared" si="47"/>
        <v>0</v>
      </c>
      <c r="AK35" s="272">
        <f t="shared" si="48"/>
        <v>0</v>
      </c>
      <c r="AL35" s="276">
        <f t="shared" si="49"/>
        <v>0</v>
      </c>
      <c r="AM35" s="277" cm="1">
        <f t="array" ref="AM35">IF(BI35=1,INDEX(Tiere!S$30:S$106,'Nährstoffe und Lagerraum'!$BH35),IF(BI35=2,INDEX(Tiere!$T$30:$T$106,'Nährstoffe und Lagerraum'!BH35),INDEX(Tiere!$U$30:$U$106,'Nährstoffe und Lagerraum'!BH35)))</f>
        <v>0</v>
      </c>
      <c r="AN35" s="431">
        <f t="shared" si="80"/>
        <v>0</v>
      </c>
      <c r="AO35" s="431">
        <f t="shared" si="50"/>
        <v>0</v>
      </c>
      <c r="AP35" s="431">
        <f t="shared" si="51"/>
        <v>0</v>
      </c>
      <c r="AQ35" s="432">
        <f t="shared" si="52"/>
        <v>0</v>
      </c>
      <c r="AR35" s="433">
        <f t="shared" si="53"/>
        <v>0</v>
      </c>
      <c r="AS35" s="434">
        <f t="shared" si="54"/>
        <v>0</v>
      </c>
      <c r="AT35" s="272"/>
      <c r="AU35" s="375">
        <f t="shared" si="55"/>
        <v>0</v>
      </c>
      <c r="AV35" s="376">
        <f t="shared" si="56"/>
        <v>0</v>
      </c>
      <c r="AW35" s="376">
        <f t="shared" si="57"/>
        <v>0</v>
      </c>
      <c r="AX35" s="275">
        <f t="shared" si="58"/>
        <v>0</v>
      </c>
      <c r="AY35" s="272">
        <f t="shared" si="59"/>
        <v>0</v>
      </c>
      <c r="AZ35" s="276">
        <f t="shared" si="60"/>
        <v>0</v>
      </c>
      <c r="BA35" s="280">
        <f t="shared" si="61"/>
        <v>0</v>
      </c>
      <c r="BB35" s="281">
        <f t="shared" si="62"/>
        <v>0</v>
      </c>
      <c r="BC35" s="278">
        <f>INDEX(Tiere!AI$30:AI$106,'Nährstoffe und Lagerraum'!$BH35)</f>
        <v>0</v>
      </c>
      <c r="BD35" s="278">
        <f>INDEX(Tiere!AJ$30:AJ$106,'Nährstoffe und Lagerraum'!$BH35)</f>
        <v>0</v>
      </c>
      <c r="BE35" s="278">
        <f>INDEX(Tiere!AK$30:AK$106,'Nährstoffe und Lagerraum'!$BH35)</f>
        <v>0</v>
      </c>
      <c r="BF35" s="283">
        <f t="shared" si="63"/>
        <v>1</v>
      </c>
      <c r="BG35" s="283" cm="1">
        <f t="array" ref="BG35">INDEX(Tiere!$C$30:$C$106,BH35)</f>
        <v>0</v>
      </c>
      <c r="BH35" s="284">
        <v>1</v>
      </c>
      <c r="BI35" s="284">
        <v>1</v>
      </c>
      <c r="BJ35" s="283">
        <f>INDEX(Tiere!D$30:D$106,'Nährstoffe und Lagerraum'!$BH35)</f>
        <v>0</v>
      </c>
      <c r="BK35" s="283" t="str">
        <f t="shared" si="64"/>
        <v>1</v>
      </c>
      <c r="BL35" s="283">
        <f t="shared" si="65"/>
        <v>0</v>
      </c>
      <c r="BM35" s="282">
        <f>INDEX(Tiere!E$30:E$106,'Nährstoffe und Lagerraum'!$BH35)</f>
        <v>0</v>
      </c>
      <c r="BN35" s="278">
        <f>INDEX(Tiere!F$30:F$106,'Nährstoffe und Lagerraum'!$BH35)</f>
        <v>0</v>
      </c>
      <c r="BO35" s="279">
        <f>INDEX(Tiere!G$30:G$106,'Nährstoffe und Lagerraum'!$BH35)</f>
        <v>0</v>
      </c>
      <c r="BP35" s="278">
        <f>INDEX(Tiere!H$30:H$106,'Nährstoffe und Lagerraum'!$BH35)</f>
        <v>0</v>
      </c>
      <c r="BQ35" s="278">
        <f>INDEX(Tiere!V$30:V$106,'Nährstoffe und Lagerraum'!$BH35)</f>
        <v>0</v>
      </c>
      <c r="BR35" s="282">
        <f>INDEX(Tiere!P$30:P$106,'Nährstoffe und Lagerraum'!$BH35)</f>
        <v>0</v>
      </c>
      <c r="BS35" s="278">
        <f>INDEX(Tiere!Q$30:Q$106,'Nährstoffe und Lagerraum'!$BH35)</f>
        <v>0</v>
      </c>
      <c r="BT35" s="279">
        <f>INDEX(Tiere!R$30:R$106,'Nährstoffe und Lagerraum'!$BH35)</f>
        <v>0</v>
      </c>
      <c r="BU35" s="282">
        <f>INDEX(Tiere!X$30:X$106,'Nährstoffe und Lagerraum'!$BH35)</f>
        <v>0</v>
      </c>
      <c r="BV35" s="279">
        <f>INDEX(Tiere!Y$30:Y$106,'Nährstoffe und Lagerraum'!$BH35)</f>
        <v>0</v>
      </c>
      <c r="BW35" s="285">
        <f>INDEX(Tiere!Z$30:Z$106,'Nährstoffe und Lagerraum'!$BH35)</f>
        <v>0</v>
      </c>
      <c r="BX35" s="279">
        <f>INDEX(Tiere!J$30:J$106,'Nährstoffe und Lagerraum'!$BH35)</f>
        <v>0</v>
      </c>
      <c r="BY35" s="279">
        <f>INDEX(Tiere!K$30:K$106,'Nährstoffe und Lagerraum'!$BH35)</f>
        <v>0</v>
      </c>
      <c r="BZ35" s="279">
        <f>INDEX(Tiere!L$30:L$106,'Nährstoffe und Lagerraum'!$BH35)</f>
        <v>0</v>
      </c>
      <c r="CA35" s="278">
        <f>BX35*'Abweichende Werte'!$Y$64</f>
        <v>0</v>
      </c>
      <c r="CB35" s="278">
        <f>BY35*'Abweichende Werte'!$Y$64</f>
        <v>0</v>
      </c>
      <c r="CC35" s="278">
        <f>BZ35*'Abweichende Werte'!$Y$64</f>
        <v>0</v>
      </c>
      <c r="CD35" s="272">
        <v>5</v>
      </c>
      <c r="CE35" s="272">
        <v>3</v>
      </c>
      <c r="CF35" s="276">
        <v>17</v>
      </c>
      <c r="CG35" s="276">
        <f>'Abweichende Werte'!U$64</f>
        <v>5</v>
      </c>
      <c r="CH35" s="276">
        <f>'Abweichende Werte'!V$64</f>
        <v>3</v>
      </c>
      <c r="CI35" s="276">
        <f>'Abweichende Werte'!W$64</f>
        <v>17</v>
      </c>
      <c r="CJ35" s="276">
        <f>INDEX(Tiere!AD$30:AD$106,'Nährstoffe und Lagerraum'!$BH35)</f>
        <v>0</v>
      </c>
      <c r="CK35" s="276">
        <f>INDEX(Tiere!AE$30:AE$106,'Nährstoffe und Lagerraum'!$BH35)</f>
        <v>0</v>
      </c>
      <c r="CL35" s="286">
        <f t="shared" si="66"/>
        <v>0</v>
      </c>
      <c r="CM35" s="287">
        <f t="shared" si="67"/>
        <v>0</v>
      </c>
      <c r="CN35" s="272">
        <f t="shared" si="68"/>
        <v>0</v>
      </c>
      <c r="CO35" s="276">
        <f t="shared" si="69"/>
        <v>0</v>
      </c>
      <c r="CP35" s="272"/>
      <c r="CQ35" s="272" t="b">
        <f t="shared" si="70"/>
        <v>0</v>
      </c>
      <c r="CR35" s="272"/>
      <c r="CS35" s="282">
        <f>INDEX(Tiere!AF$30:AF$106,'Nährstoffe und Lagerraum'!$BH35)</f>
        <v>0</v>
      </c>
      <c r="CT35" s="282">
        <f>INDEX(Tiere!AG$30:AG$106,'Nährstoffe und Lagerraum'!$BH35)</f>
        <v>0</v>
      </c>
      <c r="CU35" s="282">
        <f>INDEX(Tiere!AH$30:AH$106,'Nährstoffe und Lagerraum'!$BH35)</f>
        <v>0</v>
      </c>
      <c r="CV35" s="143">
        <f t="shared" si="71"/>
        <v>0</v>
      </c>
      <c r="CW35" s="148">
        <f t="shared" si="72"/>
        <v>0</v>
      </c>
      <c r="CX35" s="17"/>
      <c r="CY35" s="17">
        <f t="shared" si="73"/>
        <v>0</v>
      </c>
      <c r="CZ35" s="17">
        <f t="shared" si="74"/>
        <v>0</v>
      </c>
      <c r="DA35" s="17">
        <f t="shared" si="75"/>
        <v>0</v>
      </c>
      <c r="DD35" s="143">
        <f t="shared" si="76"/>
        <v>0</v>
      </c>
      <c r="DE35" s="143">
        <f t="shared" si="77"/>
        <v>0</v>
      </c>
      <c r="DF35" s="143">
        <f t="shared" si="78"/>
        <v>0</v>
      </c>
      <c r="DG35" s="143">
        <f t="shared" si="79"/>
        <v>0</v>
      </c>
      <c r="DL35" s="143">
        <f t="shared" si="22"/>
        <v>0</v>
      </c>
      <c r="DM35" s="143">
        <f t="shared" si="23"/>
        <v>0</v>
      </c>
      <c r="DN35" s="143">
        <f t="shared" si="24"/>
        <v>0</v>
      </c>
      <c r="DO35" s="143">
        <f t="shared" si="25"/>
        <v>0</v>
      </c>
      <c r="DP35" s="143">
        <f t="shared" si="26"/>
        <v>0</v>
      </c>
      <c r="DQ35" s="143">
        <f t="shared" si="27"/>
        <v>0</v>
      </c>
      <c r="DS35" s="143" cm="1">
        <f t="array" ref="DS35">INDEX(Tiere!$AB$30:$AB$106,'Nährstoffe und Lagerraum'!BH35)</f>
        <v>0</v>
      </c>
    </row>
    <row r="36" spans="1:123" ht="15.75" customHeight="1" x14ac:dyDescent="0.25">
      <c r="A36" s="1273"/>
      <c r="B36" s="1274"/>
      <c r="C36" s="1274"/>
      <c r="D36" s="1094"/>
      <c r="E36" s="1095"/>
      <c r="F36" s="470"/>
      <c r="G36" s="1100"/>
      <c r="H36" s="1101"/>
      <c r="I36" s="471" t="str">
        <f t="shared" si="28"/>
        <v xml:space="preserve"> </v>
      </c>
      <c r="J36" s="471" t="str">
        <f t="shared" si="81"/>
        <v xml:space="preserve"> </v>
      </c>
      <c r="K36" s="18"/>
      <c r="L36" s="1145">
        <f t="shared" si="29"/>
        <v>0</v>
      </c>
      <c r="M36" s="244"/>
      <c r="N36" s="272" t="str">
        <f t="shared" si="30"/>
        <v xml:space="preserve"> </v>
      </c>
      <c r="O36" s="272"/>
      <c r="P36" s="272">
        <f t="shared" si="31"/>
        <v>0</v>
      </c>
      <c r="Q36" s="272">
        <f t="shared" si="1"/>
        <v>0</v>
      </c>
      <c r="R36" s="272">
        <f t="shared" si="32"/>
        <v>0</v>
      </c>
      <c r="S36" s="272">
        <f t="shared" si="3"/>
        <v>0</v>
      </c>
      <c r="T36" s="272" t="str">
        <f t="shared" si="33"/>
        <v xml:space="preserve"> </v>
      </c>
      <c r="U36" s="273">
        <f t="shared" si="34"/>
        <v>0</v>
      </c>
      <c r="V36" s="274">
        <f t="shared" si="35"/>
        <v>0</v>
      </c>
      <c r="W36" s="670">
        <f t="shared" si="36"/>
        <v>0</v>
      </c>
      <c r="X36" s="670">
        <f t="shared" si="37"/>
        <v>0</v>
      </c>
      <c r="Y36" s="670">
        <f t="shared" si="38"/>
        <v>0</v>
      </c>
      <c r="Z36" s="670">
        <f t="shared" si="39"/>
        <v>0</v>
      </c>
      <c r="AA36" s="275">
        <f t="shared" si="40"/>
        <v>0</v>
      </c>
      <c r="AB36" s="272">
        <f t="shared" si="41"/>
        <v>0</v>
      </c>
      <c r="AC36" s="272">
        <f t="shared" si="42"/>
        <v>0</v>
      </c>
      <c r="AD36" s="276">
        <f t="shared" si="43"/>
        <v>0</v>
      </c>
      <c r="AE36" s="277">
        <f>INDEX(Tiere!I$30:I$106,'Nährstoffe und Lagerraum'!$BH36)</f>
        <v>0</v>
      </c>
      <c r="AF36" s="277">
        <f>INDEX(Tiere!W$30:W$106,'Nährstoffe und Lagerraum'!BH36)</f>
        <v>0</v>
      </c>
      <c r="AG36" s="272">
        <f t="shared" si="44"/>
        <v>0</v>
      </c>
      <c r="AH36" s="272">
        <f t="shared" si="45"/>
        <v>0</v>
      </c>
      <c r="AI36" s="272">
        <f t="shared" si="46"/>
        <v>0</v>
      </c>
      <c r="AJ36" s="275">
        <f t="shared" si="47"/>
        <v>0</v>
      </c>
      <c r="AK36" s="272">
        <f t="shared" si="48"/>
        <v>0</v>
      </c>
      <c r="AL36" s="276">
        <f t="shared" si="49"/>
        <v>0</v>
      </c>
      <c r="AM36" s="277" cm="1">
        <f t="array" ref="AM36">IF(BI36=1,INDEX(Tiere!S$30:S$106,'Nährstoffe und Lagerraum'!$BH36),IF(BI36=2,INDEX(Tiere!$T$30:$T$106,'Nährstoffe und Lagerraum'!BH36),INDEX(Tiere!$U$30:$U$106,'Nährstoffe und Lagerraum'!BH36)))</f>
        <v>0</v>
      </c>
      <c r="AN36" s="431">
        <f t="shared" si="80"/>
        <v>0</v>
      </c>
      <c r="AO36" s="431">
        <f t="shared" si="50"/>
        <v>0</v>
      </c>
      <c r="AP36" s="431">
        <f t="shared" si="51"/>
        <v>0</v>
      </c>
      <c r="AQ36" s="432">
        <f t="shared" si="52"/>
        <v>0</v>
      </c>
      <c r="AR36" s="433">
        <f t="shared" si="53"/>
        <v>0</v>
      </c>
      <c r="AS36" s="434">
        <f t="shared" si="54"/>
        <v>0</v>
      </c>
      <c r="AT36" s="272"/>
      <c r="AU36" s="375">
        <f t="shared" si="55"/>
        <v>0</v>
      </c>
      <c r="AV36" s="376">
        <f t="shared" si="56"/>
        <v>0</v>
      </c>
      <c r="AW36" s="376">
        <f t="shared" si="57"/>
        <v>0</v>
      </c>
      <c r="AX36" s="275">
        <f t="shared" si="58"/>
        <v>0</v>
      </c>
      <c r="AY36" s="272">
        <f t="shared" si="59"/>
        <v>0</v>
      </c>
      <c r="AZ36" s="276">
        <f t="shared" si="60"/>
        <v>0</v>
      </c>
      <c r="BA36" s="280">
        <f t="shared" si="61"/>
        <v>0</v>
      </c>
      <c r="BB36" s="281">
        <f t="shared" si="62"/>
        <v>0</v>
      </c>
      <c r="BC36" s="278">
        <f>INDEX(Tiere!AI$30:AI$106,'Nährstoffe und Lagerraum'!$BH36)</f>
        <v>0</v>
      </c>
      <c r="BD36" s="278">
        <f>INDEX(Tiere!AJ$30:AJ$106,'Nährstoffe und Lagerraum'!$BH36)</f>
        <v>0</v>
      </c>
      <c r="BE36" s="278">
        <f>INDEX(Tiere!AK$30:AK$106,'Nährstoffe und Lagerraum'!$BH36)</f>
        <v>0</v>
      </c>
      <c r="BF36" s="283">
        <f t="shared" si="63"/>
        <v>1</v>
      </c>
      <c r="BG36" s="283" cm="1">
        <f t="array" ref="BG36">INDEX(Tiere!$C$30:$C$106,BH36)</f>
        <v>0</v>
      </c>
      <c r="BH36" s="284">
        <v>1</v>
      </c>
      <c r="BI36" s="284">
        <v>1</v>
      </c>
      <c r="BJ36" s="283">
        <f>INDEX(Tiere!D$30:D$106,'Nährstoffe und Lagerraum'!$BH36)</f>
        <v>0</v>
      </c>
      <c r="BK36" s="283" t="str">
        <f t="shared" si="64"/>
        <v>1</v>
      </c>
      <c r="BL36" s="283">
        <f t="shared" si="65"/>
        <v>0</v>
      </c>
      <c r="BM36" s="282">
        <f>INDEX(Tiere!E$30:E$106,'Nährstoffe und Lagerraum'!$BH36)</f>
        <v>0</v>
      </c>
      <c r="BN36" s="278">
        <f>INDEX(Tiere!F$30:F$106,'Nährstoffe und Lagerraum'!$BH36)</f>
        <v>0</v>
      </c>
      <c r="BO36" s="279">
        <f>INDEX(Tiere!G$30:G$106,'Nährstoffe und Lagerraum'!$BH36)</f>
        <v>0</v>
      </c>
      <c r="BP36" s="278">
        <f>INDEX(Tiere!H$30:H$106,'Nährstoffe und Lagerraum'!$BH36)</f>
        <v>0</v>
      </c>
      <c r="BQ36" s="278">
        <f>INDEX(Tiere!V$30:V$106,'Nährstoffe und Lagerraum'!$BH36)</f>
        <v>0</v>
      </c>
      <c r="BR36" s="282">
        <f>INDEX(Tiere!P$30:P$106,'Nährstoffe und Lagerraum'!$BH36)</f>
        <v>0</v>
      </c>
      <c r="BS36" s="278">
        <f>INDEX(Tiere!Q$30:Q$106,'Nährstoffe und Lagerraum'!$BH36)</f>
        <v>0</v>
      </c>
      <c r="BT36" s="279">
        <f>INDEX(Tiere!R$30:R$106,'Nährstoffe und Lagerraum'!$BH36)</f>
        <v>0</v>
      </c>
      <c r="BU36" s="282">
        <f>INDEX(Tiere!X$30:X$106,'Nährstoffe und Lagerraum'!$BH36)</f>
        <v>0</v>
      </c>
      <c r="BV36" s="279">
        <f>INDEX(Tiere!Y$30:Y$106,'Nährstoffe und Lagerraum'!$BH36)</f>
        <v>0</v>
      </c>
      <c r="BW36" s="285">
        <f>INDEX(Tiere!Z$30:Z$106,'Nährstoffe und Lagerraum'!$BH36)</f>
        <v>0</v>
      </c>
      <c r="BX36" s="279">
        <f>INDEX(Tiere!J$30:J$106,'Nährstoffe und Lagerraum'!$BH36)</f>
        <v>0</v>
      </c>
      <c r="BY36" s="279">
        <f>INDEX(Tiere!K$30:K$106,'Nährstoffe und Lagerraum'!$BH36)</f>
        <v>0</v>
      </c>
      <c r="BZ36" s="279">
        <f>INDEX(Tiere!L$30:L$106,'Nährstoffe und Lagerraum'!$BH36)</f>
        <v>0</v>
      </c>
      <c r="CA36" s="278">
        <f>BX36*'Abweichende Werte'!$Y$64</f>
        <v>0</v>
      </c>
      <c r="CB36" s="278">
        <f>BY36*'Abweichende Werte'!$Y$64</f>
        <v>0</v>
      </c>
      <c r="CC36" s="278">
        <f>BZ36*'Abweichende Werte'!$Y$64</f>
        <v>0</v>
      </c>
      <c r="CD36" s="272">
        <v>5</v>
      </c>
      <c r="CE36" s="272">
        <v>3</v>
      </c>
      <c r="CF36" s="276">
        <v>17</v>
      </c>
      <c r="CG36" s="276">
        <f>'Abweichende Werte'!U$64</f>
        <v>5</v>
      </c>
      <c r="CH36" s="276">
        <f>'Abweichende Werte'!V$64</f>
        <v>3</v>
      </c>
      <c r="CI36" s="276">
        <f>'Abweichende Werte'!W$64</f>
        <v>17</v>
      </c>
      <c r="CJ36" s="276">
        <f>INDEX(Tiere!AD$30:AD$106,'Nährstoffe und Lagerraum'!$BH36)</f>
        <v>0</v>
      </c>
      <c r="CK36" s="276">
        <f>INDEX(Tiere!AE$30:AE$106,'Nährstoffe und Lagerraum'!$BH36)</f>
        <v>0</v>
      </c>
      <c r="CL36" s="286">
        <f t="shared" si="66"/>
        <v>0</v>
      </c>
      <c r="CM36" s="287">
        <f t="shared" si="67"/>
        <v>0</v>
      </c>
      <c r="CN36" s="272">
        <f t="shared" si="68"/>
        <v>0</v>
      </c>
      <c r="CO36" s="276">
        <f t="shared" si="69"/>
        <v>0</v>
      </c>
      <c r="CP36" s="272"/>
      <c r="CQ36" s="272" t="b">
        <f t="shared" si="70"/>
        <v>0</v>
      </c>
      <c r="CR36" s="272"/>
      <c r="CS36" s="282">
        <f>INDEX(Tiere!AF$30:AF$106,'Nährstoffe und Lagerraum'!$BH36)</f>
        <v>0</v>
      </c>
      <c r="CT36" s="282">
        <f>INDEX(Tiere!AG$30:AG$106,'Nährstoffe und Lagerraum'!$BH36)</f>
        <v>0</v>
      </c>
      <c r="CU36" s="282">
        <f>INDEX(Tiere!AH$30:AH$106,'Nährstoffe und Lagerraum'!$BH36)</f>
        <v>0</v>
      </c>
      <c r="CV36" s="143">
        <f t="shared" si="71"/>
        <v>0</v>
      </c>
      <c r="CW36" s="148">
        <f t="shared" si="72"/>
        <v>0</v>
      </c>
      <c r="CX36" s="17"/>
      <c r="CY36" s="17">
        <f t="shared" si="73"/>
        <v>0</v>
      </c>
      <c r="CZ36" s="17">
        <f t="shared" si="74"/>
        <v>0</v>
      </c>
      <c r="DA36" s="17">
        <f t="shared" si="75"/>
        <v>0</v>
      </c>
      <c r="DD36" s="143">
        <f t="shared" si="76"/>
        <v>0</v>
      </c>
      <c r="DE36" s="143">
        <f t="shared" si="77"/>
        <v>0</v>
      </c>
      <c r="DF36" s="143">
        <f t="shared" si="78"/>
        <v>0</v>
      </c>
      <c r="DG36" s="143">
        <f t="shared" si="79"/>
        <v>0</v>
      </c>
      <c r="DL36" s="143">
        <f t="shared" si="22"/>
        <v>0</v>
      </c>
      <c r="DM36" s="143">
        <f t="shared" si="23"/>
        <v>0</v>
      </c>
      <c r="DN36" s="143">
        <f t="shared" si="24"/>
        <v>0</v>
      </c>
      <c r="DO36" s="143">
        <f t="shared" si="25"/>
        <v>0</v>
      </c>
      <c r="DP36" s="143">
        <f t="shared" si="26"/>
        <v>0</v>
      </c>
      <c r="DQ36" s="143">
        <f t="shared" si="27"/>
        <v>0</v>
      </c>
      <c r="DS36" s="143" cm="1">
        <f t="array" ref="DS36">INDEX(Tiere!$AB$30:$AB$106,'Nährstoffe und Lagerraum'!BH36)</f>
        <v>0</v>
      </c>
    </row>
    <row r="37" spans="1:123" ht="15.75" customHeight="1" x14ac:dyDescent="0.25">
      <c r="A37" s="1273"/>
      <c r="B37" s="1274"/>
      <c r="C37" s="1274"/>
      <c r="D37" s="1094"/>
      <c r="E37" s="1095"/>
      <c r="F37" s="470"/>
      <c r="G37" s="1100"/>
      <c r="H37" s="1101"/>
      <c r="I37" s="471" t="str">
        <f t="shared" si="28"/>
        <v xml:space="preserve"> </v>
      </c>
      <c r="J37" s="471" t="str">
        <f t="shared" si="81"/>
        <v xml:space="preserve"> </v>
      </c>
      <c r="K37" s="18"/>
      <c r="L37" s="1145">
        <f t="shared" si="29"/>
        <v>0</v>
      </c>
      <c r="M37" s="244"/>
      <c r="N37" s="272" t="str">
        <f t="shared" si="30"/>
        <v xml:space="preserve"> </v>
      </c>
      <c r="O37" s="272"/>
      <c r="P37" s="272">
        <f t="shared" si="31"/>
        <v>0</v>
      </c>
      <c r="Q37" s="272">
        <f t="shared" si="1"/>
        <v>0</v>
      </c>
      <c r="R37" s="272">
        <f t="shared" si="32"/>
        <v>0</v>
      </c>
      <c r="S37" s="272">
        <f t="shared" si="3"/>
        <v>0</v>
      </c>
      <c r="T37" s="272" t="str">
        <f t="shared" si="33"/>
        <v xml:space="preserve"> </v>
      </c>
      <c r="U37" s="273">
        <f t="shared" si="34"/>
        <v>0</v>
      </c>
      <c r="V37" s="274">
        <f t="shared" si="35"/>
        <v>0</v>
      </c>
      <c r="W37" s="670">
        <f t="shared" si="36"/>
        <v>0</v>
      </c>
      <c r="X37" s="670">
        <f t="shared" si="37"/>
        <v>0</v>
      </c>
      <c r="Y37" s="670">
        <f t="shared" si="38"/>
        <v>0</v>
      </c>
      <c r="Z37" s="670">
        <f t="shared" si="39"/>
        <v>0</v>
      </c>
      <c r="AA37" s="275">
        <f t="shared" si="40"/>
        <v>0</v>
      </c>
      <c r="AB37" s="272">
        <f t="shared" si="41"/>
        <v>0</v>
      </c>
      <c r="AC37" s="272">
        <f t="shared" si="42"/>
        <v>0</v>
      </c>
      <c r="AD37" s="276">
        <f t="shared" si="43"/>
        <v>0</v>
      </c>
      <c r="AE37" s="277">
        <f>INDEX(Tiere!I$30:I$106,'Nährstoffe und Lagerraum'!$BH37)</f>
        <v>0</v>
      </c>
      <c r="AF37" s="277">
        <f>INDEX(Tiere!W$30:W$106,'Nährstoffe und Lagerraum'!BH37)</f>
        <v>0</v>
      </c>
      <c r="AG37" s="272">
        <f t="shared" si="44"/>
        <v>0</v>
      </c>
      <c r="AH37" s="272">
        <f t="shared" si="45"/>
        <v>0</v>
      </c>
      <c r="AI37" s="272">
        <f t="shared" si="46"/>
        <v>0</v>
      </c>
      <c r="AJ37" s="275">
        <f t="shared" si="47"/>
        <v>0</v>
      </c>
      <c r="AK37" s="272">
        <f t="shared" si="48"/>
        <v>0</v>
      </c>
      <c r="AL37" s="276">
        <f t="shared" si="49"/>
        <v>0</v>
      </c>
      <c r="AM37" s="277" cm="1">
        <f t="array" ref="AM37">IF(BI37=1,INDEX(Tiere!S$30:S$106,'Nährstoffe und Lagerraum'!$BH37),IF(BI37=2,INDEX(Tiere!$T$30:$T$106,'Nährstoffe und Lagerraum'!BH37),INDEX(Tiere!$U$30:$U$106,'Nährstoffe und Lagerraum'!BH37)))</f>
        <v>0</v>
      </c>
      <c r="AN37" s="431">
        <f t="shared" si="80"/>
        <v>0</v>
      </c>
      <c r="AO37" s="431">
        <f t="shared" si="50"/>
        <v>0</v>
      </c>
      <c r="AP37" s="431">
        <f t="shared" si="51"/>
        <v>0</v>
      </c>
      <c r="AQ37" s="432">
        <f t="shared" si="52"/>
        <v>0</v>
      </c>
      <c r="AR37" s="433">
        <f t="shared" si="53"/>
        <v>0</v>
      </c>
      <c r="AS37" s="434">
        <f t="shared" si="54"/>
        <v>0</v>
      </c>
      <c r="AT37" s="272"/>
      <c r="AU37" s="375">
        <f t="shared" si="55"/>
        <v>0</v>
      </c>
      <c r="AV37" s="376">
        <f t="shared" si="56"/>
        <v>0</v>
      </c>
      <c r="AW37" s="376">
        <f t="shared" si="57"/>
        <v>0</v>
      </c>
      <c r="AX37" s="275">
        <f t="shared" si="58"/>
        <v>0</v>
      </c>
      <c r="AY37" s="272">
        <f t="shared" si="59"/>
        <v>0</v>
      </c>
      <c r="AZ37" s="276">
        <f t="shared" si="60"/>
        <v>0</v>
      </c>
      <c r="BA37" s="280">
        <f t="shared" si="61"/>
        <v>0</v>
      </c>
      <c r="BB37" s="281">
        <f t="shared" si="62"/>
        <v>0</v>
      </c>
      <c r="BC37" s="278">
        <f>INDEX(Tiere!AI$30:AI$106,'Nährstoffe und Lagerraum'!$BH37)</f>
        <v>0</v>
      </c>
      <c r="BD37" s="278">
        <f>INDEX(Tiere!AJ$30:AJ$106,'Nährstoffe und Lagerraum'!$BH37)</f>
        <v>0</v>
      </c>
      <c r="BE37" s="278">
        <f>INDEX(Tiere!AK$30:AK$106,'Nährstoffe und Lagerraum'!$BH37)</f>
        <v>0</v>
      </c>
      <c r="BF37" s="283">
        <f t="shared" si="63"/>
        <v>1</v>
      </c>
      <c r="BG37" s="283" cm="1">
        <f t="array" ref="BG37">INDEX(Tiere!$C$30:$C$106,BH37)</f>
        <v>0</v>
      </c>
      <c r="BH37" s="284">
        <v>1</v>
      </c>
      <c r="BI37" s="284">
        <v>1</v>
      </c>
      <c r="BJ37" s="283">
        <f>INDEX(Tiere!D$30:D$106,'Nährstoffe und Lagerraum'!$BH37)</f>
        <v>0</v>
      </c>
      <c r="BK37" s="283" t="str">
        <f t="shared" si="64"/>
        <v>1</v>
      </c>
      <c r="BL37" s="283">
        <f t="shared" si="65"/>
        <v>0</v>
      </c>
      <c r="BM37" s="282">
        <f>INDEX(Tiere!E$30:E$106,'Nährstoffe und Lagerraum'!$BH37)</f>
        <v>0</v>
      </c>
      <c r="BN37" s="278">
        <f>INDEX(Tiere!F$30:F$106,'Nährstoffe und Lagerraum'!$BH37)</f>
        <v>0</v>
      </c>
      <c r="BO37" s="279">
        <f>INDEX(Tiere!G$30:G$106,'Nährstoffe und Lagerraum'!$BH37)</f>
        <v>0</v>
      </c>
      <c r="BP37" s="278">
        <f>INDEX(Tiere!H$30:H$106,'Nährstoffe und Lagerraum'!$BH37)</f>
        <v>0</v>
      </c>
      <c r="BQ37" s="278">
        <f>INDEX(Tiere!V$30:V$106,'Nährstoffe und Lagerraum'!$BH37)</f>
        <v>0</v>
      </c>
      <c r="BR37" s="282">
        <f>INDEX(Tiere!P$30:P$106,'Nährstoffe und Lagerraum'!$BH37)</f>
        <v>0</v>
      </c>
      <c r="BS37" s="278">
        <f>INDEX(Tiere!Q$30:Q$106,'Nährstoffe und Lagerraum'!$BH37)</f>
        <v>0</v>
      </c>
      <c r="BT37" s="279">
        <f>INDEX(Tiere!R$30:R$106,'Nährstoffe und Lagerraum'!$BH37)</f>
        <v>0</v>
      </c>
      <c r="BU37" s="282">
        <f>INDEX(Tiere!X$30:X$106,'Nährstoffe und Lagerraum'!$BH37)</f>
        <v>0</v>
      </c>
      <c r="BV37" s="279">
        <f>INDEX(Tiere!Y$30:Y$106,'Nährstoffe und Lagerraum'!$BH37)</f>
        <v>0</v>
      </c>
      <c r="BW37" s="285">
        <f>INDEX(Tiere!Z$30:Z$106,'Nährstoffe und Lagerraum'!$BH37)</f>
        <v>0</v>
      </c>
      <c r="BX37" s="279">
        <f>INDEX(Tiere!J$30:J$106,'Nährstoffe und Lagerraum'!$BH37)</f>
        <v>0</v>
      </c>
      <c r="BY37" s="279">
        <f>INDEX(Tiere!K$30:K$106,'Nährstoffe und Lagerraum'!$BH37)</f>
        <v>0</v>
      </c>
      <c r="BZ37" s="279">
        <f>INDEX(Tiere!L$30:L$106,'Nährstoffe und Lagerraum'!$BH37)</f>
        <v>0</v>
      </c>
      <c r="CA37" s="278">
        <f>BX37*'Abweichende Werte'!$Y$64</f>
        <v>0</v>
      </c>
      <c r="CB37" s="278">
        <f>BY37*'Abweichende Werte'!$Y$64</f>
        <v>0</v>
      </c>
      <c r="CC37" s="278">
        <f>BZ37*'Abweichende Werte'!$Y$64</f>
        <v>0</v>
      </c>
      <c r="CD37" s="272">
        <v>5</v>
      </c>
      <c r="CE37" s="272">
        <v>3</v>
      </c>
      <c r="CF37" s="276">
        <v>17</v>
      </c>
      <c r="CG37" s="276">
        <f>'Abweichende Werte'!U$64</f>
        <v>5</v>
      </c>
      <c r="CH37" s="276">
        <f>'Abweichende Werte'!V$64</f>
        <v>3</v>
      </c>
      <c r="CI37" s="276">
        <f>'Abweichende Werte'!W$64</f>
        <v>17</v>
      </c>
      <c r="CJ37" s="276">
        <f>INDEX(Tiere!AD$30:AD$106,'Nährstoffe und Lagerraum'!$BH37)</f>
        <v>0</v>
      </c>
      <c r="CK37" s="276">
        <f>INDEX(Tiere!AE$30:AE$106,'Nährstoffe und Lagerraum'!$BH37)</f>
        <v>0</v>
      </c>
      <c r="CL37" s="286">
        <f t="shared" si="66"/>
        <v>0</v>
      </c>
      <c r="CM37" s="287">
        <f t="shared" si="67"/>
        <v>0</v>
      </c>
      <c r="CN37" s="272">
        <f t="shared" si="68"/>
        <v>0</v>
      </c>
      <c r="CO37" s="276">
        <f t="shared" si="69"/>
        <v>0</v>
      </c>
      <c r="CP37" s="272"/>
      <c r="CQ37" s="272" t="b">
        <f t="shared" si="70"/>
        <v>0</v>
      </c>
      <c r="CR37" s="272"/>
      <c r="CS37" s="282">
        <f>INDEX(Tiere!AF$30:AF$106,'Nährstoffe und Lagerraum'!$BH37)</f>
        <v>0</v>
      </c>
      <c r="CT37" s="282">
        <f>INDEX(Tiere!AG$30:AG$106,'Nährstoffe und Lagerraum'!$BH37)</f>
        <v>0</v>
      </c>
      <c r="CU37" s="282">
        <f>INDEX(Tiere!AH$30:AH$106,'Nährstoffe und Lagerraum'!$BH37)</f>
        <v>0</v>
      </c>
      <c r="CV37" s="143">
        <f t="shared" si="71"/>
        <v>0</v>
      </c>
      <c r="CW37" s="148">
        <f t="shared" si="72"/>
        <v>0</v>
      </c>
      <c r="CX37" s="17"/>
      <c r="CY37" s="17">
        <f t="shared" si="73"/>
        <v>0</v>
      </c>
      <c r="CZ37" s="17">
        <f t="shared" si="74"/>
        <v>0</v>
      </c>
      <c r="DA37" s="17">
        <f t="shared" si="75"/>
        <v>0</v>
      </c>
      <c r="DD37" s="143">
        <f t="shared" si="76"/>
        <v>0</v>
      </c>
      <c r="DE37" s="143">
        <f t="shared" si="77"/>
        <v>0</v>
      </c>
      <c r="DF37" s="143">
        <f t="shared" si="78"/>
        <v>0</v>
      </c>
      <c r="DG37" s="143">
        <f t="shared" si="79"/>
        <v>0</v>
      </c>
      <c r="DL37" s="143">
        <f t="shared" si="22"/>
        <v>0</v>
      </c>
      <c r="DM37" s="143">
        <f t="shared" si="23"/>
        <v>0</v>
      </c>
      <c r="DN37" s="143">
        <f t="shared" si="24"/>
        <v>0</v>
      </c>
      <c r="DO37" s="143">
        <f t="shared" si="25"/>
        <v>0</v>
      </c>
      <c r="DP37" s="143">
        <f t="shared" si="26"/>
        <v>0</v>
      </c>
      <c r="DQ37" s="143">
        <f t="shared" si="27"/>
        <v>0</v>
      </c>
      <c r="DS37" s="143" cm="1">
        <f t="array" ref="DS37">INDEX(Tiere!$AB$30:$AB$106,'Nährstoffe und Lagerraum'!BH37)</f>
        <v>0</v>
      </c>
    </row>
    <row r="38" spans="1:123" ht="15.75" customHeight="1" x14ac:dyDescent="0.25">
      <c r="A38" s="1273"/>
      <c r="B38" s="1274"/>
      <c r="C38" s="1274"/>
      <c r="D38" s="1096"/>
      <c r="E38" s="1097"/>
      <c r="F38" s="128"/>
      <c r="G38" s="1102"/>
      <c r="H38" s="1103"/>
      <c r="I38" s="471" t="str">
        <f t="shared" si="28"/>
        <v xml:space="preserve"> </v>
      </c>
      <c r="J38" s="471" t="str">
        <f t="shared" si="81"/>
        <v xml:space="preserve"> </v>
      </c>
      <c r="K38" s="18"/>
      <c r="L38" s="1145">
        <f t="shared" si="29"/>
        <v>0</v>
      </c>
      <c r="M38" s="244"/>
      <c r="N38" s="272" t="str">
        <f t="shared" si="30"/>
        <v xml:space="preserve"> </v>
      </c>
      <c r="O38" s="272"/>
      <c r="P38" s="272">
        <f t="shared" si="31"/>
        <v>0</v>
      </c>
      <c r="Q38" s="272">
        <f t="shared" si="1"/>
        <v>0</v>
      </c>
      <c r="R38" s="272">
        <f t="shared" si="32"/>
        <v>0</v>
      </c>
      <c r="S38" s="272">
        <f t="shared" si="3"/>
        <v>0</v>
      </c>
      <c r="T38" s="272" t="str">
        <f t="shared" si="33"/>
        <v xml:space="preserve"> </v>
      </c>
      <c r="U38" s="273">
        <f t="shared" si="34"/>
        <v>0</v>
      </c>
      <c r="V38" s="274">
        <f t="shared" si="35"/>
        <v>0</v>
      </c>
      <c r="W38" s="670">
        <f t="shared" si="36"/>
        <v>0</v>
      </c>
      <c r="X38" s="670">
        <f t="shared" si="37"/>
        <v>0</v>
      </c>
      <c r="Y38" s="670">
        <f t="shared" si="38"/>
        <v>0</v>
      </c>
      <c r="Z38" s="670">
        <f t="shared" si="39"/>
        <v>0</v>
      </c>
      <c r="AA38" s="275">
        <f t="shared" si="40"/>
        <v>0</v>
      </c>
      <c r="AB38" s="272">
        <f t="shared" si="41"/>
        <v>0</v>
      </c>
      <c r="AC38" s="272">
        <f t="shared" si="42"/>
        <v>0</v>
      </c>
      <c r="AD38" s="276">
        <f t="shared" si="43"/>
        <v>0</v>
      </c>
      <c r="AE38" s="277">
        <f>INDEX(Tiere!I$30:I$106,'Nährstoffe und Lagerraum'!$BH38)</f>
        <v>0</v>
      </c>
      <c r="AF38" s="277">
        <f>INDEX(Tiere!W$30:W$106,'Nährstoffe und Lagerraum'!BH38)</f>
        <v>0</v>
      </c>
      <c r="AG38" s="272">
        <f t="shared" si="44"/>
        <v>0</v>
      </c>
      <c r="AH38" s="272">
        <f t="shared" si="45"/>
        <v>0</v>
      </c>
      <c r="AI38" s="272">
        <f t="shared" si="46"/>
        <v>0</v>
      </c>
      <c r="AJ38" s="275">
        <f t="shared" si="47"/>
        <v>0</v>
      </c>
      <c r="AK38" s="272">
        <f t="shared" si="48"/>
        <v>0</v>
      </c>
      <c r="AL38" s="276">
        <f t="shared" si="49"/>
        <v>0</v>
      </c>
      <c r="AM38" s="277" cm="1">
        <f t="array" ref="AM38">IF(BI38=1,INDEX(Tiere!S$30:S$106,'Nährstoffe und Lagerraum'!$BH38),IF(BI38=2,INDEX(Tiere!$T$30:$T$106,'Nährstoffe und Lagerraum'!BH38),INDEX(Tiere!$U$30:$U$106,'Nährstoffe und Lagerraum'!BH38)))</f>
        <v>0</v>
      </c>
      <c r="AN38" s="431">
        <f t="shared" si="80"/>
        <v>0</v>
      </c>
      <c r="AO38" s="431">
        <f t="shared" si="50"/>
        <v>0</v>
      </c>
      <c r="AP38" s="431">
        <f t="shared" si="51"/>
        <v>0</v>
      </c>
      <c r="AQ38" s="432">
        <f t="shared" si="52"/>
        <v>0</v>
      </c>
      <c r="AR38" s="433">
        <f t="shared" si="53"/>
        <v>0</v>
      </c>
      <c r="AS38" s="434">
        <f t="shared" si="54"/>
        <v>0</v>
      </c>
      <c r="AT38" s="272"/>
      <c r="AU38" s="375">
        <f t="shared" si="55"/>
        <v>0</v>
      </c>
      <c r="AV38" s="376">
        <f t="shared" si="56"/>
        <v>0</v>
      </c>
      <c r="AW38" s="376">
        <f t="shared" si="57"/>
        <v>0</v>
      </c>
      <c r="AX38" s="275">
        <f t="shared" si="58"/>
        <v>0</v>
      </c>
      <c r="AY38" s="272">
        <f t="shared" si="59"/>
        <v>0</v>
      </c>
      <c r="AZ38" s="276">
        <f t="shared" si="60"/>
        <v>0</v>
      </c>
      <c r="BA38" s="280">
        <f t="shared" si="61"/>
        <v>0</v>
      </c>
      <c r="BB38" s="281">
        <f t="shared" si="62"/>
        <v>0</v>
      </c>
      <c r="BC38" s="278">
        <f>INDEX(Tiere!AI$30:AI$106,'Nährstoffe und Lagerraum'!$BH38)</f>
        <v>0</v>
      </c>
      <c r="BD38" s="278">
        <f>INDEX(Tiere!AJ$30:AJ$106,'Nährstoffe und Lagerraum'!$BH38)</f>
        <v>0</v>
      </c>
      <c r="BE38" s="278">
        <f>INDEX(Tiere!AK$30:AK$106,'Nährstoffe und Lagerraum'!$BH38)</f>
        <v>0</v>
      </c>
      <c r="BF38" s="283">
        <f t="shared" si="63"/>
        <v>1</v>
      </c>
      <c r="BG38" s="283" cm="1">
        <f t="array" ref="BG38">INDEX(Tiere!$C$30:$C$106,BH38)</f>
        <v>0</v>
      </c>
      <c r="BH38" s="284">
        <v>1</v>
      </c>
      <c r="BI38" s="284">
        <v>1</v>
      </c>
      <c r="BJ38" s="283">
        <f>INDEX(Tiere!D$30:D$106,'Nährstoffe und Lagerraum'!$BH38)</f>
        <v>0</v>
      </c>
      <c r="BK38" s="283" t="str">
        <f t="shared" si="64"/>
        <v>1</v>
      </c>
      <c r="BL38" s="283">
        <f t="shared" si="65"/>
        <v>0</v>
      </c>
      <c r="BM38" s="282">
        <f>INDEX(Tiere!E$30:E$106,'Nährstoffe und Lagerraum'!$BH38)</f>
        <v>0</v>
      </c>
      <c r="BN38" s="278">
        <f>INDEX(Tiere!F$30:F$106,'Nährstoffe und Lagerraum'!$BH38)</f>
        <v>0</v>
      </c>
      <c r="BO38" s="279">
        <f>INDEX(Tiere!G$30:G$106,'Nährstoffe und Lagerraum'!$BH38)</f>
        <v>0</v>
      </c>
      <c r="BP38" s="278">
        <f>INDEX(Tiere!H$30:H$106,'Nährstoffe und Lagerraum'!$BH38)</f>
        <v>0</v>
      </c>
      <c r="BQ38" s="278">
        <f>INDEX(Tiere!V$30:V$106,'Nährstoffe und Lagerraum'!$BH38)</f>
        <v>0</v>
      </c>
      <c r="BR38" s="282">
        <f>INDEX(Tiere!P$30:P$106,'Nährstoffe und Lagerraum'!$BH38)</f>
        <v>0</v>
      </c>
      <c r="BS38" s="278">
        <f>INDEX(Tiere!Q$30:Q$106,'Nährstoffe und Lagerraum'!$BH38)</f>
        <v>0</v>
      </c>
      <c r="BT38" s="279">
        <f>INDEX(Tiere!R$30:R$106,'Nährstoffe und Lagerraum'!$BH38)</f>
        <v>0</v>
      </c>
      <c r="BU38" s="282">
        <f>INDEX(Tiere!X$30:X$106,'Nährstoffe und Lagerraum'!$BH38)</f>
        <v>0</v>
      </c>
      <c r="BV38" s="279">
        <f>INDEX(Tiere!Y$30:Y$106,'Nährstoffe und Lagerraum'!$BH38)</f>
        <v>0</v>
      </c>
      <c r="BW38" s="285">
        <f>INDEX(Tiere!Z$30:Z$106,'Nährstoffe und Lagerraum'!$BH38)</f>
        <v>0</v>
      </c>
      <c r="BX38" s="279">
        <f>INDEX(Tiere!J$30:J$106,'Nährstoffe und Lagerraum'!$BH38)</f>
        <v>0</v>
      </c>
      <c r="BY38" s="279">
        <f>INDEX(Tiere!K$30:K$106,'Nährstoffe und Lagerraum'!$BH38)</f>
        <v>0</v>
      </c>
      <c r="BZ38" s="279">
        <f>INDEX(Tiere!L$30:L$106,'Nährstoffe und Lagerraum'!$BH38)</f>
        <v>0</v>
      </c>
      <c r="CA38" s="278">
        <f>BX38*'Abweichende Werte'!$Y$64</f>
        <v>0</v>
      </c>
      <c r="CB38" s="278">
        <f>BY38*'Abweichende Werte'!$Y$64</f>
        <v>0</v>
      </c>
      <c r="CC38" s="278">
        <f>BZ38*'Abweichende Werte'!$Y$64</f>
        <v>0</v>
      </c>
      <c r="CD38" s="272">
        <v>5</v>
      </c>
      <c r="CE38" s="272">
        <v>3</v>
      </c>
      <c r="CF38" s="276">
        <v>17</v>
      </c>
      <c r="CG38" s="276">
        <f>'Abweichende Werte'!U$64</f>
        <v>5</v>
      </c>
      <c r="CH38" s="276">
        <f>'Abweichende Werte'!V$64</f>
        <v>3</v>
      </c>
      <c r="CI38" s="276">
        <f>'Abweichende Werte'!W$64</f>
        <v>17</v>
      </c>
      <c r="CJ38" s="276">
        <f>INDEX(Tiere!AD$30:AD$106,'Nährstoffe und Lagerraum'!$BH38)</f>
        <v>0</v>
      </c>
      <c r="CK38" s="276">
        <f>INDEX(Tiere!AE$30:AE$106,'Nährstoffe und Lagerraum'!$BH38)</f>
        <v>0</v>
      </c>
      <c r="CL38" s="286">
        <f t="shared" si="66"/>
        <v>0</v>
      </c>
      <c r="CM38" s="287">
        <f t="shared" si="67"/>
        <v>0</v>
      </c>
      <c r="CN38" s="272">
        <f t="shared" si="68"/>
        <v>0</v>
      </c>
      <c r="CO38" s="276">
        <f t="shared" si="69"/>
        <v>0</v>
      </c>
      <c r="CP38" s="272"/>
      <c r="CQ38" s="272" t="b">
        <f t="shared" si="70"/>
        <v>0</v>
      </c>
      <c r="CR38" s="272"/>
      <c r="CS38" s="282">
        <f>INDEX(Tiere!AF$30:AF$106,'Nährstoffe und Lagerraum'!$BH38)</f>
        <v>0</v>
      </c>
      <c r="CT38" s="282">
        <f>INDEX(Tiere!AG$30:AG$106,'Nährstoffe und Lagerraum'!$BH38)</f>
        <v>0</v>
      </c>
      <c r="CU38" s="282">
        <f>INDEX(Tiere!AH$30:AH$106,'Nährstoffe und Lagerraum'!$BH38)</f>
        <v>0</v>
      </c>
      <c r="CV38" s="143">
        <f t="shared" si="71"/>
        <v>0</v>
      </c>
      <c r="CW38" s="148">
        <f t="shared" si="72"/>
        <v>0</v>
      </c>
      <c r="CX38" s="17"/>
      <c r="CY38" s="17">
        <f t="shared" si="73"/>
        <v>0</v>
      </c>
      <c r="CZ38" s="17">
        <f t="shared" si="74"/>
        <v>0</v>
      </c>
      <c r="DA38" s="17">
        <f t="shared" si="75"/>
        <v>0</v>
      </c>
      <c r="DD38" s="143">
        <f t="shared" si="76"/>
        <v>0</v>
      </c>
      <c r="DE38" s="143">
        <f t="shared" si="77"/>
        <v>0</v>
      </c>
      <c r="DF38" s="143">
        <f t="shared" si="78"/>
        <v>0</v>
      </c>
      <c r="DG38" s="143">
        <f t="shared" si="79"/>
        <v>0</v>
      </c>
      <c r="DL38" s="143">
        <f t="shared" si="22"/>
        <v>0</v>
      </c>
      <c r="DM38" s="143">
        <f t="shared" si="23"/>
        <v>0</v>
      </c>
      <c r="DN38" s="143">
        <f t="shared" si="24"/>
        <v>0</v>
      </c>
      <c r="DO38" s="143">
        <f t="shared" si="25"/>
        <v>0</v>
      </c>
      <c r="DP38" s="143">
        <f t="shared" si="26"/>
        <v>0</v>
      </c>
      <c r="DQ38" s="143">
        <f t="shared" si="27"/>
        <v>0</v>
      </c>
      <c r="DS38" s="143" cm="1">
        <f t="array" ref="DS38">INDEX(Tiere!$AB$30:$AB$106,'Nährstoffe und Lagerraum'!BH38)</f>
        <v>0</v>
      </c>
    </row>
    <row r="39" spans="1:123" ht="15.75" customHeight="1" x14ac:dyDescent="0.25">
      <c r="A39" s="361" t="s">
        <v>570</v>
      </c>
      <c r="B39" s="362"/>
      <c r="C39" s="362"/>
      <c r="D39" s="505"/>
      <c r="E39" s="505"/>
      <c r="F39" s="505"/>
      <c r="G39" s="362"/>
      <c r="H39" s="507"/>
      <c r="I39" s="232"/>
      <c r="J39" s="232"/>
      <c r="K39" s="18"/>
      <c r="L39" s="225" t="s">
        <v>354</v>
      </c>
      <c r="M39" s="254" t="s">
        <v>319</v>
      </c>
      <c r="N39" s="244" t="s">
        <v>327</v>
      </c>
      <c r="O39" s="244"/>
      <c r="P39" s="244"/>
      <c r="Q39" s="244"/>
      <c r="R39" s="244"/>
      <c r="S39" s="244"/>
      <c r="T39" s="244"/>
      <c r="U39" s="244"/>
      <c r="V39" s="244"/>
      <c r="W39" s="377"/>
      <c r="X39" s="377"/>
      <c r="Y39" s="377"/>
      <c r="Z39" s="377"/>
      <c r="AA39" s="265"/>
      <c r="AB39" s="244"/>
      <c r="AC39" s="244"/>
      <c r="AD39" s="266"/>
      <c r="AE39" s="257"/>
      <c r="AF39" s="257"/>
      <c r="AG39" s="244"/>
      <c r="AH39" s="244"/>
      <c r="AI39" s="244"/>
      <c r="AJ39" s="265"/>
      <c r="AK39" s="244"/>
      <c r="AL39" s="266"/>
      <c r="AM39" s="257"/>
      <c r="AN39" s="244"/>
      <c r="AO39" s="244"/>
      <c r="AP39" s="244"/>
      <c r="AQ39" s="265"/>
      <c r="AR39" s="244"/>
      <c r="AS39" s="266"/>
      <c r="AT39" s="244"/>
      <c r="AU39" s="244"/>
      <c r="AV39" s="244"/>
      <c r="AW39" s="244"/>
      <c r="AX39" s="244"/>
      <c r="AY39" s="244"/>
      <c r="AZ39" s="244"/>
      <c r="BA39" s="244"/>
      <c r="BB39" s="244"/>
      <c r="BC39" s="244"/>
      <c r="BD39" s="244"/>
      <c r="BE39" s="244"/>
      <c r="BF39" s="244"/>
      <c r="BG39" s="394"/>
      <c r="BH39" s="244">
        <f>IF(COUNTIF($BH$23:$BH$38,2)&gt;0,2,1)</f>
        <v>1</v>
      </c>
      <c r="BI39" s="272"/>
      <c r="BJ39" s="272"/>
      <c r="BK39" s="272"/>
      <c r="BL39" s="289"/>
      <c r="BM39" s="244"/>
      <c r="BN39" s="244"/>
      <c r="BO39" s="244"/>
      <c r="BP39" s="278"/>
      <c r="BQ39" s="278"/>
      <c r="BR39" s="278"/>
      <c r="BS39" s="278"/>
      <c r="BT39" s="278"/>
      <c r="BU39" s="244"/>
      <c r="BV39" s="244"/>
      <c r="BW39" s="288"/>
      <c r="BX39" s="244"/>
      <c r="BY39" s="244"/>
      <c r="BZ39" s="244"/>
      <c r="CA39" s="427"/>
      <c r="CB39" s="427"/>
      <c r="CC39" s="427"/>
      <c r="CD39" s="244"/>
      <c r="CE39" s="244"/>
      <c r="CF39" s="244"/>
      <c r="CG39" s="427"/>
      <c r="CH39" s="427"/>
      <c r="CI39" s="427"/>
      <c r="CJ39" s="290"/>
      <c r="CK39" s="290"/>
      <c r="CL39" s="291"/>
      <c r="CM39" s="292"/>
      <c r="CN39" s="244"/>
      <c r="CO39" s="266"/>
      <c r="CP39" s="244"/>
      <c r="CQ39" s="244"/>
      <c r="CR39" s="244"/>
      <c r="CS39" s="244"/>
      <c r="CT39" s="18"/>
      <c r="CU39" s="18"/>
      <c r="CW39" s="18"/>
      <c r="CX39" s="18"/>
      <c r="CY39" s="17">
        <f>SUM(CY23:CY38)</f>
        <v>0</v>
      </c>
      <c r="CZ39" s="17">
        <f>SUM(CZ23:CZ38)</f>
        <v>0</v>
      </c>
      <c r="DA39" s="17">
        <f>SUM(DA23:DA38)</f>
        <v>0</v>
      </c>
      <c r="DB39" s="18"/>
      <c r="DC39" s="18"/>
      <c r="DD39" s="143">
        <f>SUM(DD23:DD38)</f>
        <v>0</v>
      </c>
      <c r="DE39" s="143">
        <f>SUM(DE23:DE38)</f>
        <v>0</v>
      </c>
      <c r="DF39" s="143">
        <f>SUM(DF23:DF38)</f>
        <v>0</v>
      </c>
      <c r="DG39" s="143">
        <f>SUM(DG23:DG38)</f>
        <v>0</v>
      </c>
    </row>
    <row r="40" spans="1:123" ht="15.75" customHeight="1" x14ac:dyDescent="0.25">
      <c r="A40" s="1384" t="s">
        <v>7919</v>
      </c>
      <c r="B40" s="1382"/>
      <c r="C40" s="1382"/>
      <c r="D40" s="1382"/>
      <c r="E40" s="1382"/>
      <c r="F40" s="1383"/>
      <c r="G40" s="1104"/>
      <c r="H40" s="620" t="s">
        <v>25</v>
      </c>
      <c r="I40" s="230" t="str">
        <f>IF(G40&gt;0.1,IF($C$13&lt;1,"Fehler",L40)," ")</f>
        <v xml:space="preserve"> </v>
      </c>
      <c r="J40" s="474"/>
      <c r="K40" s="18"/>
      <c r="L40" s="226" t="str">
        <f>IF(($C$13*G40*0.7)/1000=0," ",($C$13*G40*0.7)/1000)</f>
        <v xml:space="preserve"> </v>
      </c>
      <c r="M40" s="266">
        <f>+M41+M42+M44</f>
        <v>0</v>
      </c>
      <c r="N40" s="244">
        <f>IF(L40=" ",0,L40)</f>
        <v>0</v>
      </c>
      <c r="O40" s="244"/>
      <c r="P40" s="244"/>
      <c r="Q40" s="244"/>
      <c r="R40" s="244"/>
      <c r="S40" s="732"/>
      <c r="T40" s="244"/>
      <c r="U40" s="244"/>
      <c r="V40" s="244"/>
      <c r="W40" s="377"/>
      <c r="X40" s="377"/>
      <c r="Y40" s="377"/>
      <c r="Z40" s="377"/>
      <c r="AA40" s="265"/>
      <c r="AB40" s="244"/>
      <c r="AC40" s="244"/>
      <c r="AD40" s="266"/>
      <c r="AE40" s="257"/>
      <c r="AF40" s="257"/>
      <c r="AG40" s="244"/>
      <c r="AH40" s="244"/>
      <c r="AI40" s="244"/>
      <c r="AJ40" s="265"/>
      <c r="AK40" s="244"/>
      <c r="AL40" s="266"/>
      <c r="AM40" s="257"/>
      <c r="AN40" s="244"/>
      <c r="AO40" s="244"/>
      <c r="AP40" s="244"/>
      <c r="AQ40" s="265"/>
      <c r="AR40" s="244"/>
      <c r="AS40" s="266"/>
      <c r="AT40" s="244"/>
      <c r="AU40" s="244"/>
      <c r="AV40" s="244"/>
      <c r="AW40" s="244"/>
      <c r="AX40" s="244"/>
      <c r="AY40" s="244"/>
      <c r="AZ40" s="244"/>
      <c r="BA40" s="244"/>
      <c r="BB40" s="244"/>
      <c r="BC40" s="245"/>
      <c r="BD40" s="245"/>
      <c r="BE40" s="245"/>
      <c r="BF40" s="245"/>
      <c r="BG40" s="393"/>
      <c r="BH40" s="244"/>
      <c r="BI40" s="244"/>
      <c r="BJ40" s="244"/>
      <c r="BK40" s="244"/>
      <c r="BL40" s="260"/>
      <c r="BM40" s="244"/>
      <c r="BN40" s="244"/>
      <c r="BO40" s="244"/>
      <c r="BP40" s="244"/>
      <c r="BQ40" s="244"/>
      <c r="BR40" s="244"/>
      <c r="BS40" s="244"/>
      <c r="BT40" s="244"/>
      <c r="BU40" s="244"/>
      <c r="BV40" s="244"/>
      <c r="BW40" s="244"/>
      <c r="BX40" s="244"/>
      <c r="BY40" s="244"/>
      <c r="BZ40" s="244"/>
      <c r="CA40" s="427"/>
      <c r="CB40" s="427"/>
      <c r="CC40" s="427"/>
      <c r="CD40" s="244"/>
      <c r="CE40" s="244"/>
      <c r="CF40" s="244"/>
      <c r="CG40" s="427"/>
      <c r="CH40" s="427"/>
      <c r="CI40" s="427"/>
      <c r="CJ40" s="290"/>
      <c r="CK40" s="290"/>
      <c r="CL40" s="291"/>
      <c r="CM40" s="292"/>
      <c r="CN40" s="293">
        <f>SUM(CN23:CN38)</f>
        <v>0</v>
      </c>
      <c r="CO40" s="294">
        <f>SUM(CO23:CO38)</f>
        <v>0</v>
      </c>
      <c r="CP40" s="244"/>
      <c r="CQ40" s="244"/>
      <c r="CR40" s="244"/>
      <c r="CS40" s="244"/>
      <c r="CT40" s="18"/>
      <c r="CU40" s="18"/>
      <c r="CV40" s="17">
        <f>SUM(CV23:CV39)</f>
        <v>0</v>
      </c>
      <c r="CW40" s="17">
        <f>SUM(CW23:CW39)</f>
        <v>0</v>
      </c>
      <c r="CX40" s="18"/>
      <c r="CY40" s="18"/>
      <c r="CZ40" s="18"/>
      <c r="DA40" s="18"/>
      <c r="DB40" s="18"/>
      <c r="DC40" s="18"/>
    </row>
    <row r="41" spans="1:123" s="151" customFormat="1" ht="15.75" customHeight="1" thickBot="1" x14ac:dyDescent="0.3">
      <c r="A41" s="1381" t="s">
        <v>357</v>
      </c>
      <c r="B41" s="1382"/>
      <c r="C41" s="1382"/>
      <c r="D41" s="1382"/>
      <c r="E41" s="1382"/>
      <c r="F41" s="1383"/>
      <c r="G41" s="1105"/>
      <c r="H41" s="621" t="s">
        <v>25</v>
      </c>
      <c r="I41" s="231" t="str">
        <f>IF(G41&gt;0.1,IF($C$13&lt;1,"Fehler",L41)," ")</f>
        <v xml:space="preserve"> </v>
      </c>
      <c r="J41" s="474"/>
      <c r="K41" s="19"/>
      <c r="L41" s="226" t="str">
        <f>IF(($C$13*G41*0.85)/1000=0," ",($C$13*G41*0.85)/1000)</f>
        <v xml:space="preserve"> </v>
      </c>
      <c r="M41" s="295">
        <f>IF(L41=" ",0,L41)</f>
        <v>0</v>
      </c>
      <c r="N41" s="244">
        <f>IF(L41=" ",0,L41)</f>
        <v>0</v>
      </c>
      <c r="O41" s="247"/>
      <c r="P41" s="247"/>
      <c r="Q41" s="247"/>
      <c r="R41" s="247"/>
      <c r="S41" s="247"/>
      <c r="T41" s="247"/>
      <c r="U41" s="247"/>
      <c r="V41" s="717"/>
      <c r="W41" s="378"/>
      <c r="X41" s="378"/>
      <c r="Y41" s="378"/>
      <c r="Z41" s="378"/>
      <c r="AA41" s="296"/>
      <c r="AB41" s="247"/>
      <c r="AC41" s="247"/>
      <c r="AD41" s="295"/>
      <c r="AE41" s="297"/>
      <c r="AF41" s="297"/>
      <c r="AG41" s="247"/>
      <c r="AH41" s="247"/>
      <c r="AI41" s="247"/>
      <c r="AJ41" s="296"/>
      <c r="AK41" s="247"/>
      <c r="AL41" s="295"/>
      <c r="AM41" s="297"/>
      <c r="AN41" s="247"/>
      <c r="AO41" s="247"/>
      <c r="AP41" s="247"/>
      <c r="AQ41" s="296"/>
      <c r="AR41" s="247"/>
      <c r="AS41" s="295"/>
      <c r="AT41" s="247"/>
      <c r="AU41" s="247"/>
      <c r="AV41" s="247"/>
      <c r="AW41" s="247"/>
      <c r="AX41" s="247"/>
      <c r="AY41" s="247"/>
      <c r="AZ41" s="247"/>
      <c r="BA41" s="247"/>
      <c r="BB41" s="247"/>
      <c r="BC41" s="247"/>
      <c r="BD41" s="247"/>
      <c r="BE41" s="247"/>
      <c r="BF41" s="247"/>
      <c r="BG41" s="247"/>
      <c r="BH41" s="247"/>
      <c r="BI41" s="247"/>
      <c r="BJ41" s="247"/>
      <c r="BK41" s="247"/>
      <c r="BL41" s="298"/>
      <c r="BM41" s="244"/>
      <c r="BN41" s="244"/>
      <c r="BO41" s="244"/>
      <c r="BP41" s="244"/>
      <c r="BQ41" s="244"/>
      <c r="BR41" s="244"/>
      <c r="BS41" s="244"/>
      <c r="BT41" s="244"/>
      <c r="BU41" s="244"/>
      <c r="BV41" s="247"/>
      <c r="BW41" s="247"/>
      <c r="BX41" s="247"/>
      <c r="BY41" s="247"/>
      <c r="BZ41" s="247"/>
      <c r="CA41" s="426"/>
      <c r="CB41" s="426"/>
      <c r="CC41" s="426"/>
      <c r="CD41" s="247"/>
      <c r="CE41" s="247"/>
      <c r="CF41" s="247"/>
      <c r="CG41" s="426"/>
      <c r="CH41" s="426"/>
      <c r="CI41" s="426"/>
      <c r="CJ41" s="299"/>
      <c r="CK41" s="299"/>
      <c r="CL41" s="291"/>
      <c r="CM41" s="292"/>
      <c r="CN41" s="300" t="str">
        <f>IF(CN40=0,"1",SUM(CN23:CN38))</f>
        <v>1</v>
      </c>
      <c r="CO41" s="301" t="str">
        <f>IF(CO40=0,"1",SUM(CO23:CO38))</f>
        <v>1</v>
      </c>
      <c r="CP41" s="247"/>
      <c r="CQ41" s="247"/>
      <c r="CR41" s="247"/>
      <c r="CS41" s="247"/>
      <c r="CT41" s="149"/>
      <c r="CU41" s="149"/>
      <c r="CV41" s="150"/>
      <c r="CW41" s="149"/>
      <c r="CX41" s="149"/>
      <c r="CY41" s="149"/>
      <c r="CZ41" s="149"/>
      <c r="DA41" s="149"/>
      <c r="DB41" s="149"/>
      <c r="DC41" s="149"/>
    </row>
    <row r="42" spans="1:123" s="151" customFormat="1" ht="15.75" customHeight="1" x14ac:dyDescent="0.25">
      <c r="A42" s="1384" t="s">
        <v>7920</v>
      </c>
      <c r="B42" s="1382"/>
      <c r="C42" s="1382"/>
      <c r="D42" s="1382"/>
      <c r="E42" s="1382"/>
      <c r="F42" s="1383"/>
      <c r="G42" s="1100"/>
      <c r="H42" s="621" t="s">
        <v>25</v>
      </c>
      <c r="I42" s="231" t="str">
        <f>IF(G42&gt;0.1,IF($C$13&lt;1,"Fehler",L42)," ")</f>
        <v xml:space="preserve"> </v>
      </c>
      <c r="J42" s="474"/>
      <c r="K42" s="19"/>
      <c r="L42" s="226" t="str">
        <f>IF(($C$13*G42*0.85)/1000=0," ",($C$13*G42*0.85)/1000)</f>
        <v xml:space="preserve"> </v>
      </c>
      <c r="M42" s="295">
        <f>IF(L42=" ",0,L42)</f>
        <v>0</v>
      </c>
      <c r="N42" s="244">
        <f>IF(L42=" ",0,L42)</f>
        <v>0</v>
      </c>
      <c r="O42" s="247"/>
      <c r="P42" s="247"/>
      <c r="Q42" s="247"/>
      <c r="R42" s="247"/>
      <c r="S42" s="247"/>
      <c r="T42" s="717"/>
      <c r="U42" s="717"/>
      <c r="V42" s="247"/>
      <c r="W42" s="378"/>
      <c r="X42" s="378"/>
      <c r="Y42" s="378"/>
      <c r="Z42" s="378"/>
      <c r="AA42" s="296"/>
      <c r="AB42" s="247"/>
      <c r="AC42" s="247"/>
      <c r="AD42" s="295"/>
      <c r="AE42" s="297"/>
      <c r="AF42" s="297"/>
      <c r="AG42" s="247"/>
      <c r="AH42" s="247"/>
      <c r="AI42" s="247"/>
      <c r="AJ42" s="296"/>
      <c r="AK42" s="247"/>
      <c r="AL42" s="295"/>
      <c r="AM42" s="297"/>
      <c r="AN42" s="247"/>
      <c r="AO42" s="247"/>
      <c r="AP42" s="247"/>
      <c r="AQ42" s="296"/>
      <c r="AR42" s="247"/>
      <c r="AS42" s="295"/>
      <c r="AT42" s="247"/>
      <c r="AU42" s="247"/>
      <c r="AV42" s="247"/>
      <c r="AW42" s="247"/>
      <c r="AX42" s="247"/>
      <c r="AY42" s="247"/>
      <c r="AZ42" s="247"/>
      <c r="BA42" s="247"/>
      <c r="BB42" s="247"/>
      <c r="BC42" s="247"/>
      <c r="BD42" s="247"/>
      <c r="BE42" s="247"/>
      <c r="BF42" s="247"/>
      <c r="BG42" s="247"/>
      <c r="BH42" s="247"/>
      <c r="BI42" s="247"/>
      <c r="BJ42" s="247"/>
      <c r="BK42" s="247"/>
      <c r="BL42" s="298"/>
      <c r="BM42" s="247"/>
      <c r="BN42" s="247"/>
      <c r="BO42" s="247"/>
      <c r="BP42" s="247"/>
      <c r="BQ42" s="247"/>
      <c r="BR42" s="247"/>
      <c r="BS42" s="247"/>
      <c r="BT42" s="247"/>
      <c r="BU42" s="247"/>
      <c r="BV42" s="247"/>
      <c r="BW42" s="247"/>
      <c r="BX42" s="247"/>
      <c r="BY42" s="247"/>
      <c r="BZ42" s="247"/>
      <c r="CA42" s="426"/>
      <c r="CB42" s="426"/>
      <c r="CC42" s="426"/>
      <c r="CD42" s="247"/>
      <c r="CE42" s="247"/>
      <c r="CF42" s="247"/>
      <c r="CG42" s="426"/>
      <c r="CH42" s="426"/>
      <c r="CI42" s="426"/>
      <c r="CJ42" s="299"/>
      <c r="CK42" s="299"/>
      <c r="CL42" s="291"/>
      <c r="CM42" s="292"/>
      <c r="CN42" s="247"/>
      <c r="CO42" s="247"/>
      <c r="CP42" s="247"/>
      <c r="CQ42" s="247"/>
      <c r="CR42" s="247"/>
      <c r="CS42" s="247"/>
      <c r="CT42" s="149"/>
      <c r="CU42" s="149"/>
      <c r="CV42" s="150"/>
      <c r="CW42" s="149"/>
      <c r="CX42" s="149"/>
      <c r="CY42" s="149"/>
      <c r="CZ42" s="149"/>
      <c r="DA42" s="149"/>
      <c r="DB42" s="149"/>
      <c r="DC42" s="149"/>
      <c r="DL42" s="151">
        <f>SUM(DL23:DL38)</f>
        <v>0</v>
      </c>
      <c r="DM42" s="151">
        <f>SUM(DM23:DM38)</f>
        <v>0</v>
      </c>
      <c r="DP42" s="716">
        <f>(SUM(DP23:DP38)+SUM(DQ23:DQ38))/2</f>
        <v>0</v>
      </c>
      <c r="DQ42" s="716"/>
      <c r="DS42" s="151">
        <f>SUM(DS23:DS38)</f>
        <v>0</v>
      </c>
    </row>
    <row r="43" spans="1:123" s="151" customFormat="1" ht="15.75" customHeight="1" x14ac:dyDescent="0.25">
      <c r="A43" s="1380" t="s">
        <v>349</v>
      </c>
      <c r="B43" s="1269"/>
      <c r="C43" s="1269"/>
      <c r="D43" s="1269"/>
      <c r="E43" s="1269"/>
      <c r="F43" s="1270"/>
      <c r="G43" s="1105"/>
      <c r="H43" s="621" t="s">
        <v>291</v>
      </c>
      <c r="I43" s="231" t="str">
        <f>+IF(G43&gt;0.1,G43*33.2," ")</f>
        <v xml:space="preserve"> </v>
      </c>
      <c r="J43" s="474"/>
      <c r="K43" s="19"/>
      <c r="L43" s="149"/>
      <c r="M43" s="298"/>
      <c r="N43" s="244">
        <f>IF(I43=" ",0,I43)</f>
        <v>0</v>
      </c>
      <c r="O43" s="247"/>
      <c r="P43" s="247"/>
      <c r="Q43" s="247"/>
      <c r="R43" s="247"/>
      <c r="S43" s="247"/>
      <c r="T43" s="717"/>
      <c r="U43" s="717"/>
      <c r="V43" s="247"/>
      <c r="W43" s="378"/>
      <c r="X43" s="378"/>
      <c r="Y43" s="378"/>
      <c r="Z43" s="378"/>
      <c r="AA43" s="296"/>
      <c r="AB43" s="247"/>
      <c r="AC43" s="247"/>
      <c r="AD43" s="295"/>
      <c r="AE43" s="297"/>
      <c r="AF43" s="297"/>
      <c r="AG43" s="247"/>
      <c r="AH43" s="247"/>
      <c r="AI43" s="247"/>
      <c r="AJ43" s="296"/>
      <c r="AK43" s="247"/>
      <c r="AL43" s="295"/>
      <c r="AM43" s="297"/>
      <c r="AN43" s="247"/>
      <c r="AO43" s="247"/>
      <c r="AP43" s="247"/>
      <c r="AQ43" s="296"/>
      <c r="AR43" s="247"/>
      <c r="AS43" s="295"/>
      <c r="AT43" s="247"/>
      <c r="AU43" s="247"/>
      <c r="AV43" s="247"/>
      <c r="AW43" s="247"/>
      <c r="AX43" s="247"/>
      <c r="AY43" s="247"/>
      <c r="AZ43" s="247"/>
      <c r="BA43" s="247"/>
      <c r="BB43" s="247"/>
      <c r="BC43" s="247"/>
      <c r="BD43" s="247"/>
      <c r="BE43" s="247"/>
      <c r="BF43" s="247"/>
      <c r="BG43" s="247"/>
      <c r="BH43" s="247"/>
      <c r="BI43" s="247"/>
      <c r="BJ43" s="247"/>
      <c r="BK43" s="247"/>
      <c r="BL43" s="298"/>
      <c r="BM43" s="247"/>
      <c r="BN43" s="247"/>
      <c r="BO43" s="247"/>
      <c r="BP43" s="247"/>
      <c r="BQ43" s="247"/>
      <c r="BR43" s="247"/>
      <c r="BS43" s="247"/>
      <c r="BT43" s="247"/>
      <c r="BU43" s="247"/>
      <c r="BV43" s="247"/>
      <c r="BW43" s="247"/>
      <c r="BX43" s="247"/>
      <c r="BY43" s="247"/>
      <c r="BZ43" s="247"/>
      <c r="CA43" s="426"/>
      <c r="CB43" s="426"/>
      <c r="CC43" s="426"/>
      <c r="CD43" s="247"/>
      <c r="CE43" s="247"/>
      <c r="CF43" s="247"/>
      <c r="CG43" s="426"/>
      <c r="CH43" s="426"/>
      <c r="CI43" s="426"/>
      <c r="CJ43" s="299"/>
      <c r="CK43" s="299"/>
      <c r="CL43" s="291"/>
      <c r="CM43" s="292"/>
      <c r="CN43" s="247"/>
      <c r="CO43" s="247"/>
      <c r="CP43" s="247"/>
      <c r="CQ43" s="247"/>
      <c r="CR43" s="247"/>
      <c r="CS43" s="247"/>
      <c r="CT43" s="149"/>
      <c r="CU43" s="149"/>
      <c r="CV43" s="149"/>
      <c r="CW43" s="149"/>
      <c r="CX43" s="149"/>
      <c r="CY43" s="149"/>
      <c r="CZ43" s="149"/>
      <c r="DA43" s="149"/>
      <c r="DB43" s="149"/>
      <c r="DC43" s="149"/>
    </row>
    <row r="44" spans="1:123" s="151" customFormat="1" ht="15.75" customHeight="1" x14ac:dyDescent="0.25">
      <c r="A44" s="1268" t="s">
        <v>7929</v>
      </c>
      <c r="B44" s="1269"/>
      <c r="C44" s="1269"/>
      <c r="D44" s="1269"/>
      <c r="E44" s="1269"/>
      <c r="F44" s="1270"/>
      <c r="G44" s="1105"/>
      <c r="H44" s="621" t="s">
        <v>1</v>
      </c>
      <c r="I44" s="473" t="str">
        <f>IF(G44&gt;0.1,G44," ")</f>
        <v xml:space="preserve"> </v>
      </c>
      <c r="J44" s="474"/>
      <c r="K44" s="19"/>
      <c r="L44" s="149"/>
      <c r="M44" s="302">
        <f>IF(I44=" ",0,I44)</f>
        <v>0</v>
      </c>
      <c r="N44" s="244">
        <f>IF(I44=" ",0,I44)</f>
        <v>0</v>
      </c>
      <c r="O44" s="247"/>
      <c r="P44" s="247"/>
      <c r="Q44" s="247"/>
      <c r="R44" s="247"/>
      <c r="S44" s="247"/>
      <c r="T44" s="247"/>
      <c r="U44" s="247"/>
      <c r="V44" s="247"/>
      <c r="W44" s="378"/>
      <c r="X44" s="378"/>
      <c r="Y44" s="378"/>
      <c r="Z44" s="378"/>
      <c r="AA44" s="296"/>
      <c r="AB44" s="247"/>
      <c r="AC44" s="247"/>
      <c r="AD44" s="295"/>
      <c r="AE44" s="297"/>
      <c r="AF44" s="297"/>
      <c r="AG44" s="247"/>
      <c r="AH44" s="247"/>
      <c r="AI44" s="247"/>
      <c r="AJ44" s="296"/>
      <c r="AK44" s="247"/>
      <c r="AL44" s="295"/>
      <c r="AM44" s="297"/>
      <c r="AN44" s="247"/>
      <c r="AO44" s="247"/>
      <c r="AP44" s="247"/>
      <c r="AQ44" s="296"/>
      <c r="AR44" s="247"/>
      <c r="AS44" s="295"/>
      <c r="AT44" s="247"/>
      <c r="AU44" s="247"/>
      <c r="AV44" s="247"/>
      <c r="AW44" s="247"/>
      <c r="AX44" s="247"/>
      <c r="AY44" s="247"/>
      <c r="AZ44" s="247"/>
      <c r="BA44" s="247"/>
      <c r="BB44" s="247"/>
      <c r="BC44" s="247"/>
      <c r="BD44" s="247"/>
      <c r="BE44" s="247"/>
      <c r="BF44" s="247"/>
      <c r="BG44" s="247"/>
      <c r="BH44" s="247"/>
      <c r="BI44" s="247"/>
      <c r="BJ44" s="247"/>
      <c r="BK44" s="247"/>
      <c r="BL44" s="298"/>
      <c r="BM44" s="247"/>
      <c r="BN44" s="247"/>
      <c r="BO44" s="247"/>
      <c r="BP44" s="247"/>
      <c r="BQ44" s="247"/>
      <c r="BR44" s="247"/>
      <c r="BS44" s="247"/>
      <c r="BT44" s="247"/>
      <c r="BU44" s="247"/>
      <c r="BV44" s="247"/>
      <c r="BW44" s="247"/>
      <c r="BX44" s="247"/>
      <c r="BY44" s="247"/>
      <c r="BZ44" s="247"/>
      <c r="CA44" s="426"/>
      <c r="CB44" s="426"/>
      <c r="CC44" s="426"/>
      <c r="CD44" s="247"/>
      <c r="CE44" s="247"/>
      <c r="CF44" s="247"/>
      <c r="CG44" s="426"/>
      <c r="CH44" s="426"/>
      <c r="CI44" s="426"/>
      <c r="CJ44" s="299"/>
      <c r="CK44" s="299"/>
      <c r="CL44" s="291"/>
      <c r="CM44" s="292"/>
      <c r="CN44" s="247"/>
      <c r="CO44" s="247"/>
      <c r="CP44" s="247"/>
      <c r="CQ44" s="247"/>
      <c r="CR44" s="247"/>
      <c r="CS44" s="247"/>
      <c r="CT44" s="149"/>
      <c r="CU44" s="149"/>
      <c r="CV44" s="150"/>
      <c r="CW44" s="149"/>
      <c r="CX44" s="149"/>
      <c r="CY44" s="149"/>
      <c r="CZ44" s="149"/>
      <c r="DA44" s="149"/>
      <c r="DB44" s="149"/>
      <c r="DC44" s="149"/>
    </row>
    <row r="45" spans="1:123" s="151" customFormat="1" ht="15.75" customHeight="1" thickBot="1" x14ac:dyDescent="0.3">
      <c r="A45" s="623" t="s">
        <v>356</v>
      </c>
      <c r="B45" s="424"/>
      <c r="C45" s="424"/>
      <c r="D45" s="581"/>
      <c r="E45" s="581"/>
      <c r="F45" s="581"/>
      <c r="G45" s="1106"/>
      <c r="H45" s="622" t="s">
        <v>1</v>
      </c>
      <c r="I45" s="472" t="str">
        <f>IF(G45&gt;0.1,G45," ")</f>
        <v xml:space="preserve"> </v>
      </c>
      <c r="J45" s="475"/>
      <c r="K45" s="19"/>
      <c r="L45" s="149"/>
      <c r="M45" s="247"/>
      <c r="N45" s="244">
        <f>IF(I45=" ",0,I45)</f>
        <v>0</v>
      </c>
      <c r="O45" s="247"/>
      <c r="P45" s="247"/>
      <c r="Q45" s="247"/>
      <c r="R45" s="247"/>
      <c r="S45" s="247"/>
      <c r="T45" s="247"/>
      <c r="U45" s="247"/>
      <c r="V45" s="247"/>
      <c r="W45" s="378"/>
      <c r="X45" s="378"/>
      <c r="Y45" s="378"/>
      <c r="Z45" s="378"/>
      <c r="AA45" s="296"/>
      <c r="AB45" s="247"/>
      <c r="AC45" s="247"/>
      <c r="AD45" s="295"/>
      <c r="AE45" s="297"/>
      <c r="AF45" s="297"/>
      <c r="AG45" s="247"/>
      <c r="AH45" s="247"/>
      <c r="AI45" s="247"/>
      <c r="AJ45" s="296"/>
      <c r="AK45" s="247"/>
      <c r="AL45" s="295"/>
      <c r="AM45" s="297"/>
      <c r="AN45" s="247"/>
      <c r="AO45" s="247"/>
      <c r="AP45" s="247"/>
      <c r="AQ45" s="296"/>
      <c r="AR45" s="247"/>
      <c r="AS45" s="295"/>
      <c r="AT45" s="247"/>
      <c r="AU45" s="247"/>
      <c r="AV45" s="247"/>
      <c r="AW45" s="247"/>
      <c r="AX45" s="247"/>
      <c r="AY45" s="247"/>
      <c r="AZ45" s="247"/>
      <c r="BA45" s="247"/>
      <c r="BB45" s="247"/>
      <c r="BC45" s="247"/>
      <c r="BD45" s="247"/>
      <c r="BE45" s="247"/>
      <c r="BF45" s="247"/>
      <c r="BG45" s="247"/>
      <c r="BH45" s="247"/>
      <c r="BI45" s="247"/>
      <c r="BJ45" s="247"/>
      <c r="BK45" s="247"/>
      <c r="BL45" s="298"/>
      <c r="BM45" s="247"/>
      <c r="BN45" s="247"/>
      <c r="BO45" s="247"/>
      <c r="BP45" s="247"/>
      <c r="BQ45" s="247"/>
      <c r="BR45" s="247"/>
      <c r="BS45" s="247"/>
      <c r="BT45" s="247"/>
      <c r="BU45" s="247"/>
      <c r="BV45" s="247"/>
      <c r="BW45" s="247"/>
      <c r="BX45" s="247"/>
      <c r="BY45" s="247"/>
      <c r="BZ45" s="247"/>
      <c r="CA45" s="426"/>
      <c r="CB45" s="426"/>
      <c r="CC45" s="426"/>
      <c r="CD45" s="247"/>
      <c r="CE45" s="247"/>
      <c r="CF45" s="247"/>
      <c r="CG45" s="426"/>
      <c r="CH45" s="426"/>
      <c r="CI45" s="426"/>
      <c r="CJ45" s="299"/>
      <c r="CK45" s="299"/>
      <c r="CL45" s="291"/>
      <c r="CM45" s="292"/>
      <c r="CN45" s="247"/>
      <c r="CO45" s="247"/>
      <c r="CP45" s="247"/>
      <c r="CQ45" s="247"/>
      <c r="CR45" s="247"/>
      <c r="CS45" s="247"/>
      <c r="CT45" s="149"/>
      <c r="CU45" s="149"/>
      <c r="CV45" s="149"/>
      <c r="CW45" s="149"/>
      <c r="CX45" s="149"/>
      <c r="CY45" s="149"/>
      <c r="CZ45" s="149"/>
      <c r="DA45" s="149"/>
      <c r="DB45" s="149"/>
      <c r="DC45" s="149"/>
    </row>
    <row r="46" spans="1:123" s="151" customFormat="1" ht="21" customHeight="1" thickBot="1" x14ac:dyDescent="0.3">
      <c r="A46" s="607" t="s">
        <v>7898</v>
      </c>
      <c r="B46" s="601"/>
      <c r="C46" s="601"/>
      <c r="D46" s="602"/>
      <c r="E46" s="602"/>
      <c r="F46" s="602"/>
      <c r="G46" s="602"/>
      <c r="H46" s="608"/>
      <c r="I46" s="609"/>
      <c r="J46" s="208" t="str">
        <f>IF(N46=0," ",N46)</f>
        <v xml:space="preserve"> </v>
      </c>
      <c r="K46" s="20"/>
      <c r="L46" s="150"/>
      <c r="M46" s="303">
        <f>SUM(I23:I45)</f>
        <v>0</v>
      </c>
      <c r="N46" s="303">
        <f>SUM(J23:J45)</f>
        <v>0</v>
      </c>
      <c r="O46" s="304"/>
      <c r="P46" s="304"/>
      <c r="Q46" s="304"/>
      <c r="R46" s="304"/>
      <c r="S46" s="304"/>
      <c r="T46" s="304"/>
      <c r="U46" s="304"/>
      <c r="V46" s="304"/>
      <c r="W46" s="305">
        <f t="shared" ref="W46:AD46" si="82">SUM(W23:W45)</f>
        <v>0</v>
      </c>
      <c r="X46" s="305">
        <f t="shared" si="82"/>
        <v>0</v>
      </c>
      <c r="Y46" s="306">
        <f>SUM(Y23:Y45)</f>
        <v>0</v>
      </c>
      <c r="Z46" s="307">
        <f t="shared" si="82"/>
        <v>0</v>
      </c>
      <c r="AA46" s="305">
        <f t="shared" si="82"/>
        <v>0</v>
      </c>
      <c r="AB46" s="305">
        <f t="shared" si="82"/>
        <v>0</v>
      </c>
      <c r="AC46" s="306">
        <f t="shared" si="82"/>
        <v>0</v>
      </c>
      <c r="AD46" s="307">
        <f t="shared" si="82"/>
        <v>0</v>
      </c>
      <c r="AE46" s="308"/>
      <c r="AF46" s="308"/>
      <c r="AG46" s="305">
        <f t="shared" ref="AG46:AL46" si="83">SUM(AG23:AG45)</f>
        <v>0</v>
      </c>
      <c r="AH46" s="306">
        <f t="shared" si="83"/>
        <v>0</v>
      </c>
      <c r="AI46" s="307">
        <f t="shared" si="83"/>
        <v>0</v>
      </c>
      <c r="AJ46" s="305">
        <f t="shared" si="83"/>
        <v>0</v>
      </c>
      <c r="AK46" s="306">
        <f t="shared" si="83"/>
        <v>0</v>
      </c>
      <c r="AL46" s="307">
        <f t="shared" si="83"/>
        <v>0</v>
      </c>
      <c r="AM46" s="308"/>
      <c r="AN46" s="305">
        <f>SUM(AN23:AN45)</f>
        <v>0</v>
      </c>
      <c r="AO46" s="305">
        <f t="shared" ref="AO46:AS46" si="84">SUM(AO23:AO45)</f>
        <v>0</v>
      </c>
      <c r="AP46" s="309">
        <f>SUM(AP23:AP45)</f>
        <v>0</v>
      </c>
      <c r="AQ46" s="305">
        <f t="shared" si="84"/>
        <v>0</v>
      </c>
      <c r="AR46" s="305">
        <f t="shared" si="84"/>
        <v>0</v>
      </c>
      <c r="AS46" s="309">
        <f t="shared" si="84"/>
        <v>0</v>
      </c>
      <c r="AT46" s="304"/>
      <c r="AU46" s="304"/>
      <c r="AV46" s="304"/>
      <c r="AW46" s="304"/>
      <c r="AX46" s="304"/>
      <c r="AY46" s="304"/>
      <c r="AZ46" s="304"/>
      <c r="BA46" s="304"/>
      <c r="BB46" s="304"/>
      <c r="BC46" s="304"/>
      <c r="BD46" s="304"/>
      <c r="BE46" s="304"/>
      <c r="BF46" s="304"/>
      <c r="BG46" s="304"/>
      <c r="BH46" s="304"/>
      <c r="BI46" s="247"/>
      <c r="BJ46" s="247"/>
      <c r="BK46" s="247"/>
      <c r="BL46" s="310">
        <f>SUM(BL23:BL38)</f>
        <v>0</v>
      </c>
      <c r="BM46" s="247"/>
      <c r="BN46" s="247"/>
      <c r="BO46" s="247"/>
      <c r="BP46" s="247"/>
      <c r="BQ46" s="247"/>
      <c r="BR46" s="247"/>
      <c r="BS46" s="247"/>
      <c r="BT46" s="247"/>
      <c r="BU46" s="247"/>
      <c r="BV46" s="247"/>
      <c r="BW46" s="247"/>
      <c r="BX46" s="247"/>
      <c r="BY46" s="247"/>
      <c r="BZ46" s="247"/>
      <c r="CA46" s="426"/>
      <c r="CB46" s="426"/>
      <c r="CC46" s="426"/>
      <c r="CD46" s="247"/>
      <c r="CE46" s="247"/>
      <c r="CF46" s="247"/>
      <c r="CG46" s="426"/>
      <c r="CH46" s="426"/>
      <c r="CI46" s="426"/>
      <c r="CJ46" s="299"/>
      <c r="CK46" s="299"/>
      <c r="CL46" s="291"/>
      <c r="CM46" s="292"/>
      <c r="CN46" s="247"/>
      <c r="CO46" s="247"/>
      <c r="CP46" s="247"/>
      <c r="CQ46" s="247"/>
      <c r="CR46" s="247"/>
      <c r="CS46" s="247"/>
      <c r="CT46" s="149"/>
      <c r="CU46" s="149"/>
      <c r="CV46" s="149"/>
      <c r="CW46" s="149"/>
      <c r="CX46" s="149"/>
      <c r="CY46" s="149"/>
      <c r="CZ46" s="149"/>
      <c r="DA46" s="149"/>
      <c r="DB46" s="149"/>
      <c r="DC46" s="149"/>
    </row>
    <row r="47" spans="1:123" s="153" customFormat="1" ht="22.5" customHeight="1" thickBot="1" x14ac:dyDescent="0.3">
      <c r="A47" s="573" t="s">
        <v>7897</v>
      </c>
      <c r="B47" s="574"/>
      <c r="C47" s="574"/>
      <c r="D47" s="575"/>
      <c r="E47" s="575"/>
      <c r="F47" s="575"/>
      <c r="G47" s="575"/>
      <c r="H47" s="610"/>
      <c r="I47" s="222" t="str">
        <f>IF(M46=0," ",M46)</f>
        <v xml:space="preserve"> </v>
      </c>
      <c r="J47" s="222" t="str">
        <f>IF(N47=0," ",N47)</f>
        <v xml:space="preserve"> </v>
      </c>
      <c r="K47" s="125"/>
      <c r="L47" s="311"/>
      <c r="M47" s="312"/>
      <c r="N47" s="313">
        <f>SUM(N23:N38)</f>
        <v>0</v>
      </c>
      <c r="O47" s="312"/>
      <c r="P47" s="313">
        <f>SUM(P23:P38)+SUM(I40:I45)</f>
        <v>0</v>
      </c>
      <c r="Q47" s="312"/>
      <c r="R47" s="313">
        <f>SUM(R23:R38)+SUM(I40:I45)</f>
        <v>0</v>
      </c>
      <c r="S47" s="312"/>
      <c r="T47" s="313">
        <f>SUM(T23:T38)</f>
        <v>0</v>
      </c>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4"/>
      <c r="BJ47" s="314"/>
      <c r="BK47" s="314"/>
      <c r="BL47" s="315"/>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6"/>
      <c r="CK47" s="316"/>
      <c r="CL47" s="291"/>
      <c r="CM47" s="292"/>
      <c r="CN47" s="314"/>
      <c r="CO47" s="314"/>
      <c r="CP47" s="314"/>
      <c r="CQ47" s="314"/>
      <c r="CR47" s="314"/>
      <c r="CS47" s="314"/>
      <c r="CT47" s="152"/>
      <c r="CU47" s="152"/>
      <c r="CV47" s="152"/>
      <c r="CW47" s="152"/>
      <c r="CX47" s="152"/>
      <c r="CY47" s="152"/>
      <c r="CZ47" s="152"/>
      <c r="DA47" s="152"/>
      <c r="DB47" s="152"/>
      <c r="DC47" s="152"/>
    </row>
    <row r="48" spans="1:123" s="151" customFormat="1" ht="12" customHeight="1" x14ac:dyDescent="0.25">
      <c r="A48" s="421"/>
      <c r="B48" s="424"/>
      <c r="C48" s="424"/>
      <c r="D48" s="581"/>
      <c r="E48" s="221" t="str">
        <f>IF(SUM(L23:L38)&gt;0,"Abweichende Werte unvollständig","")</f>
        <v/>
      </c>
      <c r="F48" s="581"/>
      <c r="G48" s="581"/>
      <c r="H48" s="581"/>
      <c r="I48" s="611"/>
      <c r="J48" s="612"/>
      <c r="K48" s="20"/>
      <c r="L48" s="150"/>
      <c r="M48" s="304"/>
      <c r="N48" s="304"/>
      <c r="O48" s="304"/>
      <c r="P48" s="324" t="e">
        <f>+P47/M46</f>
        <v>#DIV/0!</v>
      </c>
      <c r="Q48" s="304" t="s">
        <v>2</v>
      </c>
      <c r="R48" s="324" t="e">
        <f>+R47/M46</f>
        <v>#DIV/0!</v>
      </c>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247"/>
      <c r="BJ48" s="247"/>
      <c r="BK48" s="247"/>
      <c r="BL48" s="317"/>
      <c r="BM48" s="247"/>
      <c r="BN48" s="247"/>
      <c r="BO48" s="247"/>
      <c r="BP48" s="247"/>
      <c r="BQ48" s="247"/>
      <c r="BR48" s="247"/>
      <c r="BS48" s="247"/>
      <c r="BT48" s="247"/>
      <c r="BU48" s="247"/>
      <c r="BV48" s="247"/>
      <c r="BW48" s="247"/>
      <c r="BX48" s="247"/>
      <c r="BY48" s="247"/>
      <c r="BZ48" s="247"/>
      <c r="CA48" s="426"/>
      <c r="CB48" s="426"/>
      <c r="CC48" s="426"/>
      <c r="CD48" s="247"/>
      <c r="CE48" s="247"/>
      <c r="CF48" s="247"/>
      <c r="CG48" s="426"/>
      <c r="CH48" s="426"/>
      <c r="CI48" s="426"/>
      <c r="CJ48" s="299"/>
      <c r="CK48" s="299"/>
      <c r="CL48" s="291"/>
      <c r="CM48" s="292"/>
      <c r="CN48" s="247"/>
      <c r="CO48" s="247"/>
      <c r="CP48" s="247"/>
      <c r="CQ48" s="247"/>
      <c r="CR48" s="247"/>
      <c r="CS48" s="247"/>
      <c r="CT48" s="149"/>
      <c r="CU48" s="149"/>
      <c r="CV48" s="149"/>
      <c r="CW48" s="149"/>
      <c r="CX48" s="149"/>
      <c r="CY48" s="149"/>
      <c r="CZ48" s="149"/>
      <c r="DA48" s="149"/>
      <c r="DB48" s="149"/>
      <c r="DC48" s="149"/>
    </row>
    <row r="49" spans="1:107" s="155" customFormat="1" ht="12" customHeight="1" x14ac:dyDescent="0.25">
      <c r="A49" s="1271" t="s">
        <v>484</v>
      </c>
      <c r="B49" s="1272"/>
      <c r="C49" s="613" t="s">
        <v>331</v>
      </c>
      <c r="D49" s="614" t="s">
        <v>4</v>
      </c>
      <c r="E49" s="368" t="s">
        <v>464</v>
      </c>
      <c r="F49" s="614" t="s">
        <v>339</v>
      </c>
      <c r="G49" s="368" t="s">
        <v>340</v>
      </c>
      <c r="H49" s="1321" t="s">
        <v>491</v>
      </c>
      <c r="I49" s="1321"/>
      <c r="J49" s="1321"/>
      <c r="K49" s="120"/>
      <c r="L49" s="318"/>
      <c r="M49" s="319"/>
      <c r="N49" s="320" t="str">
        <f>C50</f>
        <v xml:space="preserve"> </v>
      </c>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21"/>
      <c r="BJ49" s="321"/>
      <c r="BK49" s="321"/>
      <c r="BL49" s="322"/>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3"/>
      <c r="CK49" s="323"/>
      <c r="CL49" s="291"/>
      <c r="CM49" s="292"/>
      <c r="CN49" s="321"/>
      <c r="CO49" s="321"/>
      <c r="CP49" s="321"/>
      <c r="CQ49" s="321"/>
      <c r="CR49" s="321"/>
      <c r="CS49" s="321"/>
      <c r="CT49" s="154"/>
      <c r="CU49" s="154"/>
      <c r="CV49" s="154"/>
      <c r="CW49" s="154"/>
      <c r="CX49" s="154"/>
      <c r="CY49" s="154"/>
      <c r="CZ49" s="154"/>
      <c r="DA49" s="154"/>
      <c r="DB49" s="154"/>
      <c r="DC49" s="154"/>
    </row>
    <row r="50" spans="1:107" s="155" customFormat="1" ht="10.5" customHeight="1" x14ac:dyDescent="0.25">
      <c r="A50" s="615" t="s">
        <v>289</v>
      </c>
      <c r="B50" s="616"/>
      <c r="C50" s="209" t="str">
        <f>IF($M46=0," ",IF(AE52+AF52=0,"0,00",(AE52*CN40+AF52*CO40)/(CN40+CO40+N40+N41+N42+N43+N44+N45)))</f>
        <v xml:space="preserve"> </v>
      </c>
      <c r="D50" s="210" t="str">
        <f>IF($M46=0," ",(W52+AA52)/2)</f>
        <v xml:space="preserve"> </v>
      </c>
      <c r="E50" s="369" t="str">
        <f>IF($M46=0," ",CV40/M46)</f>
        <v xml:space="preserve"> </v>
      </c>
      <c r="F50" s="210" t="str">
        <f>IF($M46=0," ",(Y52+AC52)/2)</f>
        <v xml:space="preserve"> </v>
      </c>
      <c r="G50" s="210" t="str">
        <f>IF($M46=0," ",(Z52+AD52)/2)</f>
        <v xml:space="preserve"> </v>
      </c>
      <c r="H50" s="1355" t="str">
        <f>IF(SUM(Z56:Z59)=0,"---",W54)</f>
        <v>---</v>
      </c>
      <c r="I50" s="1321"/>
      <c r="J50" s="1321"/>
      <c r="K50" s="120"/>
      <c r="L50" s="318"/>
      <c r="O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21"/>
      <c r="BJ50" s="321"/>
      <c r="BK50" s="321"/>
      <c r="BL50" s="322"/>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3"/>
      <c r="CK50" s="323"/>
      <c r="CL50" s="291"/>
      <c r="CM50" s="292"/>
      <c r="CN50" s="321"/>
      <c r="CO50" s="321"/>
      <c r="CP50" s="321"/>
      <c r="CQ50" s="321"/>
      <c r="CR50" s="321"/>
      <c r="CS50" s="321"/>
      <c r="CT50" s="154"/>
      <c r="CU50" s="154"/>
      <c r="CV50" s="154"/>
      <c r="CW50" s="154"/>
      <c r="CX50" s="154"/>
      <c r="CY50" s="154"/>
      <c r="CZ50" s="154"/>
      <c r="DA50" s="154"/>
      <c r="DB50" s="154"/>
      <c r="DC50" s="154"/>
    </row>
    <row r="51" spans="1:107" s="155" customFormat="1" ht="10.5" customHeight="1" x14ac:dyDescent="0.25">
      <c r="A51" s="617" t="s">
        <v>290</v>
      </c>
      <c r="B51" s="618"/>
      <c r="C51" s="211" t="str">
        <f>IF(N46=0," ",AM54)</f>
        <v xml:space="preserve"> </v>
      </c>
      <c r="D51" s="210" t="str">
        <f>IF($N46=0," ",(AG52+AJ52)/2)</f>
        <v xml:space="preserve"> </v>
      </c>
      <c r="E51" s="369" t="str">
        <f>IF($N46=0," ",CW40/N46)</f>
        <v xml:space="preserve"> </v>
      </c>
      <c r="F51" s="210" t="str">
        <f>IF($N46=0," ",(AH52+AK52)/2)</f>
        <v xml:space="preserve"> </v>
      </c>
      <c r="G51" s="210" t="str">
        <f>IF($N46=0," ",(AI52+AL52)/2)</f>
        <v xml:space="preserve"> </v>
      </c>
      <c r="H51" s="1356"/>
      <c r="I51" s="1356"/>
      <c r="J51" s="1356"/>
      <c r="K51" s="120"/>
      <c r="L51" s="318"/>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21"/>
      <c r="BJ51" s="321"/>
      <c r="BK51" s="321"/>
      <c r="BL51" s="322"/>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3"/>
      <c r="CK51" s="323"/>
      <c r="CL51" s="291"/>
      <c r="CM51" s="292"/>
      <c r="CN51" s="321"/>
      <c r="CO51" s="321"/>
      <c r="CP51" s="321"/>
      <c r="CQ51" s="321"/>
      <c r="CR51" s="321"/>
      <c r="CS51" s="321"/>
      <c r="CT51" s="154"/>
      <c r="CU51" s="154"/>
      <c r="CV51" s="154"/>
      <c r="CW51" s="154"/>
      <c r="CX51" s="154"/>
      <c r="CY51" s="154"/>
      <c r="CZ51" s="154"/>
      <c r="DA51" s="154"/>
      <c r="DB51" s="154"/>
      <c r="DC51" s="154"/>
    </row>
    <row r="52" spans="1:107" s="151" customFormat="1" ht="14.25" customHeight="1" x14ac:dyDescent="0.25">
      <c r="A52" s="1354"/>
      <c r="B52" s="1354"/>
      <c r="C52" s="1354"/>
      <c r="D52" s="1354"/>
      <c r="E52" s="1354"/>
      <c r="F52" s="1354"/>
      <c r="G52" s="1354"/>
      <c r="H52" s="1354"/>
      <c r="I52" s="1354"/>
      <c r="J52" s="1354"/>
      <c r="K52" s="20"/>
      <c r="L52" s="150"/>
      <c r="M52" s="304"/>
      <c r="N52" s="304"/>
      <c r="O52" s="304"/>
      <c r="P52" s="304"/>
      <c r="Q52" s="304"/>
      <c r="R52" s="304"/>
      <c r="S52" s="304"/>
      <c r="T52" s="304"/>
      <c r="U52" s="304"/>
      <c r="V52" s="304"/>
      <c r="W52" s="151" t="e">
        <f>+W46/$M46</f>
        <v>#DIV/0!</v>
      </c>
      <c r="Y52" s="151" t="e">
        <f>+Y46/$M46</f>
        <v>#DIV/0!</v>
      </c>
      <c r="Z52" s="151" t="e">
        <f>+Z46/$M46</f>
        <v>#DIV/0!</v>
      </c>
      <c r="AA52" s="324" t="e">
        <f>+AA46/$M46</f>
        <v>#DIV/0!</v>
      </c>
      <c r="AB52" s="324"/>
      <c r="AC52" s="324" t="e">
        <f>+AC46/$M46</f>
        <v>#DIV/0!</v>
      </c>
      <c r="AD52" s="324" t="e">
        <f>+AD46/$M46</f>
        <v>#DIV/0!</v>
      </c>
      <c r="AE52" s="324">
        <f>SUMPRODUCT(AE23:AE38,$CN23:$CN38)/CN41</f>
        <v>0</v>
      </c>
      <c r="AF52" s="324">
        <f>SUMPRODUCT(AF23:AF38,$CO23:$CO38)/CO41</f>
        <v>0</v>
      </c>
      <c r="AG52" s="324" t="e">
        <f>+(AG46+AN46)/$N46</f>
        <v>#DIV/0!</v>
      </c>
      <c r="AH52" s="324" t="e">
        <f t="shared" ref="AH52:AL52" si="85">+(AH46+AO46)/$N46</f>
        <v>#DIV/0!</v>
      </c>
      <c r="AI52" s="324" t="e">
        <f t="shared" si="85"/>
        <v>#DIV/0!</v>
      </c>
      <c r="AJ52" s="324" t="e">
        <f t="shared" si="85"/>
        <v>#DIV/0!</v>
      </c>
      <c r="AK52" s="324" t="e">
        <f t="shared" si="85"/>
        <v>#DIV/0!</v>
      </c>
      <c r="AL52" s="324" t="e">
        <f t="shared" si="85"/>
        <v>#DIV/0!</v>
      </c>
      <c r="AM52" s="324" t="e">
        <f>SUMPRODUCT(AM23:AM38,$J23:$J38)/J46</f>
        <v>#VALUE!</v>
      </c>
      <c r="AN52" s="324"/>
      <c r="AO52" s="324"/>
      <c r="AP52" s="324"/>
      <c r="AQ52" s="324"/>
      <c r="AR52" s="324"/>
      <c r="AS52" s="324"/>
      <c r="AT52" s="325" t="s">
        <v>267</v>
      </c>
      <c r="AU52" s="304"/>
      <c r="AV52" s="304"/>
      <c r="AW52" s="304"/>
      <c r="AX52" s="304"/>
      <c r="AY52" s="304"/>
      <c r="AZ52" s="304"/>
      <c r="BA52" s="304"/>
      <c r="BB52" s="304"/>
      <c r="BC52" s="304"/>
      <c r="BD52" s="304"/>
      <c r="BE52" s="304"/>
      <c r="BF52" s="304"/>
      <c r="BG52" s="304"/>
      <c r="BH52" s="304"/>
      <c r="BI52" s="247"/>
      <c r="BJ52" s="247"/>
      <c r="BK52" s="247"/>
      <c r="BL52" s="247"/>
      <c r="BM52" s="247"/>
      <c r="BN52" s="247"/>
      <c r="BO52" s="247"/>
      <c r="BP52" s="247"/>
      <c r="BQ52" s="247"/>
      <c r="BR52" s="247"/>
      <c r="BS52" s="247"/>
      <c r="BT52" s="247"/>
      <c r="BU52" s="247"/>
      <c r="BV52" s="247"/>
      <c r="BW52" s="247"/>
      <c r="BX52" s="247"/>
      <c r="BY52" s="247"/>
      <c r="BZ52" s="247"/>
      <c r="CA52" s="426"/>
      <c r="CB52" s="426"/>
      <c r="CC52" s="426"/>
      <c r="CD52" s="247"/>
      <c r="CE52" s="247"/>
      <c r="CF52" s="247"/>
      <c r="CG52" s="426"/>
      <c r="CH52" s="426"/>
      <c r="CI52" s="426"/>
      <c r="CJ52" s="299"/>
      <c r="CK52" s="299"/>
      <c r="CL52" s="291"/>
      <c r="CM52" s="292"/>
      <c r="CN52" s="247"/>
      <c r="CO52" s="247"/>
      <c r="CP52" s="247"/>
      <c r="CQ52" s="247"/>
      <c r="CR52" s="247"/>
      <c r="CS52" s="247"/>
      <c r="CT52" s="149"/>
      <c r="CU52" s="149"/>
      <c r="CV52" s="149"/>
      <c r="CW52" s="149"/>
      <c r="CX52" s="149"/>
      <c r="CY52" s="149"/>
      <c r="CZ52" s="149"/>
      <c r="DA52" s="149"/>
      <c r="DB52" s="149"/>
      <c r="DC52" s="149"/>
    </row>
    <row r="53" spans="1:107" s="151" customFormat="1" ht="9" customHeight="1" thickBot="1" x14ac:dyDescent="0.3">
      <c r="A53" s="619"/>
      <c r="B53" s="619"/>
      <c r="C53" s="619"/>
      <c r="D53" s="619"/>
      <c r="E53" s="619"/>
      <c r="F53" s="619"/>
      <c r="G53" s="619"/>
      <c r="H53" s="619"/>
      <c r="I53" s="619"/>
      <c r="J53" s="149"/>
      <c r="K53" s="19"/>
      <c r="L53" s="149"/>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CJ53" s="299"/>
      <c r="CK53" s="299"/>
      <c r="CL53" s="291"/>
      <c r="CM53" s="292"/>
      <c r="CN53" s="247"/>
      <c r="CO53" s="247"/>
      <c r="CP53" s="149"/>
      <c r="CQ53" s="149"/>
      <c r="CR53" s="149"/>
      <c r="CS53" s="149"/>
      <c r="CT53" s="149"/>
      <c r="CU53" s="149"/>
      <c r="CV53" s="149"/>
      <c r="CW53" s="149"/>
      <c r="CX53" s="149"/>
      <c r="CY53" s="149"/>
    </row>
    <row r="54" spans="1:107" s="151" customFormat="1" ht="17.850000000000001" customHeight="1" thickBot="1" x14ac:dyDescent="0.3">
      <c r="A54" s="187" t="s">
        <v>7639</v>
      </c>
      <c r="B54" s="190"/>
      <c r="C54" s="190"/>
      <c r="D54" s="506"/>
      <c r="E54" s="190"/>
      <c r="F54" s="190"/>
      <c r="G54" s="190"/>
      <c r="H54" s="190"/>
      <c r="I54" s="190"/>
      <c r="J54" s="191"/>
      <c r="K54" s="19"/>
      <c r="L54" s="149"/>
      <c r="M54" s="247"/>
      <c r="N54" s="247"/>
      <c r="O54" s="247"/>
      <c r="P54" s="247"/>
      <c r="Q54" s="247"/>
      <c r="R54" s="247"/>
      <c r="S54" s="247"/>
      <c r="T54" s="247"/>
      <c r="U54" s="399" t="s">
        <v>491</v>
      </c>
      <c r="V54" s="400"/>
      <c r="W54" s="409" t="str">
        <f>CONCATENATE(Y54,AA54)</f>
        <v>Rinder - Jauche</v>
      </c>
      <c r="X54" s="401"/>
      <c r="Y54" s="409" t="str" cm="1">
        <f t="array" ref="Y54">INDEX(Tiere!$E$118:$E$121,MIN('Nährstoffe und Lagerraum'!AA56:AA59))</f>
        <v>Rinder</v>
      </c>
      <c r="Z54" s="401"/>
      <c r="AA54" s="410" t="str">
        <f>IF(CN40=0," - Jauche"," - Gülle")</f>
        <v xml:space="preserve"> - Jauche</v>
      </c>
      <c r="AB54" s="247"/>
      <c r="AC54" s="247"/>
      <c r="AD54" s="247"/>
      <c r="AE54" s="247" t="s">
        <v>522</v>
      </c>
      <c r="AF54" s="247"/>
      <c r="AG54" s="247" t="e">
        <f>AG46/$N$46</f>
        <v>#DIV/0!</v>
      </c>
      <c r="AH54" s="717" t="e">
        <f t="shared" ref="AH54:AL54" si="86">AH46/$N$46</f>
        <v>#DIV/0!</v>
      </c>
      <c r="AI54" s="717" t="e">
        <f t="shared" si="86"/>
        <v>#DIV/0!</v>
      </c>
      <c r="AJ54" s="717" t="e">
        <f t="shared" si="86"/>
        <v>#DIV/0!</v>
      </c>
      <c r="AK54" s="717" t="e">
        <f t="shared" si="86"/>
        <v>#DIV/0!</v>
      </c>
      <c r="AL54" s="717" t="e">
        <f t="shared" si="86"/>
        <v>#DIV/0!</v>
      </c>
      <c r="AM54" s="540" t="e">
        <f>IF(OR('Abweichende Werte'!Y61=0,'Abweichende Werte'!Y61&lt;'Abweichende Werte'!B52,DL42+DM42=0),AM52,(AM52/100*DP42-'Abweichende Werte'!B52*'Abweichende Werte'!I52/100+'Abweichende Werte'!Y61*'Abweichende Werte'!X61/100)/N46*100)</f>
        <v>#VALUE!</v>
      </c>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CJ54" s="299"/>
      <c r="CK54" s="299"/>
      <c r="CL54" s="291"/>
      <c r="CM54" s="292"/>
      <c r="CN54" s="247"/>
      <c r="CO54" s="247"/>
      <c r="CP54" s="149"/>
      <c r="CQ54" s="149"/>
      <c r="CR54" s="149"/>
      <c r="CS54" s="149"/>
      <c r="CT54" s="149"/>
      <c r="CU54" s="149"/>
      <c r="CV54" s="149"/>
      <c r="CW54" s="149"/>
      <c r="CX54" s="149"/>
      <c r="CY54" s="149"/>
    </row>
    <row r="55" spans="1:107" s="151" customFormat="1" ht="17.850000000000001" customHeight="1" x14ac:dyDescent="0.25">
      <c r="A55" s="1322" t="s">
        <v>539</v>
      </c>
      <c r="B55" s="1323"/>
      <c r="C55" s="1323"/>
      <c r="D55" s="382">
        <f>CY39</f>
        <v>0</v>
      </c>
      <c r="E55" s="438" t="s">
        <v>4</v>
      </c>
      <c r="F55" s="22"/>
      <c r="G55" s="624"/>
      <c r="H55" s="619"/>
      <c r="I55" s="619"/>
      <c r="J55" s="149"/>
      <c r="K55" s="19"/>
      <c r="L55" s="149"/>
      <c r="M55" s="247"/>
      <c r="N55" s="247"/>
      <c r="O55" s="247"/>
      <c r="P55" s="247"/>
      <c r="Q55" s="247"/>
      <c r="R55" s="247"/>
      <c r="S55" s="247"/>
      <c r="T55" s="247"/>
      <c r="U55" s="402"/>
      <c r="V55" s="247"/>
      <c r="W55" s="246" t="s">
        <v>505</v>
      </c>
      <c r="X55" s="246" t="s">
        <v>506</v>
      </c>
      <c r="Y55" s="403"/>
      <c r="Z55" s="246" t="s">
        <v>507</v>
      </c>
      <c r="AA55" s="404"/>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CJ55" s="299"/>
      <c r="CK55" s="299"/>
      <c r="CL55" s="291"/>
      <c r="CM55" s="292"/>
      <c r="CN55" s="247"/>
      <c r="CO55" s="247"/>
      <c r="CP55" s="149"/>
      <c r="CQ55" s="149"/>
      <c r="CR55" s="149"/>
      <c r="CS55" s="149"/>
      <c r="CT55" s="149"/>
      <c r="CU55" s="149"/>
      <c r="CV55" s="149"/>
      <c r="CW55" s="149"/>
      <c r="CX55" s="149"/>
      <c r="CY55" s="149"/>
    </row>
    <row r="56" spans="1:107" s="151" customFormat="1" ht="17.850000000000001" customHeight="1" x14ac:dyDescent="0.25">
      <c r="A56" s="1324"/>
      <c r="B56" s="1323"/>
      <c r="C56" s="1323"/>
      <c r="D56" s="382">
        <f>CZ39</f>
        <v>0</v>
      </c>
      <c r="E56" s="438" t="s">
        <v>351</v>
      </c>
      <c r="F56" s="22"/>
      <c r="G56" s="619" t="str">
        <f>IF(OR(AND(D60&gt;0,E60=""),AND(D61&gt;0,E61=""),AND(D62&gt;0,E62=""),AND(D63&gt;0,E63=""),AND(D64&gt;0,E64="")),"Weideanteil fehlt","")</f>
        <v/>
      </c>
      <c r="H56" s="619"/>
      <c r="I56" s="619"/>
      <c r="J56" s="149"/>
      <c r="K56" s="19"/>
      <c r="L56" s="149"/>
      <c r="M56" s="247"/>
      <c r="N56" s="247"/>
      <c r="O56" s="247"/>
      <c r="P56" s="247"/>
      <c r="Q56" s="247"/>
      <c r="R56" s="247"/>
      <c r="S56" s="247"/>
      <c r="T56" s="247"/>
      <c r="U56" s="402">
        <v>1</v>
      </c>
      <c r="V56" s="247" t="s">
        <v>208</v>
      </c>
      <c r="W56" s="247">
        <f>SUMIF($BG$23:$BG$38,$U56,$W$23:$W$38)</f>
        <v>0</v>
      </c>
      <c r="X56" s="247">
        <f>SUMIF($BG$23:$BG$38,$U56,$AA$23:$AA$38)</f>
        <v>0</v>
      </c>
      <c r="Y56" s="247"/>
      <c r="Z56" s="247">
        <f>SUM(W56:X56)</f>
        <v>0</v>
      </c>
      <c r="AA56" s="405">
        <f>IF(Z56=MAX($Z$56:$Z$59),U56,"")</f>
        <v>1</v>
      </c>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CJ56" s="299"/>
      <c r="CK56" s="299"/>
      <c r="CL56" s="291"/>
      <c r="CM56" s="292"/>
      <c r="CN56" s="247"/>
      <c r="CO56" s="247"/>
      <c r="CP56" s="149"/>
      <c r="CQ56" s="149"/>
      <c r="CR56" s="149"/>
      <c r="CS56" s="149"/>
      <c r="CT56" s="149"/>
      <c r="CU56" s="149"/>
      <c r="CV56" s="149"/>
      <c r="CW56" s="149"/>
      <c r="CX56" s="149"/>
      <c r="CY56" s="149"/>
    </row>
    <row r="57" spans="1:107" s="151" customFormat="1" ht="17.850000000000001" customHeight="1" thickBot="1" x14ac:dyDescent="0.3">
      <c r="A57" s="1325"/>
      <c r="B57" s="1326"/>
      <c r="C57" s="1326"/>
      <c r="D57" s="384">
        <f>DA39</f>
        <v>0</v>
      </c>
      <c r="E57" s="439" t="s">
        <v>352</v>
      </c>
      <c r="F57" s="22"/>
      <c r="G57" s="624" t="str">
        <f>IF(CY39&gt;0,IF(M65&lt;0.1,"Flächenangabe fehlt",IF(SUM(D60:D64)&gt;M5,"Weidefläche nicht plausibel"," "))," ")</f>
        <v xml:space="preserve"> </v>
      </c>
      <c r="H57" s="619"/>
      <c r="I57" s="619"/>
      <c r="J57" s="149"/>
      <c r="K57" s="19"/>
      <c r="L57" s="149"/>
      <c r="M57" s="247"/>
      <c r="N57" s="247"/>
      <c r="O57" s="247"/>
      <c r="P57" s="247"/>
      <c r="Q57" s="247"/>
      <c r="R57" s="247"/>
      <c r="S57" s="247"/>
      <c r="T57" s="247"/>
      <c r="U57" s="402">
        <v>2</v>
      </c>
      <c r="V57" s="247" t="s">
        <v>214</v>
      </c>
      <c r="W57" s="247">
        <f>SUMIF($BG$23:$BG$38,$U57,$W$23:$W$38)</f>
        <v>0</v>
      </c>
      <c r="X57" s="247">
        <f>SUMIF($BG$23:$BG$38,$U57,$AA$23:$AA$38)</f>
        <v>0</v>
      </c>
      <c r="Y57" s="247"/>
      <c r="Z57" s="247">
        <f t="shared" ref="Z57:Z59" si="87">SUM(W57:X57)</f>
        <v>0</v>
      </c>
      <c r="AA57" s="405">
        <f t="shared" ref="AA57:AA59" si="88">IF(Z57=MAX($Z$56:$Z$59),U57,"")</f>
        <v>2</v>
      </c>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CJ57" s="299"/>
      <c r="CK57" s="299"/>
      <c r="CL57" s="291"/>
      <c r="CM57" s="292"/>
      <c r="CN57" s="247"/>
      <c r="CO57" s="247"/>
      <c r="CP57" s="149"/>
      <c r="CQ57" s="149"/>
      <c r="CR57" s="149"/>
      <c r="CS57" s="149"/>
      <c r="CT57" s="149"/>
      <c r="CU57" s="149"/>
      <c r="CV57" s="149"/>
      <c r="CW57" s="149"/>
      <c r="CX57" s="149"/>
      <c r="CY57" s="149"/>
    </row>
    <row r="58" spans="1:107" s="151" customFormat="1" ht="17.850000000000001" customHeight="1" x14ac:dyDescent="0.25">
      <c r="A58" s="1331" t="s">
        <v>540</v>
      </c>
      <c r="B58" s="1332"/>
      <c r="C58" s="1333"/>
      <c r="D58" s="1341" t="s">
        <v>512</v>
      </c>
      <c r="E58" s="1337" t="s">
        <v>7637</v>
      </c>
      <c r="F58" s="1338"/>
      <c r="G58" s="1345" t="s">
        <v>4</v>
      </c>
      <c r="H58" s="1346"/>
      <c r="I58" s="440" t="s">
        <v>351</v>
      </c>
      <c r="J58" s="441" t="s">
        <v>352</v>
      </c>
      <c r="K58" s="19"/>
      <c r="L58" s="149"/>
      <c r="M58" s="385" t="s">
        <v>489</v>
      </c>
      <c r="N58" s="385"/>
      <c r="O58" s="385"/>
      <c r="P58" s="385"/>
      <c r="Q58" s="385"/>
      <c r="R58" s="385"/>
      <c r="S58" s="247"/>
      <c r="T58" s="247"/>
      <c r="U58" s="402">
        <v>3</v>
      </c>
      <c r="V58" s="247" t="s">
        <v>86</v>
      </c>
      <c r="W58" s="247">
        <f>SUMIF($BG$23:$BG$38,$U58,$W$23:$W$38)</f>
        <v>0</v>
      </c>
      <c r="X58" s="247">
        <f>SUMIF($BG$23:$BG$38,$U58,$AA$23:$AA$38)</f>
        <v>0</v>
      </c>
      <c r="Y58" s="247"/>
      <c r="Z58" s="247">
        <f t="shared" si="87"/>
        <v>0</v>
      </c>
      <c r="AA58" s="405">
        <f t="shared" si="88"/>
        <v>3</v>
      </c>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CJ58" s="299"/>
      <c r="CK58" s="299"/>
      <c r="CL58" s="291"/>
      <c r="CM58" s="292"/>
      <c r="CN58" s="247"/>
      <c r="CO58" s="247"/>
      <c r="CP58" s="149"/>
      <c r="CQ58" s="149"/>
      <c r="CR58" s="149"/>
      <c r="CS58" s="149"/>
      <c r="CT58" s="149"/>
      <c r="CU58" s="149"/>
      <c r="CV58" s="149"/>
      <c r="CW58" s="149"/>
      <c r="CX58" s="149"/>
      <c r="CY58" s="149"/>
    </row>
    <row r="59" spans="1:107" s="151" customFormat="1" ht="17.850000000000001" customHeight="1" thickBot="1" x14ac:dyDescent="0.3">
      <c r="A59" s="1334"/>
      <c r="B59" s="1335"/>
      <c r="C59" s="1336"/>
      <c r="D59" s="1342"/>
      <c r="E59" s="1339"/>
      <c r="F59" s="1340"/>
      <c r="G59" s="1347" t="s">
        <v>541</v>
      </c>
      <c r="H59" s="1348"/>
      <c r="I59" s="1348"/>
      <c r="J59" s="1349"/>
      <c r="K59" s="19"/>
      <c r="L59" s="247"/>
      <c r="M59" s="386"/>
      <c r="N59" s="386" t="s">
        <v>488</v>
      </c>
      <c r="O59" s="385"/>
      <c r="P59" s="385" t="s">
        <v>4</v>
      </c>
      <c r="Q59" s="385" t="s">
        <v>486</v>
      </c>
      <c r="R59" s="385" t="s">
        <v>487</v>
      </c>
      <c r="S59" s="247"/>
      <c r="T59" s="247"/>
      <c r="U59" s="406">
        <v>4</v>
      </c>
      <c r="V59" s="407" t="s">
        <v>508</v>
      </c>
      <c r="W59" s="407">
        <f>SUMIF($BG$23:$BG$38,$U59,$W$23:$W$38)</f>
        <v>0</v>
      </c>
      <c r="X59" s="407">
        <f>SUMIF($BG$23:$BG$38,$U59,$AA$23:$AA$38)</f>
        <v>0</v>
      </c>
      <c r="Y59" s="407"/>
      <c r="Z59" s="407">
        <f t="shared" si="87"/>
        <v>0</v>
      </c>
      <c r="AA59" s="408">
        <f t="shared" si="88"/>
        <v>4</v>
      </c>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CJ59" s="299"/>
      <c r="CK59" s="299"/>
      <c r="CL59" s="291"/>
      <c r="CM59" s="292"/>
      <c r="CN59" s="247"/>
      <c r="CO59" s="247"/>
      <c r="CP59" s="149"/>
      <c r="CQ59" s="149"/>
      <c r="CR59" s="149"/>
      <c r="CS59" s="149"/>
      <c r="CT59" s="149"/>
      <c r="CU59" s="149"/>
      <c r="CV59" s="149"/>
      <c r="CW59" s="149"/>
      <c r="CX59" s="149"/>
      <c r="CY59" s="149"/>
    </row>
    <row r="60" spans="1:107" s="151" customFormat="1" ht="17.850000000000001" customHeight="1" x14ac:dyDescent="0.25">
      <c r="A60" s="1343"/>
      <c r="B60" s="1344"/>
      <c r="C60" s="1328"/>
      <c r="D60" s="1107"/>
      <c r="E60" s="1327">
        <v>100</v>
      </c>
      <c r="F60" s="1328"/>
      <c r="G60" s="1350" t="str">
        <f>P60</f>
        <v/>
      </c>
      <c r="H60" s="1351"/>
      <c r="I60" s="625" t="str">
        <f t="shared" ref="I60:J64" si="89">Q60</f>
        <v/>
      </c>
      <c r="J60" s="626" t="str">
        <f t="shared" si="89"/>
        <v/>
      </c>
      <c r="K60" s="19"/>
      <c r="L60" s="247"/>
      <c r="M60" s="385">
        <f>D60*E60/100</f>
        <v>0</v>
      </c>
      <c r="N60" s="387" t="e">
        <f>M60/$M$65</f>
        <v>#DIV/0!</v>
      </c>
      <c r="O60" s="385"/>
      <c r="P60" s="385" t="str">
        <f>IFERROR($D$55*N60/D60,"")</f>
        <v/>
      </c>
      <c r="Q60" s="385" t="str">
        <f>IFERROR($D$56*N60/D60,"")</f>
        <v/>
      </c>
      <c r="R60" s="385" t="str">
        <f>IFERROR($D$57*N60/D60,"")</f>
        <v/>
      </c>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CJ60" s="299"/>
      <c r="CK60" s="299"/>
      <c r="CL60" s="291"/>
      <c r="CM60" s="292"/>
      <c r="CN60" s="247"/>
      <c r="CO60" s="247"/>
      <c r="CP60" s="149"/>
      <c r="CQ60" s="149"/>
      <c r="CR60" s="149"/>
      <c r="CS60" s="149"/>
      <c r="CT60" s="149"/>
      <c r="CU60" s="149"/>
      <c r="CV60" s="149"/>
      <c r="CW60" s="149"/>
      <c r="CX60" s="149"/>
      <c r="CY60" s="149"/>
    </row>
    <row r="61" spans="1:107" s="151" customFormat="1" ht="17.850000000000001" customHeight="1" x14ac:dyDescent="0.25">
      <c r="A61" s="1315"/>
      <c r="B61" s="1316"/>
      <c r="C61" s="1317"/>
      <c r="D61" s="1108"/>
      <c r="E61" s="1329">
        <v>60</v>
      </c>
      <c r="F61" s="1317"/>
      <c r="G61" s="1352" t="str">
        <f>P61</f>
        <v/>
      </c>
      <c r="H61" s="1353"/>
      <c r="I61" s="627" t="str">
        <f t="shared" si="89"/>
        <v/>
      </c>
      <c r="J61" s="628" t="str">
        <f t="shared" si="89"/>
        <v/>
      </c>
      <c r="K61" s="19"/>
      <c r="L61" s="247"/>
      <c r="M61" s="385">
        <f>D61*E61/100</f>
        <v>0</v>
      </c>
      <c r="N61" s="387" t="e">
        <f>M61/$M$65</f>
        <v>#DIV/0!</v>
      </c>
      <c r="O61" s="385"/>
      <c r="P61" s="385" t="str">
        <f>IFERROR($D$55*N61/D61,"")</f>
        <v/>
      </c>
      <c r="Q61" s="385" t="str">
        <f>IFERROR($D$56*N61/D61,"")</f>
        <v/>
      </c>
      <c r="R61" s="385" t="str">
        <f>IFERROR($D$57*N61/D61,"")</f>
        <v/>
      </c>
      <c r="S61" s="247"/>
      <c r="T61" s="247"/>
      <c r="U61" s="247"/>
      <c r="V61" s="247"/>
      <c r="W61" s="247"/>
      <c r="X61" s="247"/>
      <c r="Y61" s="247"/>
      <c r="Z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CJ61" s="299"/>
      <c r="CK61" s="299"/>
      <c r="CL61" s="291"/>
      <c r="CM61" s="292"/>
      <c r="CN61" s="247"/>
      <c r="CO61" s="247"/>
      <c r="CP61" s="149"/>
      <c r="CQ61" s="149"/>
      <c r="CR61" s="149"/>
      <c r="CS61" s="149"/>
      <c r="CT61" s="149"/>
      <c r="CU61" s="149"/>
      <c r="CV61" s="149"/>
      <c r="CW61" s="149"/>
      <c r="CX61" s="149"/>
      <c r="CY61" s="149"/>
    </row>
    <row r="62" spans="1:107" s="151" customFormat="1" ht="17.850000000000001" customHeight="1" x14ac:dyDescent="0.25">
      <c r="A62" s="1315"/>
      <c r="B62" s="1316"/>
      <c r="C62" s="1317"/>
      <c r="D62" s="1108"/>
      <c r="E62" s="1329">
        <v>20</v>
      </c>
      <c r="F62" s="1317"/>
      <c r="G62" s="1352" t="str">
        <f>P62</f>
        <v/>
      </c>
      <c r="H62" s="1353"/>
      <c r="I62" s="627" t="str">
        <f t="shared" si="89"/>
        <v/>
      </c>
      <c r="J62" s="628" t="str">
        <f t="shared" si="89"/>
        <v/>
      </c>
      <c r="K62" s="19"/>
      <c r="L62" s="247"/>
      <c r="M62" s="385">
        <f>D62*E62/100</f>
        <v>0</v>
      </c>
      <c r="N62" s="387" t="e">
        <f>M62/$M$65</f>
        <v>#DIV/0!</v>
      </c>
      <c r="O62" s="385"/>
      <c r="P62" s="385" t="str">
        <f>IFERROR($D$55*N62/D62,"")</f>
        <v/>
      </c>
      <c r="Q62" s="385" t="str">
        <f>IFERROR($D$56*N62/D62,"")</f>
        <v/>
      </c>
      <c r="R62" s="385" t="str">
        <f>IFERROR($D$57*N62/D62,"")</f>
        <v/>
      </c>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CJ62" s="299"/>
      <c r="CK62" s="299"/>
      <c r="CL62" s="291"/>
      <c r="CM62" s="292"/>
      <c r="CN62" s="247"/>
      <c r="CO62" s="247"/>
      <c r="CP62" s="149"/>
      <c r="CQ62" s="149"/>
      <c r="CR62" s="149"/>
      <c r="CS62" s="149"/>
      <c r="CT62" s="149"/>
      <c r="CU62" s="149"/>
      <c r="CV62" s="149"/>
      <c r="CW62" s="149"/>
      <c r="CX62" s="149"/>
      <c r="CY62" s="149"/>
    </row>
    <row r="63" spans="1:107" s="151" customFormat="1" ht="17.850000000000001" customHeight="1" x14ac:dyDescent="0.25">
      <c r="A63" s="1315"/>
      <c r="B63" s="1316"/>
      <c r="C63" s="1317"/>
      <c r="D63" s="1108"/>
      <c r="E63" s="1329"/>
      <c r="F63" s="1317"/>
      <c r="G63" s="1352" t="str">
        <f>P63</f>
        <v/>
      </c>
      <c r="H63" s="1353"/>
      <c r="I63" s="627" t="str">
        <f t="shared" si="89"/>
        <v/>
      </c>
      <c r="J63" s="628" t="str">
        <f t="shared" si="89"/>
        <v/>
      </c>
      <c r="K63" s="19"/>
      <c r="L63" s="247"/>
      <c r="M63" s="385">
        <f>D63*E63/100</f>
        <v>0</v>
      </c>
      <c r="N63" s="387" t="e">
        <f>M63/$M$65</f>
        <v>#DIV/0!</v>
      </c>
      <c r="O63" s="385"/>
      <c r="P63" s="385" t="str">
        <f>IFERROR($D$55*N63/D63,"")</f>
        <v/>
      </c>
      <c r="Q63" s="385" t="str">
        <f>IFERROR($D$56*N63/D63,"")</f>
        <v/>
      </c>
      <c r="R63" s="385" t="str">
        <f>IFERROR($D$57*N63/D63,"")</f>
        <v/>
      </c>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CJ63" s="299"/>
      <c r="CK63" s="299"/>
      <c r="CL63" s="291"/>
      <c r="CM63" s="292"/>
      <c r="CN63" s="247"/>
      <c r="CO63" s="247"/>
      <c r="CP63" s="149"/>
      <c r="CQ63" s="149"/>
      <c r="CR63" s="149"/>
      <c r="CS63" s="149"/>
      <c r="CT63" s="149"/>
      <c r="CU63" s="149"/>
      <c r="CV63" s="149"/>
      <c r="CW63" s="149"/>
      <c r="CX63" s="149"/>
      <c r="CY63" s="149"/>
    </row>
    <row r="64" spans="1:107" s="151" customFormat="1" ht="17.850000000000001" customHeight="1" thickBot="1" x14ac:dyDescent="0.3">
      <c r="A64" s="1318"/>
      <c r="B64" s="1319"/>
      <c r="C64" s="1320"/>
      <c r="D64" s="1109"/>
      <c r="E64" s="1330"/>
      <c r="F64" s="1320"/>
      <c r="G64" s="1286" t="str">
        <f>P64</f>
        <v/>
      </c>
      <c r="H64" s="1287"/>
      <c r="I64" s="629" t="str">
        <f t="shared" si="89"/>
        <v/>
      </c>
      <c r="J64" s="630" t="str">
        <f t="shared" si="89"/>
        <v/>
      </c>
      <c r="K64" s="19"/>
      <c r="L64" s="247"/>
      <c r="M64" s="388">
        <f>D64*E64/100</f>
        <v>0</v>
      </c>
      <c r="N64" s="387" t="e">
        <f>M64/$M$65</f>
        <v>#DIV/0!</v>
      </c>
      <c r="O64" s="385"/>
      <c r="P64" s="385" t="str">
        <f>IFERROR($D$55*N64/D64,"")</f>
        <v/>
      </c>
      <c r="Q64" s="385" t="str">
        <f>IFERROR($D$56*N64/D64,"")</f>
        <v/>
      </c>
      <c r="R64" s="385" t="str">
        <f>IFERROR($D$57*N64/D64,"")</f>
        <v/>
      </c>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CJ64" s="299"/>
      <c r="CK64" s="299"/>
      <c r="CL64" s="291"/>
      <c r="CM64" s="292"/>
      <c r="CN64" s="247"/>
      <c r="CO64" s="247"/>
      <c r="CP64" s="149"/>
      <c r="CQ64" s="149"/>
      <c r="CR64" s="149"/>
      <c r="CS64" s="149"/>
      <c r="CT64" s="149"/>
      <c r="CU64" s="149"/>
      <c r="CV64" s="149"/>
      <c r="CW64" s="149"/>
      <c r="CX64" s="149"/>
      <c r="CY64" s="149"/>
    </row>
    <row r="65" spans="1:103" s="151" customFormat="1" ht="17.850000000000001" customHeight="1" x14ac:dyDescent="0.25">
      <c r="A65" s="572"/>
      <c r="B65" s="572"/>
      <c r="C65" s="572"/>
      <c r="D65" s="572"/>
      <c r="E65" s="572"/>
      <c r="F65" s="572"/>
      <c r="G65" s="572"/>
      <c r="H65" s="572"/>
      <c r="I65" s="572"/>
      <c r="J65" s="149"/>
      <c r="K65" s="19"/>
      <c r="L65" s="385" t="s">
        <v>265</v>
      </c>
      <c r="M65" s="386">
        <f>SUM(M60:M64)</f>
        <v>0</v>
      </c>
      <c r="N65" s="386"/>
      <c r="O65" s="385"/>
      <c r="P65" s="385"/>
      <c r="Q65" s="385"/>
      <c r="R65" s="385"/>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CJ65" s="299"/>
      <c r="CK65" s="299"/>
      <c r="CL65" s="291"/>
      <c r="CM65" s="292"/>
      <c r="CN65" s="247"/>
      <c r="CO65" s="247"/>
      <c r="CP65" s="149"/>
      <c r="CQ65" s="149"/>
      <c r="CR65" s="149"/>
      <c r="CS65" s="149"/>
      <c r="CT65" s="149"/>
      <c r="CU65" s="149"/>
      <c r="CV65" s="149"/>
      <c r="CW65" s="149"/>
      <c r="CX65" s="149"/>
      <c r="CY65" s="149"/>
    </row>
    <row r="66" spans="1:103" s="151" customFormat="1" ht="9" customHeight="1" thickBot="1" x14ac:dyDescent="0.3">
      <c r="A66" s="619"/>
      <c r="B66" s="619"/>
      <c r="C66" s="619"/>
      <c r="D66" s="619"/>
      <c r="E66" s="619"/>
      <c r="F66" s="619"/>
      <c r="G66" s="619"/>
      <c r="H66" s="619"/>
      <c r="I66" s="619"/>
      <c r="J66" s="149"/>
      <c r="K66" s="19"/>
      <c r="L66" s="149"/>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CJ66" s="299"/>
      <c r="CK66" s="299"/>
      <c r="CL66" s="291"/>
      <c r="CM66" s="292"/>
      <c r="CN66" s="247"/>
      <c r="CO66" s="247"/>
      <c r="CP66" s="149"/>
      <c r="CQ66" s="149"/>
      <c r="CR66" s="149"/>
      <c r="CS66" s="149"/>
      <c r="CT66" s="149"/>
      <c r="CU66" s="149"/>
      <c r="CV66" s="149"/>
      <c r="CW66" s="149"/>
      <c r="CX66" s="149"/>
      <c r="CY66" s="149"/>
    </row>
    <row r="67" spans="1:103" s="151" customFormat="1" ht="15.75" customHeight="1" thickBot="1" x14ac:dyDescent="0.3">
      <c r="A67" s="631" t="s">
        <v>7921</v>
      </c>
      <c r="B67" s="632"/>
      <c r="C67" s="632"/>
      <c r="D67" s="632"/>
      <c r="E67" s="632"/>
      <c r="F67" s="632"/>
      <c r="G67" s="632"/>
      <c r="H67" s="632"/>
      <c r="I67" s="632"/>
      <c r="J67" s="586"/>
      <c r="K67" s="19"/>
      <c r="L67" s="149"/>
      <c r="M67" s="247"/>
      <c r="N67" s="247"/>
      <c r="O67" s="247"/>
      <c r="P67" s="247"/>
      <c r="Q67" s="247"/>
      <c r="R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CJ67" s="299"/>
      <c r="CK67" s="299"/>
      <c r="CL67" s="291"/>
      <c r="CM67" s="292"/>
      <c r="CN67" s="247"/>
      <c r="CO67" s="247"/>
      <c r="CP67" s="149"/>
      <c r="CQ67" s="149"/>
      <c r="CR67" s="149"/>
      <c r="CS67" s="149"/>
      <c r="CT67" s="149"/>
      <c r="CU67" s="149"/>
      <c r="CV67" s="149"/>
      <c r="CW67" s="149"/>
      <c r="CX67" s="149"/>
      <c r="CY67" s="149"/>
    </row>
    <row r="68" spans="1:103" s="151" customFormat="1" ht="6.75" customHeight="1" thickBot="1" x14ac:dyDescent="0.3">
      <c r="A68" s="619"/>
      <c r="B68" s="619"/>
      <c r="C68" s="619"/>
      <c r="D68" s="619"/>
      <c r="E68" s="619"/>
      <c r="F68" s="619"/>
      <c r="G68" s="619"/>
      <c r="H68" s="619"/>
      <c r="I68" s="619"/>
      <c r="J68" s="149"/>
      <c r="K68" s="19"/>
      <c r="L68" s="149"/>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CJ68" s="299"/>
      <c r="CK68" s="299"/>
      <c r="CL68" s="291"/>
      <c r="CM68" s="292"/>
      <c r="CN68" s="247"/>
      <c r="CO68" s="247"/>
      <c r="CP68" s="149"/>
      <c r="CQ68" s="149"/>
      <c r="CR68" s="149"/>
      <c r="CS68" s="149"/>
      <c r="CT68" s="149"/>
      <c r="CU68" s="149"/>
      <c r="CV68" s="149"/>
      <c r="CW68" s="149"/>
      <c r="CX68" s="149"/>
      <c r="CY68" s="149"/>
    </row>
    <row r="69" spans="1:103" s="151" customFormat="1" ht="15.75" customHeight="1" x14ac:dyDescent="0.25">
      <c r="A69" s="633"/>
      <c r="B69" s="634" t="s">
        <v>325</v>
      </c>
      <c r="C69" s="635" t="s">
        <v>326</v>
      </c>
      <c r="D69" s="636" t="s">
        <v>4</v>
      </c>
      <c r="E69" s="637" t="s">
        <v>521</v>
      </c>
      <c r="F69" s="634" t="s">
        <v>351</v>
      </c>
      <c r="G69" s="638" t="s">
        <v>352</v>
      </c>
      <c r="H69" s="1408" t="s">
        <v>491</v>
      </c>
      <c r="I69" s="1409"/>
      <c r="J69" s="1410"/>
      <c r="K69" s="19"/>
      <c r="M69" s="149"/>
      <c r="N69" s="419"/>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CJ69" s="299"/>
      <c r="CK69" s="299"/>
      <c r="CL69" s="326"/>
      <c r="CM69" s="327"/>
      <c r="CN69" s="247"/>
      <c r="CO69" s="247"/>
      <c r="CP69" s="149"/>
      <c r="CQ69" s="149"/>
      <c r="CR69" s="149"/>
      <c r="CS69" s="149"/>
      <c r="CT69" s="149"/>
      <c r="CU69" s="149"/>
      <c r="CV69" s="149"/>
      <c r="CW69" s="149"/>
      <c r="CX69" s="149"/>
      <c r="CY69" s="149"/>
    </row>
    <row r="70" spans="1:103" s="151" customFormat="1" ht="15.75" customHeight="1" x14ac:dyDescent="0.25">
      <c r="A70" s="639"/>
      <c r="B70" s="640" t="s">
        <v>1</v>
      </c>
      <c r="C70" s="641" t="s">
        <v>2</v>
      </c>
      <c r="D70" s="1411" t="s">
        <v>650</v>
      </c>
      <c r="E70" s="1419"/>
      <c r="F70" s="1419"/>
      <c r="G70" s="1420"/>
      <c r="H70" s="1411"/>
      <c r="I70" s="1412"/>
      <c r="J70" s="1413"/>
      <c r="K70" s="19"/>
      <c r="L70" s="149"/>
      <c r="M70" s="247"/>
      <c r="N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CJ70" s="299"/>
      <c r="CK70" s="299"/>
      <c r="CL70" s="326"/>
      <c r="CM70" s="327"/>
      <c r="CN70" s="247"/>
      <c r="CO70" s="247"/>
      <c r="CP70" s="149"/>
      <c r="CQ70" s="149"/>
      <c r="CR70" s="149"/>
      <c r="CS70" s="149"/>
      <c r="CT70" s="149"/>
      <c r="CU70" s="149"/>
      <c r="CV70" s="149"/>
      <c r="CW70" s="149"/>
      <c r="CX70" s="149"/>
      <c r="CY70" s="149"/>
    </row>
    <row r="71" spans="1:103" s="151" customFormat="1" ht="15.75" customHeight="1" thickBot="1" x14ac:dyDescent="0.3">
      <c r="A71" s="642" t="s">
        <v>328</v>
      </c>
      <c r="B71" s="643">
        <f>M46</f>
        <v>0</v>
      </c>
      <c r="C71" s="644">
        <f>IF(C50=" ",0,C50)</f>
        <v>0</v>
      </c>
      <c r="D71" s="645">
        <f>IF(D50=" ",0,D50)</f>
        <v>0</v>
      </c>
      <c r="E71" s="646">
        <f>IF(E50=" ",0,E50)</f>
        <v>0</v>
      </c>
      <c r="F71" s="646">
        <f>IF(F50=" ",0,F50)</f>
        <v>0</v>
      </c>
      <c r="G71" s="647">
        <f>IF(G50=" ",0,G50)</f>
        <v>0</v>
      </c>
      <c r="H71" s="1414" t="str">
        <f>IF(B71=0,"---",H50)</f>
        <v>---</v>
      </c>
      <c r="I71" s="1415"/>
      <c r="J71" s="1416"/>
      <c r="K71" s="19"/>
      <c r="L71" s="149"/>
      <c r="O71" s="247"/>
      <c r="P71" s="247"/>
      <c r="Q71" s="247"/>
      <c r="R71" s="1209" t="s">
        <v>262</v>
      </c>
      <c r="S71" s="1209"/>
      <c r="T71" s="1209" t="s">
        <v>263</v>
      </c>
      <c r="U71" s="1209"/>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CJ71" s="299"/>
      <c r="CK71" s="299"/>
      <c r="CL71" s="326"/>
      <c r="CM71" s="327"/>
      <c r="CN71" s="247"/>
      <c r="CO71" s="247"/>
      <c r="CP71" s="149"/>
      <c r="CQ71" s="149"/>
      <c r="CR71" s="149"/>
      <c r="CS71" s="149"/>
      <c r="CT71" s="149"/>
      <c r="CU71" s="149"/>
      <c r="CV71" s="149"/>
      <c r="CW71" s="149"/>
      <c r="CX71" s="149"/>
      <c r="CY71" s="149"/>
    </row>
    <row r="72" spans="1:103" s="151" customFormat="1" ht="15.75" customHeight="1" x14ac:dyDescent="0.25">
      <c r="A72" s="136"/>
      <c r="B72" s="137"/>
      <c r="C72" s="140"/>
      <c r="D72" s="134"/>
      <c r="E72" s="134"/>
      <c r="F72" s="134"/>
      <c r="G72" s="140"/>
      <c r="H72" s="140"/>
      <c r="I72" s="140"/>
      <c r="J72" s="134"/>
      <c r="K72" s="19"/>
      <c r="L72" s="149"/>
      <c r="M72" s="247"/>
      <c r="N72" s="247"/>
      <c r="O72" s="247"/>
      <c r="P72" s="247"/>
      <c r="Q72" s="247"/>
      <c r="R72" s="151" t="s">
        <v>520</v>
      </c>
      <c r="T72" s="1210" t="s">
        <v>520</v>
      </c>
      <c r="U72" s="1211"/>
      <c r="V72" s="412"/>
      <c r="W72" s="400" t="s">
        <v>511</v>
      </c>
      <c r="X72" s="413"/>
      <c r="Y72" s="411"/>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CJ72" s="299"/>
      <c r="CK72" s="299"/>
      <c r="CL72" s="291"/>
      <c r="CM72" s="292"/>
      <c r="CN72" s="247"/>
      <c r="CO72" s="247"/>
      <c r="CP72" s="149"/>
      <c r="CQ72" s="149"/>
      <c r="CR72" s="149"/>
      <c r="CS72" s="149"/>
      <c r="CT72" s="149"/>
      <c r="CU72" s="149"/>
      <c r="CV72" s="149"/>
      <c r="CW72" s="149"/>
      <c r="CX72" s="149"/>
      <c r="CY72" s="149"/>
    </row>
    <row r="73" spans="1:103" s="151" customFormat="1" ht="15.75" customHeight="1" x14ac:dyDescent="0.3">
      <c r="A73" s="133"/>
      <c r="B73" s="141"/>
      <c r="C73" s="141"/>
      <c r="D73" s="141"/>
      <c r="E73" s="141"/>
      <c r="F73" s="141"/>
      <c r="G73" s="141"/>
      <c r="H73" s="141"/>
      <c r="I73" s="141"/>
      <c r="J73" s="141"/>
      <c r="K73" s="19"/>
      <c r="L73" s="149"/>
      <c r="M73" s="247"/>
      <c r="N73" s="247" t="s">
        <v>513</v>
      </c>
      <c r="O73" s="247"/>
      <c r="P73" s="247" t="s">
        <v>514</v>
      </c>
      <c r="Q73" s="247"/>
      <c r="R73" s="151" t="s">
        <v>326</v>
      </c>
      <c r="S73" s="151" t="s">
        <v>514</v>
      </c>
      <c r="T73" s="151" t="s">
        <v>326</v>
      </c>
      <c r="U73" s="247" t="s">
        <v>514</v>
      </c>
      <c r="V73" s="402"/>
      <c r="W73" s="247" t="s">
        <v>262</v>
      </c>
      <c r="X73" s="405" t="s">
        <v>263</v>
      </c>
      <c r="Y73" s="411"/>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CJ73" s="299"/>
      <c r="CK73" s="299"/>
      <c r="CL73" s="291"/>
      <c r="CM73" s="292"/>
      <c r="CN73" s="247"/>
      <c r="CO73" s="247"/>
      <c r="CP73" s="149"/>
      <c r="CQ73" s="149"/>
      <c r="CR73" s="149"/>
      <c r="CS73" s="149"/>
      <c r="CT73" s="149"/>
      <c r="CU73" s="149"/>
      <c r="CV73" s="149"/>
      <c r="CW73" s="149"/>
      <c r="CX73" s="149"/>
      <c r="CY73" s="149"/>
    </row>
    <row r="74" spans="1:103" s="151" customFormat="1" ht="15.75" customHeight="1" thickBot="1" x14ac:dyDescent="0.3">
      <c r="A74" s="138"/>
      <c r="B74" s="4"/>
      <c r="C74" s="4"/>
      <c r="D74" s="4"/>
      <c r="E74" s="4"/>
      <c r="F74" s="4"/>
      <c r="G74" s="4"/>
      <c r="H74" s="4"/>
      <c r="I74" s="4"/>
      <c r="J74" s="4"/>
      <c r="K74" s="19"/>
      <c r="L74" s="149"/>
      <c r="M74" s="247"/>
      <c r="N74" s="456">
        <v>30</v>
      </c>
      <c r="O74" s="456"/>
      <c r="P74" s="456">
        <f>100-N74</f>
        <v>70</v>
      </c>
      <c r="Q74" s="317"/>
      <c r="R74" s="419">
        <f>IF(OR(C71="0,00",B71=0,D75=0),0,B71*D75/100*D71*N74/100/(B71*D75/100*C71/100)*F89*F90/100)</f>
        <v>0</v>
      </c>
      <c r="S74" s="420">
        <f>IF(OR(C71="0,00",B71=0,D75=0),0,B71*D75/100*D71*P74/100/(B71*D75/100*(1-(C71/100)))*F89*(1-(F90/100)))</f>
        <v>0</v>
      </c>
      <c r="T74" s="420">
        <f>IF(OR(C71="0,00",B71=0,D75=0),0,B71*D75/100*D71*N74/100/(B71*D75/100*C71/100)*J89*J90/100)</f>
        <v>0</v>
      </c>
      <c r="U74" s="317">
        <f>IF(OR(C71="0,00",B71=0,D75=0),0,B71*D75/100*D71*P74/100/(B71*D75/100*(1-(C71/100)))*J89*(1-(J90/100)))</f>
        <v>0</v>
      </c>
      <c r="V74" s="414" t="s">
        <v>4</v>
      </c>
      <c r="W74" s="151">
        <f>IF($F$89=0,0,(R74+S74)/$F$89)</f>
        <v>0</v>
      </c>
      <c r="X74" s="405" t="e">
        <f>IF($J$89=0,0,(T74+U74)/$J$89)</f>
        <v>#DIV/0!</v>
      </c>
      <c r="Y74" s="411"/>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CJ74" s="299"/>
      <c r="CK74" s="299"/>
      <c r="CL74" s="291"/>
      <c r="CM74" s="292"/>
      <c r="CN74" s="247"/>
      <c r="CO74" s="247"/>
      <c r="CP74" s="149"/>
      <c r="CQ74" s="149"/>
      <c r="CR74" s="149"/>
      <c r="CS74" s="149"/>
      <c r="CT74" s="149"/>
      <c r="CU74" s="149"/>
      <c r="CV74" s="149"/>
      <c r="CW74" s="149"/>
      <c r="CX74" s="149"/>
      <c r="CY74" s="149"/>
    </row>
    <row r="75" spans="1:103" s="151" customFormat="1" ht="15.75" customHeight="1" thickBot="1" x14ac:dyDescent="0.35">
      <c r="A75" s="4"/>
      <c r="B75" s="132"/>
      <c r="C75" s="212">
        <f>100-D75</f>
        <v>100</v>
      </c>
      <c r="D75" s="1110"/>
      <c r="E75" s="446" t="s">
        <v>350</v>
      </c>
      <c r="F75" s="132"/>
      <c r="G75" s="132"/>
      <c r="H75" s="132"/>
      <c r="I75" s="132"/>
      <c r="J75" s="132"/>
      <c r="K75" s="19"/>
      <c r="L75" s="149"/>
      <c r="M75" s="247"/>
      <c r="N75" s="457">
        <v>10</v>
      </c>
      <c r="O75" s="456"/>
      <c r="P75" s="456">
        <f t="shared" ref="P75:P77" si="90">100-N75</f>
        <v>90</v>
      </c>
      <c r="Q75" s="317"/>
      <c r="R75" s="420">
        <f>IF(OR(C71="0,00",B71=0,D75=0),0,B71*D75/100*E71*N75/100/(B71*D75/100*C71/100)*F89*F90/100)</f>
        <v>0</v>
      </c>
      <c r="S75" s="420">
        <f>IF(OR(C71="0,00",B71=0,D75=0),0,B71*D75/100*E71*P75/100/(B71*D75/100*(1-(C71/100)))*F89*(1-(F90/100)))</f>
        <v>0</v>
      </c>
      <c r="T75" s="420">
        <f>IF(OR(C71="0,00",B71=0,D75=0),0,B71*D75/100*E71*N75/100/(B71*D75/100*C71/100)*J89*J90/100)</f>
        <v>0</v>
      </c>
      <c r="U75" s="317">
        <f>IF(OR(C71="0,00",B71=0,D75=0),0,B71*D75/100*E71*P75/100/(B71*D75/100*(1-(C71/100)))*J89*(1-(J90/100)))</f>
        <v>0</v>
      </c>
      <c r="V75" s="415" t="s">
        <v>464</v>
      </c>
      <c r="W75" s="247">
        <f>IF($F$89=0,0,(R75+S75)/$F$89)</f>
        <v>0</v>
      </c>
      <c r="X75" s="405" t="e">
        <f>IF($J$89=0,0,(T75+U75)/$J$89)</f>
        <v>#DIV/0!</v>
      </c>
      <c r="Y75" s="411"/>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CJ75" s="299"/>
      <c r="CK75" s="299"/>
      <c r="CL75" s="291"/>
      <c r="CM75" s="292"/>
      <c r="CN75" s="247"/>
      <c r="CO75" s="247"/>
      <c r="CP75" s="149"/>
      <c r="CQ75" s="149"/>
      <c r="CR75" s="149"/>
      <c r="CS75" s="149"/>
      <c r="CT75" s="149"/>
      <c r="CU75" s="149"/>
      <c r="CV75" s="149"/>
      <c r="CW75" s="149"/>
      <c r="CX75" s="149"/>
      <c r="CY75" s="149"/>
    </row>
    <row r="76" spans="1:103" s="151" customFormat="1" ht="15.75" customHeight="1" x14ac:dyDescent="0.3">
      <c r="A76" s="138"/>
      <c r="B76" s="132"/>
      <c r="C76" s="139"/>
      <c r="D76" s="134"/>
      <c r="E76" s="135"/>
      <c r="F76" s="132"/>
      <c r="G76" s="132"/>
      <c r="H76" s="132"/>
      <c r="I76" s="132"/>
      <c r="J76" s="132"/>
      <c r="K76" s="19"/>
      <c r="L76" s="149"/>
      <c r="M76" s="247"/>
      <c r="N76" s="458">
        <v>75</v>
      </c>
      <c r="O76" s="456"/>
      <c r="P76" s="456">
        <f t="shared" si="90"/>
        <v>25</v>
      </c>
      <c r="Q76" s="317"/>
      <c r="R76" s="420">
        <f>IF(OR(C71="0,00",B71=0,D75=0),0,B71*D75/100*F71*N76/100/(B71*D75/100*C71/100)*F89*F90/100)</f>
        <v>0</v>
      </c>
      <c r="S76" s="420">
        <f>IF(OR(C71="0,00",B71=0,D75=0),0,B71*D75/100*F71*P76/100/(B71*D75/100*(1-(C71/100)))*F89*(1-(F90/100)))</f>
        <v>0</v>
      </c>
      <c r="T76" s="420">
        <f>IF(OR(C71="0,00",B71=0,D75=0),0,B71*D75/100*F71*N76/100/(B71*D75/100*C71/100)*J89*J90/100)</f>
        <v>0</v>
      </c>
      <c r="U76" s="317">
        <f>IF(OR(C71="0,00",B71=0,D75=0),0,B71*D75/100*F71*P76/100/(B71*D75/100*(1-(C71/100)))*J89*(1-(J90/100)))</f>
        <v>0</v>
      </c>
      <c r="V76" s="414" t="s">
        <v>339</v>
      </c>
      <c r="W76" s="247">
        <f>IF($F$89=0,0,(R76+S76)/$F$89)</f>
        <v>0</v>
      </c>
      <c r="X76" s="405" t="e">
        <f>IF($J$89=0,0,(T76+U76)/$J$89)</f>
        <v>#DIV/0!</v>
      </c>
      <c r="Y76" s="411"/>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CJ76" s="299"/>
      <c r="CK76" s="299"/>
      <c r="CL76" s="291"/>
      <c r="CM76" s="292"/>
      <c r="CN76" s="247"/>
      <c r="CO76" s="247"/>
      <c r="CP76" s="149"/>
      <c r="CQ76" s="149"/>
      <c r="CR76" s="149"/>
      <c r="CS76" s="149"/>
      <c r="CT76" s="149"/>
      <c r="CU76" s="149"/>
      <c r="CV76" s="149"/>
      <c r="CW76" s="149"/>
      <c r="CX76" s="149"/>
      <c r="CY76" s="149"/>
    </row>
    <row r="77" spans="1:103" s="151" customFormat="1" ht="15.75" customHeight="1" thickBot="1" x14ac:dyDescent="0.35">
      <c r="A77" s="138"/>
      <c r="B77" s="132"/>
      <c r="C77" s="139"/>
      <c r="D77" s="134"/>
      <c r="E77" s="135"/>
      <c r="F77" s="132"/>
      <c r="G77" s="132"/>
      <c r="H77" s="132"/>
      <c r="I77" s="132"/>
      <c r="J77" s="132"/>
      <c r="K77" s="19"/>
      <c r="L77" s="149"/>
      <c r="M77" s="247"/>
      <c r="N77" s="457">
        <v>10</v>
      </c>
      <c r="O77" s="456"/>
      <c r="P77" s="456">
        <f t="shared" si="90"/>
        <v>90</v>
      </c>
      <c r="Q77" s="317"/>
      <c r="R77" s="420">
        <f>IF(OR(C71="0,00",B71=0,D75=0),0,B71*D75/100*G71*N77/100/(B71*D75/100*C71/100)*F89*F90/100)</f>
        <v>0</v>
      </c>
      <c r="S77" s="420">
        <f>IF(OR(C71="0,00",B71=0,D75=0),0,B71*D75/100*G71*P77/100/(B71*D75/100*(1-(C71/100)))*F89*(1-(F90/100)))</f>
        <v>0</v>
      </c>
      <c r="T77" s="420">
        <f>IF(OR(C71="0,00",B71=0,D75=0),0,B71*D75/100*G71*N77/100/(B71*D75/100*C71/100)*J89*J90/100)</f>
        <v>0</v>
      </c>
      <c r="U77" s="317">
        <f>IF(OR(C71="0,00",B71=0,D75=0),0,B71*D75/100*G71*P77/100/(B71*D75/100*(1-(C71/100)))*J89*(1-(J90/100)))</f>
        <v>0</v>
      </c>
      <c r="V77" s="416" t="s">
        <v>340</v>
      </c>
      <c r="W77" s="407">
        <f>IF($F$89=0,0,(R77+S77)/$F$89)</f>
        <v>0</v>
      </c>
      <c r="X77" s="408" t="e">
        <f>IF($J$89=0,0,(T77+U77)/$J$89)</f>
        <v>#DIV/0!</v>
      </c>
      <c r="Y77" s="411"/>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CJ77" s="299"/>
      <c r="CK77" s="299"/>
      <c r="CL77" s="291"/>
      <c r="CM77" s="292"/>
      <c r="CN77" s="247"/>
      <c r="CO77" s="247"/>
      <c r="CP77" s="149"/>
      <c r="CQ77" s="149"/>
      <c r="CR77" s="149"/>
      <c r="CS77" s="149"/>
      <c r="CT77" s="149"/>
      <c r="CU77" s="149"/>
      <c r="CV77" s="149"/>
      <c r="CW77" s="149"/>
      <c r="CX77" s="149"/>
      <c r="CY77" s="149"/>
    </row>
    <row r="78" spans="1:103" s="151" customFormat="1" ht="15.75" customHeight="1" x14ac:dyDescent="0.3">
      <c r="A78" s="138"/>
      <c r="B78" s="132"/>
      <c r="C78" s="139"/>
      <c r="D78" s="134"/>
      <c r="E78" s="135"/>
      <c r="F78" s="132"/>
      <c r="G78" s="132"/>
      <c r="H78" s="132"/>
      <c r="I78" s="132"/>
      <c r="J78" s="132"/>
      <c r="K78" s="19"/>
      <c r="L78" s="149"/>
      <c r="M78" s="247"/>
      <c r="N78" s="392"/>
      <c r="O78" s="247"/>
      <c r="P78" s="247"/>
      <c r="Q78" s="247"/>
      <c r="R78" s="247"/>
      <c r="S78" s="247"/>
      <c r="T78" s="247"/>
      <c r="U78" s="247"/>
      <c r="V78" s="247"/>
      <c r="W78" s="411"/>
      <c r="X78" s="411"/>
      <c r="Y78" s="411"/>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CJ78" s="299"/>
      <c r="CK78" s="299"/>
      <c r="CL78" s="291"/>
      <c r="CM78" s="292"/>
      <c r="CN78" s="247"/>
      <c r="CO78" s="247"/>
      <c r="CP78" s="149"/>
      <c r="CQ78" s="149"/>
      <c r="CR78" s="149"/>
      <c r="CS78" s="149"/>
      <c r="CT78" s="149"/>
      <c r="CU78" s="149"/>
      <c r="CV78" s="149"/>
      <c r="CW78" s="149"/>
      <c r="CX78" s="149"/>
      <c r="CY78" s="149"/>
    </row>
    <row r="79" spans="1:103" s="151" customFormat="1" ht="15.75" customHeight="1" x14ac:dyDescent="0.3">
      <c r="A79" s="138"/>
      <c r="B79" s="132"/>
      <c r="C79" s="139"/>
      <c r="D79" s="134"/>
      <c r="E79" s="135"/>
      <c r="F79" s="132"/>
      <c r="G79" s="132"/>
      <c r="H79" s="132"/>
      <c r="I79" s="132"/>
      <c r="J79" s="132"/>
      <c r="K79" s="19"/>
      <c r="L79" s="149"/>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CJ79" s="299"/>
      <c r="CK79" s="299"/>
      <c r="CL79" s="291"/>
      <c r="CM79" s="292"/>
      <c r="CN79" s="247"/>
      <c r="CO79" s="247"/>
      <c r="CP79" s="149"/>
      <c r="CQ79" s="149"/>
      <c r="CR79" s="149"/>
      <c r="CS79" s="149"/>
      <c r="CT79" s="149"/>
      <c r="CU79" s="149"/>
      <c r="CV79" s="149"/>
      <c r="CW79" s="149"/>
      <c r="CX79" s="149"/>
      <c r="CY79" s="149"/>
    </row>
    <row r="80" spans="1:103" s="151" customFormat="1" ht="15.75" customHeight="1" x14ac:dyDescent="0.3">
      <c r="A80" s="138"/>
      <c r="B80" s="132"/>
      <c r="C80" s="139"/>
      <c r="D80" s="134"/>
      <c r="E80" s="135"/>
      <c r="F80" s="132"/>
      <c r="G80" s="132"/>
      <c r="H80" s="132"/>
      <c r="I80" s="132"/>
      <c r="J80" s="132"/>
      <c r="K80" s="19"/>
      <c r="L80" s="149"/>
      <c r="M80" s="247"/>
      <c r="N80" s="247"/>
      <c r="O80" s="247"/>
      <c r="P80" s="247"/>
      <c r="Q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CJ80" s="299"/>
      <c r="CK80" s="299"/>
      <c r="CL80" s="291"/>
      <c r="CM80" s="292"/>
      <c r="CN80" s="247"/>
      <c r="CO80" s="247"/>
      <c r="CP80" s="149"/>
      <c r="CQ80" s="149"/>
      <c r="CR80" s="149"/>
      <c r="CS80" s="149"/>
      <c r="CT80" s="149"/>
      <c r="CU80" s="149"/>
      <c r="CV80" s="149"/>
      <c r="CW80" s="149"/>
      <c r="CX80" s="149"/>
      <c r="CY80" s="149"/>
    </row>
    <row r="81" spans="1:103" s="151" customFormat="1" ht="15.75" customHeight="1" x14ac:dyDescent="0.3">
      <c r="A81" s="138"/>
      <c r="B81" s="132"/>
      <c r="C81" s="139"/>
      <c r="D81" s="134"/>
      <c r="E81" s="135"/>
      <c r="F81" s="132"/>
      <c r="G81" s="132"/>
      <c r="H81" s="132"/>
      <c r="I81" s="132"/>
      <c r="J81" s="132"/>
      <c r="K81" s="19"/>
      <c r="L81" s="149"/>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CJ81" s="299"/>
      <c r="CK81" s="299"/>
      <c r="CL81" s="291"/>
      <c r="CM81" s="292"/>
      <c r="CN81" s="247"/>
      <c r="CO81" s="247"/>
      <c r="CP81" s="149"/>
      <c r="CQ81" s="149"/>
      <c r="CR81" s="149"/>
      <c r="CS81" s="149"/>
      <c r="CT81" s="149"/>
      <c r="CU81" s="149"/>
      <c r="CV81" s="149"/>
      <c r="CW81" s="149"/>
      <c r="CX81" s="149"/>
      <c r="CY81" s="149"/>
    </row>
    <row r="82" spans="1:103" s="151" customFormat="1" ht="15.75" customHeight="1" x14ac:dyDescent="0.3">
      <c r="A82" s="138"/>
      <c r="B82" s="132"/>
      <c r="C82" s="139"/>
      <c r="D82" s="134"/>
      <c r="E82" s="135"/>
      <c r="F82" s="132"/>
      <c r="G82" s="132"/>
      <c r="H82" s="132"/>
      <c r="I82" s="132"/>
      <c r="J82" s="132"/>
      <c r="K82" s="19"/>
      <c r="L82" s="149"/>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CJ82" s="299"/>
      <c r="CK82" s="299"/>
      <c r="CL82" s="291"/>
      <c r="CM82" s="292"/>
      <c r="CN82" s="247"/>
      <c r="CO82" s="247"/>
      <c r="CP82" s="149"/>
      <c r="CQ82" s="149"/>
      <c r="CR82" s="149"/>
      <c r="CS82" s="149"/>
      <c r="CT82" s="149"/>
      <c r="CU82" s="149"/>
      <c r="CV82" s="149"/>
      <c r="CW82" s="149"/>
      <c r="CX82" s="149"/>
      <c r="CY82" s="149"/>
    </row>
    <row r="83" spans="1:103" s="151" customFormat="1" ht="15.75" customHeight="1" x14ac:dyDescent="0.3">
      <c r="A83" s="136"/>
      <c r="B83" s="132"/>
      <c r="C83" s="132"/>
      <c r="D83" s="203"/>
      <c r="E83" s="132"/>
      <c r="F83" s="132"/>
      <c r="G83" s="132"/>
      <c r="H83" s="132"/>
      <c r="I83" s="132"/>
      <c r="J83" s="132"/>
      <c r="K83" s="19"/>
      <c r="L83" s="149"/>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CJ83" s="299"/>
      <c r="CK83" s="299"/>
      <c r="CL83" s="291"/>
      <c r="CM83" s="292"/>
      <c r="CN83" s="247"/>
      <c r="CO83" s="247"/>
      <c r="CP83" s="149"/>
      <c r="CQ83" s="149"/>
      <c r="CR83" s="149"/>
      <c r="CS83" s="149"/>
      <c r="CT83" s="149"/>
      <c r="CU83" s="149"/>
      <c r="CV83" s="149"/>
      <c r="CW83" s="149"/>
      <c r="CX83" s="149"/>
      <c r="CY83" s="149"/>
    </row>
    <row r="84" spans="1:103" s="151" customFormat="1" ht="15.75" customHeight="1" x14ac:dyDescent="0.3">
      <c r="A84" s="136"/>
      <c r="B84" s="132"/>
      <c r="C84" s="132"/>
      <c r="D84" s="203"/>
      <c r="E84" s="132"/>
      <c r="F84" s="132"/>
      <c r="G84" s="132"/>
      <c r="H84" s="132"/>
      <c r="I84" s="132"/>
      <c r="J84" s="132"/>
      <c r="K84" s="19"/>
      <c r="L84" s="149"/>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CJ84" s="299"/>
      <c r="CK84" s="299"/>
      <c r="CL84" s="291"/>
      <c r="CM84" s="292"/>
      <c r="CN84" s="247"/>
      <c r="CO84" s="247"/>
      <c r="CP84" s="149"/>
      <c r="CQ84" s="149"/>
      <c r="CR84" s="149"/>
      <c r="CS84" s="149"/>
      <c r="CT84" s="149"/>
      <c r="CU84" s="149"/>
      <c r="CV84" s="149"/>
      <c r="CW84" s="149"/>
      <c r="CX84" s="149"/>
      <c r="CY84" s="149"/>
    </row>
    <row r="85" spans="1:103" s="151" customFormat="1" ht="15.75" customHeight="1" x14ac:dyDescent="0.25">
      <c r="A85" s="4"/>
      <c r="B85" s="4"/>
      <c r="C85" s="4"/>
      <c r="D85" s="2"/>
      <c r="E85" s="4"/>
      <c r="F85" s="4"/>
      <c r="G85" s="4"/>
      <c r="H85" s="4"/>
      <c r="I85" s="4"/>
      <c r="J85" s="4"/>
      <c r="K85" s="19"/>
      <c r="L85" s="149"/>
      <c r="M85" s="247"/>
      <c r="N85" s="247"/>
      <c r="O85" s="247"/>
      <c r="P85" s="247"/>
      <c r="Q85" s="247"/>
      <c r="R85" s="247"/>
      <c r="S85" s="247" t="s">
        <v>474</v>
      </c>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CJ85" s="299"/>
      <c r="CK85" s="299"/>
      <c r="CL85" s="291"/>
      <c r="CM85" s="292"/>
      <c r="CN85" s="247"/>
      <c r="CO85" s="247"/>
      <c r="CP85" s="149"/>
      <c r="CQ85" s="149"/>
      <c r="CR85" s="149"/>
      <c r="CS85" s="149"/>
      <c r="CT85" s="149"/>
      <c r="CU85" s="149"/>
      <c r="CV85" s="149"/>
      <c r="CW85" s="149"/>
      <c r="CX85" s="149"/>
      <c r="CY85" s="149"/>
    </row>
    <row r="86" spans="1:103" s="151" customFormat="1" ht="15.75" customHeight="1" thickBot="1" x14ac:dyDescent="0.35">
      <c r="A86" s="133"/>
      <c r="B86" s="132"/>
      <c r="C86" s="132"/>
      <c r="D86" s="203"/>
      <c r="E86" s="132"/>
      <c r="F86" s="132"/>
      <c r="G86" s="132"/>
      <c r="H86" s="132"/>
      <c r="I86" s="132"/>
      <c r="J86" s="132"/>
      <c r="K86" s="19"/>
      <c r="L86" s="149"/>
      <c r="M86" s="247"/>
      <c r="N86" s="247"/>
      <c r="O86" s="247"/>
      <c r="P86" s="247"/>
      <c r="Q86" s="247"/>
      <c r="R86" s="247"/>
      <c r="S86" s="247" t="s">
        <v>469</v>
      </c>
      <c r="T86" s="247" t="s">
        <v>470</v>
      </c>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CJ86" s="299"/>
      <c r="CK86" s="299"/>
      <c r="CL86" s="291"/>
      <c r="CM86" s="292"/>
      <c r="CN86" s="247"/>
      <c r="CO86" s="247"/>
      <c r="CP86" s="149"/>
      <c r="CQ86" s="149"/>
      <c r="CR86" s="149"/>
      <c r="CS86" s="149"/>
      <c r="CT86" s="149"/>
      <c r="CU86" s="149"/>
      <c r="CV86" s="149"/>
      <c r="CW86" s="149"/>
      <c r="CX86" s="149"/>
      <c r="CY86" s="149"/>
    </row>
    <row r="87" spans="1:103" s="151" customFormat="1" ht="15.75" customHeight="1" thickBot="1" x14ac:dyDescent="0.3">
      <c r="A87" s="1201" t="s">
        <v>652</v>
      </c>
      <c r="B87" s="1202"/>
      <c r="C87" s="1202"/>
      <c r="D87" s="1202"/>
      <c r="E87" s="1202"/>
      <c r="F87" s="1202"/>
      <c r="G87" s="1202"/>
      <c r="H87" s="1202"/>
      <c r="I87" s="1202"/>
      <c r="J87" s="1203"/>
      <c r="K87" s="19"/>
      <c r="L87" s="149"/>
      <c r="M87" s="247"/>
      <c r="N87" s="247"/>
      <c r="O87" s="247"/>
      <c r="P87" s="328" t="s">
        <v>264</v>
      </c>
      <c r="Q87" s="328" t="s">
        <v>341</v>
      </c>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CJ87" s="299"/>
      <c r="CK87" s="299"/>
      <c r="CL87" s="291"/>
      <c r="CM87" s="292"/>
      <c r="CN87" s="247"/>
      <c r="CO87" s="247"/>
      <c r="CP87" s="149"/>
      <c r="CQ87" s="149"/>
      <c r="CR87" s="149"/>
      <c r="CS87" s="149"/>
      <c r="CT87" s="149"/>
      <c r="CU87" s="149"/>
      <c r="CV87" s="149"/>
      <c r="CW87" s="149"/>
      <c r="CX87" s="149"/>
      <c r="CY87" s="149"/>
    </row>
    <row r="88" spans="1:103" s="197" customFormat="1" ht="5.4" customHeight="1" thickBot="1" x14ac:dyDescent="0.3">
      <c r="K88" s="19"/>
      <c r="L88" s="149"/>
      <c r="M88" s="329">
        <f>B71*C75/100</f>
        <v>0</v>
      </c>
      <c r="N88" s="330">
        <f>B71-B89-J89</f>
        <v>0</v>
      </c>
      <c r="O88" s="331"/>
      <c r="P88" s="330" t="str">
        <f>IF(F90+J90=0,"0",B71*D75/100*((C71-F90)/(J90-F90)))</f>
        <v>0</v>
      </c>
      <c r="Q88" s="332">
        <f>P88*(1/0.9)</f>
        <v>0</v>
      </c>
      <c r="R88" s="247"/>
      <c r="S88" s="247">
        <f>IF(Q88=0,0,Q88*P48)</f>
        <v>0</v>
      </c>
      <c r="T88" s="247">
        <f>IF(Q88=0,0,Q88*R48)</f>
        <v>0</v>
      </c>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CJ88" s="298">
        <v>6</v>
      </c>
      <c r="CK88" s="298">
        <v>6</v>
      </c>
      <c r="CL88" s="333">
        <f>IF(Q88=" ",0,CJ88*Q88)</f>
        <v>0</v>
      </c>
      <c r="CM88" s="334">
        <f>IF(Q88=" ",0,CK88*Q88)</f>
        <v>0</v>
      </c>
      <c r="CN88" s="247"/>
      <c r="CO88" s="247"/>
      <c r="CP88" s="149"/>
      <c r="CQ88" s="149"/>
      <c r="CR88" s="149"/>
      <c r="CS88" s="149"/>
      <c r="CT88" s="149"/>
      <c r="CU88" s="149"/>
      <c r="CV88" s="149"/>
      <c r="CW88" s="149"/>
      <c r="CX88" s="149"/>
      <c r="CY88" s="149"/>
    </row>
    <row r="89" spans="1:103" s="197" customFormat="1" ht="15.75" customHeight="1" x14ac:dyDescent="0.25">
      <c r="A89" s="417" t="s">
        <v>329</v>
      </c>
      <c r="B89" s="213">
        <f>M88</f>
        <v>0</v>
      </c>
      <c r="C89" s="207"/>
      <c r="D89" s="1417" t="s">
        <v>329</v>
      </c>
      <c r="E89" s="1418"/>
      <c r="F89" s="213">
        <f>B71-B89-J89</f>
        <v>0</v>
      </c>
      <c r="G89" s="207"/>
      <c r="H89" s="1218" t="s">
        <v>330</v>
      </c>
      <c r="I89" s="1219"/>
      <c r="J89" s="422" t="str">
        <f>P88</f>
        <v>0</v>
      </c>
      <c r="K89" s="19"/>
      <c r="L89" s="149"/>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CJ89" s="299"/>
      <c r="CK89" s="299"/>
      <c r="CL89" s="326"/>
      <c r="CM89" s="327"/>
      <c r="CN89" s="247"/>
      <c r="CO89" s="247"/>
      <c r="CP89" s="149"/>
      <c r="CQ89" s="149"/>
      <c r="CR89" s="149"/>
      <c r="CS89" s="149"/>
      <c r="CT89" s="149"/>
      <c r="CU89" s="149"/>
      <c r="CV89" s="149"/>
      <c r="CW89" s="149"/>
      <c r="CX89" s="149"/>
      <c r="CY89" s="149"/>
    </row>
    <row r="90" spans="1:103" s="197" customFormat="1" ht="15.75" customHeight="1" x14ac:dyDescent="0.25">
      <c r="A90" s="530" t="s">
        <v>331</v>
      </c>
      <c r="B90" s="418" t="str">
        <f>IF(B89=0,"",C71)</f>
        <v/>
      </c>
      <c r="C90" s="207"/>
      <c r="D90" s="1212" t="s">
        <v>331</v>
      </c>
      <c r="E90" s="1213"/>
      <c r="F90" s="1111"/>
      <c r="G90" s="207"/>
      <c r="H90" s="1216" t="s">
        <v>331</v>
      </c>
      <c r="I90" s="1217"/>
      <c r="J90" s="1111"/>
      <c r="K90" s="19"/>
      <c r="L90" s="149"/>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CJ90" s="299"/>
      <c r="CK90" s="299"/>
      <c r="CL90" s="291"/>
      <c r="CM90" s="292"/>
      <c r="CN90" s="247"/>
      <c r="CO90" s="247"/>
      <c r="CP90" s="149"/>
      <c r="CQ90" s="149"/>
      <c r="CR90" s="149"/>
      <c r="CS90" s="149"/>
      <c r="CT90" s="149"/>
      <c r="CU90" s="149"/>
      <c r="CV90" s="149"/>
      <c r="CW90" s="149"/>
      <c r="CX90" s="149"/>
      <c r="CY90" s="149"/>
    </row>
    <row r="91" spans="1:103" s="197" customFormat="1" ht="15.75" customHeight="1" x14ac:dyDescent="0.25">
      <c r="A91" s="530" t="s">
        <v>7889</v>
      </c>
      <c r="B91" s="453" t="str">
        <f>IF(B89=0,"",D71)</f>
        <v/>
      </c>
      <c r="C91" s="648"/>
      <c r="D91" s="1214" t="s">
        <v>7889</v>
      </c>
      <c r="E91" s="1215"/>
      <c r="F91" s="465" t="str">
        <f>IF(OR($F$89=0,F90=""),"",W74)</f>
        <v/>
      </c>
      <c r="G91" s="648"/>
      <c r="H91" s="1214" t="s">
        <v>7893</v>
      </c>
      <c r="I91" s="1215"/>
      <c r="J91" s="465" t="str">
        <f>IF(OR($J$89=0,$J$89="0",J90=""),"",X74)</f>
        <v/>
      </c>
      <c r="K91" s="19"/>
      <c r="L91" s="149"/>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CJ91" s="299"/>
      <c r="CK91" s="299"/>
      <c r="CL91" s="291"/>
      <c r="CM91" s="292"/>
      <c r="CN91" s="247"/>
      <c r="CO91" s="247"/>
      <c r="CP91" s="149"/>
      <c r="CQ91" s="149"/>
      <c r="CR91" s="149"/>
      <c r="CS91" s="149"/>
      <c r="CT91" s="149"/>
      <c r="CU91" s="149"/>
      <c r="CV91" s="149"/>
      <c r="CW91" s="149"/>
      <c r="CX91" s="149"/>
      <c r="CY91" s="149"/>
    </row>
    <row r="92" spans="1:103" s="199" customFormat="1" ht="15.6" x14ac:dyDescent="0.25">
      <c r="A92" s="530" t="s">
        <v>7890</v>
      </c>
      <c r="B92" s="454" t="str">
        <f>IF(B89=0,"",E71)</f>
        <v/>
      </c>
      <c r="C92" s="648"/>
      <c r="D92" s="1214" t="s">
        <v>7890</v>
      </c>
      <c r="E92" s="1215"/>
      <c r="F92" s="465" t="str">
        <f>IF(OR($F$89=0,F90=""),"",W75)</f>
        <v/>
      </c>
      <c r="G92" s="648"/>
      <c r="H92" s="1214" t="s">
        <v>7894</v>
      </c>
      <c r="I92" s="1215"/>
      <c r="J92" s="465" t="str">
        <f>IF(OR($J$89=0,$J$89="0",J90=""),"",X75)</f>
        <v/>
      </c>
      <c r="K92" s="198"/>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CJ92" s="335"/>
      <c r="CK92" s="335"/>
      <c r="CL92" s="291"/>
      <c r="CM92" s="292"/>
      <c r="CN92" s="234"/>
      <c r="CO92" s="234"/>
    </row>
    <row r="93" spans="1:103" s="199" customFormat="1" ht="15.6" x14ac:dyDescent="0.25">
      <c r="A93" s="530" t="s">
        <v>7891</v>
      </c>
      <c r="B93" s="453" t="str">
        <f>IF(B89=0,"",F71)</f>
        <v/>
      </c>
      <c r="D93" s="1214" t="s">
        <v>7891</v>
      </c>
      <c r="E93" s="1215"/>
      <c r="F93" s="465" t="str">
        <f>IF(OR($F$89=0,F90=""),"",W76)</f>
        <v/>
      </c>
      <c r="H93" s="1214" t="s">
        <v>549</v>
      </c>
      <c r="I93" s="1215"/>
      <c r="J93" s="465" t="str">
        <f>IF(OR($J$89=0,$J$89="0",J90=""),"",X76)</f>
        <v/>
      </c>
      <c r="K93" s="198"/>
      <c r="M93" s="234" t="s">
        <v>492</v>
      </c>
      <c r="N93" s="234" t="s">
        <v>263</v>
      </c>
      <c r="O93" s="234"/>
      <c r="P93" s="234"/>
      <c r="Q93" s="234"/>
      <c r="R93" s="234"/>
      <c r="S93" s="247" t="s">
        <v>475</v>
      </c>
      <c r="T93" s="247"/>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CJ93" s="335"/>
      <c r="CK93" s="335"/>
      <c r="CL93" s="291"/>
      <c r="CM93" s="292"/>
      <c r="CN93" s="234"/>
      <c r="CO93" s="234"/>
    </row>
    <row r="94" spans="1:103" s="197" customFormat="1" ht="15.75" customHeight="1" thickBot="1" x14ac:dyDescent="0.3">
      <c r="A94" s="649" t="s">
        <v>7892</v>
      </c>
      <c r="B94" s="455" t="str">
        <f>IF(B89=0,"",G71)</f>
        <v/>
      </c>
      <c r="C94" s="199"/>
      <c r="D94" s="1207" t="s">
        <v>7892</v>
      </c>
      <c r="E94" s="1208"/>
      <c r="F94" s="466" t="str">
        <f>IF(OR($F$89=0,F90=""),"",W77)</f>
        <v/>
      </c>
      <c r="G94" s="199"/>
      <c r="H94" s="1207" t="s">
        <v>7895</v>
      </c>
      <c r="I94" s="1208"/>
      <c r="J94" s="466" t="str">
        <f>IF(OR($J$89=0,$J$89="0",J90=""),"",X77)</f>
        <v/>
      </c>
      <c r="K94" s="19"/>
      <c r="L94" s="149"/>
      <c r="M94" s="247"/>
      <c r="N94" s="304"/>
      <c r="O94" s="247"/>
      <c r="P94" s="247"/>
      <c r="Q94" s="247"/>
      <c r="R94" s="247"/>
      <c r="S94" s="247" t="s">
        <v>469</v>
      </c>
      <c r="T94" s="247" t="s">
        <v>470</v>
      </c>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CJ94" s="299"/>
      <c r="CK94" s="299"/>
      <c r="CL94" s="291"/>
      <c r="CM94" s="292"/>
      <c r="CN94" s="247"/>
      <c r="CO94" s="247"/>
      <c r="CP94" s="149"/>
      <c r="CQ94" s="149"/>
      <c r="CR94" s="149"/>
      <c r="CS94" s="149"/>
      <c r="CT94" s="149"/>
      <c r="CU94" s="149"/>
      <c r="CV94" s="149"/>
      <c r="CW94" s="149"/>
      <c r="CX94" s="149"/>
      <c r="CY94" s="149"/>
    </row>
    <row r="95" spans="1:103" s="197" customFormat="1" ht="15.75" customHeight="1" x14ac:dyDescent="0.25">
      <c r="A95" s="650"/>
      <c r="B95" s="442"/>
      <c r="C95" s="651"/>
      <c r="D95" s="444"/>
      <c r="E95" s="444"/>
      <c r="F95" s="443"/>
      <c r="G95" s="421"/>
      <c r="H95" s="444"/>
      <c r="I95" s="444"/>
      <c r="J95" s="443"/>
      <c r="K95" s="19"/>
      <c r="L95" s="149"/>
      <c r="M95" s="332">
        <f>B89+F89</f>
        <v>0</v>
      </c>
      <c r="N95" s="332">
        <f>N46+J89</f>
        <v>0</v>
      </c>
      <c r="O95" s="247"/>
      <c r="P95" s="247"/>
      <c r="Q95" s="247"/>
      <c r="R95" s="247"/>
      <c r="S95" s="247">
        <f>IF(M95=0,0,M95*P48)</f>
        <v>0</v>
      </c>
      <c r="T95" s="247">
        <f>IF(M95=0,0,M95*R48)</f>
        <v>0</v>
      </c>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CJ95" s="299"/>
      <c r="CK95" s="299"/>
      <c r="CL95" s="291"/>
      <c r="CM95" s="292"/>
      <c r="CN95" s="247"/>
      <c r="CO95" s="247"/>
      <c r="CP95" s="149"/>
      <c r="CQ95" s="149"/>
      <c r="CR95" s="149"/>
      <c r="CS95" s="149"/>
      <c r="CT95" s="149"/>
      <c r="CU95" s="149"/>
      <c r="CV95" s="149"/>
      <c r="CW95" s="149"/>
      <c r="CX95" s="149"/>
      <c r="CY95" s="149"/>
    </row>
    <row r="96" spans="1:103" s="197" customFormat="1" ht="15.75" customHeight="1" thickBot="1" x14ac:dyDescent="0.3">
      <c r="B96" s="421"/>
      <c r="C96" s="149"/>
      <c r="G96" s="425" t="str">
        <f>IF(OR(F89&lt;-0.01,J89&lt;0,AND(D75&gt;0,OR(F90="",J90=""))),"Fehler TS","")</f>
        <v/>
      </c>
      <c r="K96" s="19"/>
      <c r="L96" s="149"/>
      <c r="M96" s="295"/>
      <c r="N96" s="307">
        <f>N47+J89*(1/0.9)</f>
        <v>0</v>
      </c>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CJ96" s="259"/>
      <c r="CK96" s="259"/>
      <c r="CL96" s="275"/>
      <c r="CM96" s="276"/>
      <c r="CN96" s="247"/>
      <c r="CO96" s="247"/>
      <c r="CP96" s="149"/>
      <c r="CQ96" s="149"/>
      <c r="CR96" s="149"/>
      <c r="CS96" s="149"/>
      <c r="CT96" s="149"/>
      <c r="CU96" s="149"/>
      <c r="CV96" s="149"/>
      <c r="CW96" s="149"/>
      <c r="CX96" s="149"/>
      <c r="CY96" s="149"/>
    </row>
    <row r="97" spans="1:103" s="197" customFormat="1" ht="15.75" customHeight="1" thickBot="1" x14ac:dyDescent="0.3">
      <c r="B97" s="652" t="s">
        <v>329</v>
      </c>
      <c r="C97" s="467" t="str">
        <f>IF(M95=0," ",M95)</f>
        <v xml:space="preserve"> </v>
      </c>
      <c r="E97" s="653"/>
      <c r="F97" s="572"/>
      <c r="G97" s="572"/>
      <c r="I97" s="421"/>
      <c r="J97" s="421"/>
      <c r="K97" s="19"/>
      <c r="L97" s="149"/>
      <c r="M97" s="247" t="e">
        <f>(F89*F90/100+B89*C71/100)/M95*100</f>
        <v>#DIV/0!</v>
      </c>
      <c r="N97" s="324"/>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CJ97" s="298"/>
      <c r="CK97" s="298"/>
      <c r="CL97" s="275">
        <f>SUM(CL23:CL96)</f>
        <v>0</v>
      </c>
      <c r="CM97" s="275">
        <f>SUM(CM23:CM96)</f>
        <v>0</v>
      </c>
      <c r="CN97" s="247"/>
      <c r="CO97" s="247"/>
      <c r="CP97" s="149"/>
      <c r="CQ97" s="149"/>
      <c r="CR97" s="149"/>
      <c r="CS97" s="149"/>
      <c r="CT97" s="149"/>
      <c r="CU97" s="149"/>
      <c r="CV97" s="149"/>
      <c r="CW97" s="149"/>
      <c r="CX97" s="149"/>
      <c r="CY97" s="149"/>
    </row>
    <row r="98" spans="1:103" s="197" customFormat="1" ht="15.75" customHeight="1" x14ac:dyDescent="0.25">
      <c r="A98" s="651"/>
      <c r="B98" s="530" t="s">
        <v>331</v>
      </c>
      <c r="C98" s="423" t="str">
        <f>IF(M95=0,"",M97)</f>
        <v/>
      </c>
      <c r="E98" s="653"/>
      <c r="F98" s="572"/>
      <c r="G98" s="1204" t="s">
        <v>542</v>
      </c>
      <c r="H98" s="1205"/>
      <c r="I98" s="1205"/>
      <c r="J98" s="1206"/>
      <c r="K98" s="19"/>
      <c r="L98" s="149"/>
      <c r="M98" s="247" t="e">
        <f>(F89*W74/100+B89*D71/100)/M95*100</f>
        <v>#DIV/0!</v>
      </c>
      <c r="N98" s="304"/>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CJ98" s="302"/>
      <c r="CK98" s="302"/>
      <c r="CL98" s="379">
        <f>IF(N96=0,0,CL97/(N47+Q88))</f>
        <v>0</v>
      </c>
      <c r="CM98" s="380">
        <f>IF(N96=0,0,CM97/(N47+Q88))</f>
        <v>0</v>
      </c>
      <c r="CN98" s="247"/>
      <c r="CO98" s="247"/>
      <c r="CP98" s="149"/>
      <c r="CQ98" s="149"/>
      <c r="CR98" s="149"/>
      <c r="CS98" s="149"/>
      <c r="CT98" s="149"/>
      <c r="CU98" s="149"/>
      <c r="CV98" s="149"/>
      <c r="CW98" s="149"/>
      <c r="CX98" s="149"/>
      <c r="CY98" s="149"/>
    </row>
    <row r="99" spans="1:103" s="151" customFormat="1" ht="15.75" customHeight="1" x14ac:dyDescent="0.25">
      <c r="A99" s="197"/>
      <c r="B99" s="530" t="s">
        <v>7889</v>
      </c>
      <c r="C99" s="423" t="str">
        <f>IF(M$95=0,"",M98)</f>
        <v/>
      </c>
      <c r="D99" s="197"/>
      <c r="E99" s="421"/>
      <c r="F99" s="421"/>
      <c r="G99" s="1288"/>
      <c r="H99" s="1289"/>
      <c r="I99" s="531" t="s">
        <v>247</v>
      </c>
      <c r="J99" s="536" t="s">
        <v>246</v>
      </c>
      <c r="K99" s="19"/>
      <c r="L99" s="149"/>
      <c r="M99" s="247" t="e">
        <f>(F89*W75/100+B89*E71/100)/M95*100</f>
        <v>#DIV/0!</v>
      </c>
      <c r="N99" s="304"/>
      <c r="O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426"/>
      <c r="CB99" s="426"/>
      <c r="CC99" s="426"/>
      <c r="CD99" s="247"/>
      <c r="CE99" s="247"/>
      <c r="CF99" s="247"/>
      <c r="CG99" s="426"/>
      <c r="CH99" s="426"/>
      <c r="CI99" s="426"/>
      <c r="CJ99" s="247"/>
      <c r="CK99" s="247"/>
      <c r="CL99" s="149"/>
      <c r="CM99" s="149"/>
      <c r="CN99" s="149"/>
      <c r="CO99" s="149"/>
      <c r="CP99" s="149"/>
      <c r="CQ99" s="149"/>
      <c r="CR99" s="149"/>
      <c r="CS99" s="149"/>
      <c r="CT99" s="149"/>
      <c r="CU99" s="149"/>
    </row>
    <row r="100" spans="1:103" s="151" customFormat="1" ht="15.75" customHeight="1" x14ac:dyDescent="0.25">
      <c r="A100" s="651"/>
      <c r="B100" s="530" t="s">
        <v>7890</v>
      </c>
      <c r="C100" s="423" t="str">
        <f>IF(M$95=0,"",M99)</f>
        <v/>
      </c>
      <c r="E100" s="424"/>
      <c r="F100" s="654"/>
      <c r="G100" s="1214" t="s">
        <v>195</v>
      </c>
      <c r="H100" s="1215"/>
      <c r="I100" s="655" t="str">
        <f>J46</f>
        <v xml:space="preserve"> </v>
      </c>
      <c r="J100" s="656" t="str">
        <f>J47</f>
        <v xml:space="preserve"> </v>
      </c>
      <c r="K100" s="19"/>
      <c r="L100" s="149"/>
      <c r="M100" s="247" t="e">
        <f>(F89*W76/100+B89*F71/100)/M95*100</f>
        <v>#DIV/0!</v>
      </c>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426"/>
      <c r="CB100" s="426"/>
      <c r="CC100" s="426"/>
      <c r="CD100" s="247"/>
      <c r="CE100" s="247"/>
      <c r="CF100" s="247"/>
      <c r="CG100" s="426"/>
      <c r="CH100" s="426"/>
      <c r="CI100" s="426"/>
      <c r="CJ100" s="247"/>
      <c r="CK100" s="247"/>
      <c r="CL100" s="149"/>
      <c r="CM100" s="149"/>
      <c r="CN100" s="149"/>
      <c r="CO100" s="149"/>
      <c r="CP100" s="149"/>
      <c r="CQ100" s="149"/>
      <c r="CR100" s="149"/>
      <c r="CS100" s="149"/>
      <c r="CT100" s="149"/>
      <c r="CU100" s="149"/>
    </row>
    <row r="101" spans="1:103" s="151" customFormat="1" ht="14.25" customHeight="1" x14ac:dyDescent="0.25">
      <c r="A101" s="619"/>
      <c r="B101" s="530" t="s">
        <v>7891</v>
      </c>
      <c r="C101" s="423" t="str">
        <f>IF(M$95=0,"",M100)</f>
        <v/>
      </c>
      <c r="G101" s="1214" t="s">
        <v>651</v>
      </c>
      <c r="H101" s="1215"/>
      <c r="I101" s="532" t="str">
        <f>IF(J89="0","",J89)</f>
        <v/>
      </c>
      <c r="J101" s="533" t="str">
        <f>IF(Q88=0,"",Q88)</f>
        <v/>
      </c>
      <c r="K101" s="19"/>
      <c r="L101" s="149"/>
      <c r="M101" s="247" t="e">
        <f>(F89*W77/100+B89*G71/100)/M95*100</f>
        <v>#DIV/0!</v>
      </c>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426"/>
      <c r="CB101" s="426"/>
      <c r="CC101" s="426"/>
      <c r="CD101" s="247"/>
      <c r="CE101" s="247"/>
      <c r="CF101" s="247"/>
      <c r="CG101" s="426"/>
      <c r="CH101" s="426"/>
      <c r="CI101" s="426"/>
      <c r="CJ101" s="247"/>
      <c r="CK101" s="247"/>
      <c r="CL101" s="149"/>
      <c r="CM101" s="149"/>
      <c r="CN101" s="149"/>
      <c r="CO101" s="149"/>
      <c r="CP101" s="149"/>
      <c r="CQ101" s="149"/>
      <c r="CR101" s="149"/>
      <c r="CS101" s="149"/>
      <c r="CT101" s="149"/>
      <c r="CU101" s="149"/>
    </row>
    <row r="102" spans="1:103" s="151" customFormat="1" ht="14.25" customHeight="1" thickBot="1" x14ac:dyDescent="0.3">
      <c r="A102" s="619"/>
      <c r="B102" s="649" t="s">
        <v>7892</v>
      </c>
      <c r="C102" s="468" t="str">
        <f>IF(M$95=0,"",M101)</f>
        <v/>
      </c>
      <c r="G102" s="1207" t="s">
        <v>265</v>
      </c>
      <c r="H102" s="1208"/>
      <c r="I102" s="534" t="str">
        <f>IF(N95=0," ",N95)</f>
        <v xml:space="preserve"> </v>
      </c>
      <c r="J102" s="445" t="str">
        <f>IF(N96=0," ",N96)</f>
        <v xml:space="preserve"> </v>
      </c>
      <c r="K102" s="19"/>
      <c r="L102" s="149"/>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426"/>
      <c r="CB102" s="426"/>
      <c r="CC102" s="426"/>
      <c r="CD102" s="247"/>
      <c r="CE102" s="247"/>
      <c r="CF102" s="247"/>
      <c r="CG102" s="426"/>
      <c r="CH102" s="426"/>
      <c r="CI102" s="426"/>
      <c r="CJ102" s="247"/>
      <c r="CK102" s="247"/>
      <c r="CL102" s="149"/>
      <c r="CM102" s="149"/>
      <c r="CN102" s="149"/>
      <c r="CO102" s="149"/>
      <c r="CP102" s="149"/>
      <c r="CQ102" s="149"/>
      <c r="CR102" s="149"/>
      <c r="CS102" s="149"/>
      <c r="CT102" s="149"/>
      <c r="CU102" s="149"/>
    </row>
    <row r="103" spans="1:103" s="151" customFormat="1" ht="11.4" customHeight="1" x14ac:dyDescent="0.25">
      <c r="A103" s="619"/>
      <c r="B103" s="538"/>
      <c r="C103" s="537"/>
      <c r="G103" s="538"/>
      <c r="H103" s="538"/>
      <c r="I103" s="539"/>
      <c r="J103" s="539"/>
      <c r="K103" s="19"/>
      <c r="L103" s="14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29"/>
      <c r="AY103" s="529"/>
      <c r="AZ103" s="529"/>
      <c r="BA103" s="529"/>
      <c r="BB103" s="529"/>
      <c r="BC103" s="529"/>
      <c r="BD103" s="529"/>
      <c r="BE103" s="529"/>
      <c r="BF103" s="529"/>
      <c r="BG103" s="529"/>
      <c r="BH103" s="529"/>
      <c r="BI103" s="529"/>
      <c r="BJ103" s="529"/>
      <c r="BK103" s="529"/>
      <c r="BL103" s="529"/>
      <c r="BM103" s="529"/>
      <c r="BN103" s="529"/>
      <c r="BO103" s="529"/>
      <c r="BP103" s="529"/>
      <c r="BQ103" s="529"/>
      <c r="BR103" s="529"/>
      <c r="BS103" s="529"/>
      <c r="BT103" s="529"/>
      <c r="BU103" s="529"/>
      <c r="BV103" s="529"/>
      <c r="BW103" s="529"/>
      <c r="BX103" s="529"/>
      <c r="BY103" s="529"/>
      <c r="BZ103" s="529"/>
      <c r="CA103" s="529"/>
      <c r="CB103" s="529"/>
      <c r="CC103" s="529"/>
      <c r="CD103" s="529"/>
      <c r="CE103" s="529"/>
      <c r="CF103" s="529"/>
      <c r="CG103" s="529"/>
      <c r="CH103" s="529"/>
      <c r="CI103" s="529"/>
      <c r="CJ103" s="529"/>
      <c r="CK103" s="529"/>
      <c r="CL103" s="149"/>
      <c r="CM103" s="149"/>
      <c r="CN103" s="149"/>
      <c r="CO103" s="149"/>
      <c r="CP103" s="149"/>
      <c r="CQ103" s="149"/>
      <c r="CR103" s="149"/>
      <c r="CS103" s="149"/>
      <c r="CT103" s="149"/>
      <c r="CU103" s="149"/>
    </row>
    <row r="104" spans="1:103" s="151" customFormat="1" ht="15.75" customHeight="1" x14ac:dyDescent="0.25">
      <c r="A104" s="819"/>
      <c r="B104" s="819"/>
      <c r="C104" s="819"/>
      <c r="D104" s="819"/>
      <c r="E104" s="819"/>
      <c r="F104" s="819"/>
      <c r="G104" s="819"/>
      <c r="H104" s="819"/>
      <c r="I104" s="819"/>
      <c r="J104" s="819"/>
      <c r="K104" s="19"/>
      <c r="L104" s="149"/>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426"/>
      <c r="CB104" s="426"/>
      <c r="CC104" s="426"/>
      <c r="CD104" s="247"/>
      <c r="CE104" s="247"/>
      <c r="CF104" s="247"/>
      <c r="CG104" s="426"/>
      <c r="CH104" s="426"/>
      <c r="CI104" s="426"/>
      <c r="CJ104" s="247"/>
      <c r="CK104" s="247"/>
      <c r="CL104" s="149"/>
      <c r="CM104" s="149"/>
      <c r="CN104" s="149"/>
      <c r="CO104" s="149"/>
      <c r="CP104" s="149"/>
      <c r="CQ104" s="149"/>
      <c r="CR104" s="149"/>
      <c r="CS104" s="149"/>
      <c r="CT104" s="149"/>
      <c r="CU104" s="149"/>
    </row>
    <row r="105" spans="1:103" s="151" customFormat="1" ht="15.75" customHeight="1" thickBot="1" x14ac:dyDescent="0.3">
      <c r="A105" s="657"/>
      <c r="B105" s="657"/>
      <c r="C105" s="657"/>
      <c r="D105" s="657"/>
      <c r="E105" s="657"/>
      <c r="F105" s="657"/>
      <c r="G105" s="657"/>
      <c r="H105" s="657"/>
      <c r="I105" s="657"/>
      <c r="J105" s="657"/>
      <c r="K105" s="19"/>
      <c r="L105" s="149"/>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426"/>
      <c r="CB105" s="426"/>
      <c r="CC105" s="426"/>
      <c r="CD105" s="247"/>
      <c r="CE105" s="247"/>
      <c r="CF105" s="247"/>
      <c r="CG105" s="426"/>
      <c r="CH105" s="426"/>
      <c r="CI105" s="426"/>
      <c r="CJ105" s="247"/>
      <c r="CK105" s="247"/>
      <c r="CL105" s="149"/>
      <c r="CM105" s="149"/>
      <c r="CN105" s="149"/>
      <c r="CO105" s="149"/>
      <c r="CP105" s="149"/>
      <c r="CQ105" s="149"/>
      <c r="CR105" s="149"/>
      <c r="CS105" s="149"/>
      <c r="CT105" s="149"/>
      <c r="CU105" s="149"/>
    </row>
    <row r="106" spans="1:103" s="151" customFormat="1" ht="15.75" customHeight="1" thickBot="1" x14ac:dyDescent="0.3">
      <c r="A106" s="1277" t="s">
        <v>346</v>
      </c>
      <c r="B106" s="1278"/>
      <c r="C106" s="1278"/>
      <c r="D106" s="1278"/>
      <c r="E106" s="1278"/>
      <c r="F106" s="1278"/>
      <c r="G106" s="1278"/>
      <c r="H106" s="1278"/>
      <c r="I106" s="1278"/>
      <c r="J106" s="1279"/>
      <c r="K106" s="19"/>
      <c r="L106" s="149"/>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426"/>
      <c r="CB106" s="426"/>
      <c r="CC106" s="426"/>
      <c r="CD106" s="247"/>
      <c r="CE106" s="247"/>
      <c r="CF106" s="247"/>
      <c r="CG106" s="426"/>
      <c r="CH106" s="426"/>
      <c r="CI106" s="426"/>
      <c r="CJ106" s="247"/>
      <c r="CK106" s="247"/>
      <c r="CL106" s="149"/>
      <c r="CM106" s="149"/>
      <c r="CN106" s="149"/>
      <c r="CO106" s="149"/>
      <c r="CP106" s="149"/>
      <c r="CQ106" s="149"/>
      <c r="CR106" s="149"/>
      <c r="CS106" s="149"/>
      <c r="CT106" s="149"/>
      <c r="CU106" s="149"/>
    </row>
    <row r="107" spans="1:103" s="145" customFormat="1" ht="6.75" customHeight="1" thickBot="1" x14ac:dyDescent="0.3">
      <c r="A107" s="1"/>
      <c r="B107" s="23"/>
      <c r="C107" s="23"/>
      <c r="D107" s="24"/>
      <c r="E107" s="24"/>
      <c r="F107" s="24"/>
      <c r="G107" s="24"/>
      <c r="H107" s="24"/>
      <c r="I107" s="24"/>
      <c r="J107" s="25"/>
      <c r="K107" s="25"/>
      <c r="L107" s="15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156"/>
      <c r="CF107" s="156"/>
      <c r="CG107" s="156"/>
      <c r="CH107" s="156"/>
      <c r="CI107" s="156"/>
      <c r="CJ107" s="156"/>
      <c r="CK107" s="156"/>
      <c r="CL107" s="156"/>
      <c r="CM107" s="156"/>
      <c r="CN107" s="156"/>
      <c r="CO107" s="156"/>
      <c r="CP107" s="156"/>
      <c r="CQ107" s="156"/>
    </row>
    <row r="108" spans="1:103" s="151" customFormat="1" ht="15.75" customHeight="1" x14ac:dyDescent="0.25">
      <c r="A108" s="160" t="s">
        <v>274</v>
      </c>
      <c r="B108" s="161"/>
      <c r="C108" s="1438" t="s">
        <v>273</v>
      </c>
      <c r="D108" s="1439"/>
      <c r="E108" s="1438" t="s">
        <v>28</v>
      </c>
      <c r="F108" s="1439"/>
      <c r="G108" s="1370" t="s">
        <v>344</v>
      </c>
      <c r="H108" s="1370"/>
      <c r="I108" s="1362" t="s">
        <v>279</v>
      </c>
      <c r="J108" s="1363"/>
      <c r="K108" s="19"/>
      <c r="L108" s="149"/>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426"/>
      <c r="CB108" s="426"/>
      <c r="CC108" s="426"/>
      <c r="CD108" s="247"/>
      <c r="CE108" s="149"/>
      <c r="CF108" s="149"/>
      <c r="CG108" s="149"/>
      <c r="CH108" s="149"/>
      <c r="CI108" s="149"/>
      <c r="CJ108" s="149"/>
      <c r="CK108" s="149"/>
      <c r="CL108" s="149"/>
      <c r="CM108" s="149"/>
      <c r="CN108" s="149"/>
      <c r="CO108" s="149"/>
      <c r="CP108" s="149"/>
      <c r="CQ108" s="149"/>
    </row>
    <row r="109" spans="1:103" s="151" customFormat="1" ht="16.5" customHeight="1" thickBot="1" x14ac:dyDescent="0.3">
      <c r="A109" s="162"/>
      <c r="B109" s="163"/>
      <c r="C109" s="1360" t="s">
        <v>334</v>
      </c>
      <c r="D109" s="1369"/>
      <c r="E109" s="1360" t="s">
        <v>27</v>
      </c>
      <c r="F109" s="1369"/>
      <c r="G109" s="1368" t="s">
        <v>27</v>
      </c>
      <c r="H109" s="1368"/>
      <c r="I109" s="164" t="s">
        <v>262</v>
      </c>
      <c r="J109" s="185" t="s">
        <v>263</v>
      </c>
      <c r="K109" s="19"/>
      <c r="L109" s="149"/>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426"/>
      <c r="CB109" s="426"/>
      <c r="CC109" s="426"/>
      <c r="CD109" s="247"/>
      <c r="CE109" s="149"/>
      <c r="CF109" s="149"/>
      <c r="CG109" s="149"/>
      <c r="CH109" s="149"/>
      <c r="CI109" s="149"/>
      <c r="CJ109" s="149"/>
      <c r="CK109" s="149"/>
      <c r="CL109" s="149"/>
      <c r="CM109" s="149"/>
      <c r="CN109" s="149"/>
      <c r="CO109" s="149"/>
      <c r="CP109" s="149"/>
      <c r="CQ109" s="149"/>
    </row>
    <row r="110" spans="1:103" s="151" customFormat="1" ht="18" customHeight="1" x14ac:dyDescent="0.25">
      <c r="A110" s="1421" t="s">
        <v>29</v>
      </c>
      <c r="B110" s="1422"/>
      <c r="C110" s="1455" t="s">
        <v>262</v>
      </c>
      <c r="D110" s="1456"/>
      <c r="E110" s="1440"/>
      <c r="F110" s="1441"/>
      <c r="G110" s="1292"/>
      <c r="H110" s="1293"/>
      <c r="I110" s="469" t="str">
        <f>IF(M110=TRUE,E110/2*E110/2*3.1415926*G110," ")</f>
        <v xml:space="preserve"> </v>
      </c>
      <c r="J110" s="477"/>
      <c r="K110" s="19"/>
      <c r="L110" s="149"/>
      <c r="M110" s="247" t="b">
        <f>AND(E110&gt;0.1,G110&gt;0.1)</f>
        <v>0</v>
      </c>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426"/>
      <c r="CB110" s="426"/>
      <c r="CC110" s="426"/>
      <c r="CD110" s="247"/>
      <c r="CE110" s="149"/>
      <c r="CF110" s="149"/>
      <c r="CG110" s="149"/>
      <c r="CH110" s="149"/>
      <c r="CI110" s="149"/>
      <c r="CJ110" s="149"/>
      <c r="CK110" s="149"/>
      <c r="CL110" s="149"/>
      <c r="CM110" s="149"/>
      <c r="CN110" s="149"/>
      <c r="CO110" s="149"/>
      <c r="CP110" s="149"/>
      <c r="CQ110" s="149"/>
    </row>
    <row r="111" spans="1:103" s="151" customFormat="1" ht="18" customHeight="1" x14ac:dyDescent="0.25">
      <c r="A111" s="1302" t="s">
        <v>30</v>
      </c>
      <c r="B111" s="1303"/>
      <c r="C111" s="1304" t="s">
        <v>262</v>
      </c>
      <c r="D111" s="1305"/>
      <c r="E111" s="1300"/>
      <c r="F111" s="1301"/>
      <c r="G111" s="1311"/>
      <c r="H111" s="1312"/>
      <c r="I111" s="471" t="str">
        <f>IF(M111=TRUE,E111/2*E111/2*3.1415926*G111," ")</f>
        <v xml:space="preserve"> </v>
      </c>
      <c r="J111" s="478"/>
      <c r="K111" s="19"/>
      <c r="L111" s="149"/>
      <c r="M111" s="247" t="b">
        <f>AND(E111&gt;0.1,G111&gt;0.1)</f>
        <v>0</v>
      </c>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426"/>
      <c r="CB111" s="426"/>
      <c r="CC111" s="426"/>
      <c r="CD111" s="247"/>
      <c r="CE111" s="149"/>
      <c r="CF111" s="149"/>
      <c r="CG111" s="149"/>
      <c r="CH111" s="149"/>
      <c r="CI111" s="149"/>
      <c r="CJ111" s="149"/>
      <c r="CK111" s="149"/>
      <c r="CL111" s="149"/>
      <c r="CM111" s="149"/>
      <c r="CN111" s="149"/>
      <c r="CO111" s="149"/>
      <c r="CP111" s="149"/>
      <c r="CQ111" s="149"/>
    </row>
    <row r="112" spans="1:103" s="151" customFormat="1" ht="18" customHeight="1" x14ac:dyDescent="0.25">
      <c r="A112" s="1302" t="s">
        <v>31</v>
      </c>
      <c r="B112" s="1303"/>
      <c r="C112" s="1304" t="s">
        <v>262</v>
      </c>
      <c r="D112" s="1305"/>
      <c r="E112" s="1300"/>
      <c r="F112" s="1301"/>
      <c r="G112" s="1311"/>
      <c r="H112" s="1312"/>
      <c r="I112" s="471" t="str">
        <f>IF(M112=TRUE,E112/2*E112/2*3.1415926*G112," ")</f>
        <v xml:space="preserve"> </v>
      </c>
      <c r="J112" s="478"/>
      <c r="K112" s="19"/>
      <c r="L112" s="149"/>
      <c r="M112" s="247" t="b">
        <f>AND(E112&gt;0.1,G112&gt;0.1)</f>
        <v>0</v>
      </c>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426"/>
      <c r="CB112" s="426"/>
      <c r="CC112" s="426"/>
      <c r="CD112" s="247"/>
      <c r="CE112" s="149"/>
      <c r="CF112" s="149"/>
      <c r="CG112" s="149"/>
      <c r="CH112" s="149"/>
      <c r="CI112" s="149"/>
      <c r="CJ112" s="149"/>
      <c r="CK112" s="149"/>
      <c r="CL112" s="149"/>
      <c r="CM112" s="149"/>
      <c r="CN112" s="149"/>
      <c r="CO112" s="149"/>
      <c r="CP112" s="149"/>
      <c r="CQ112" s="149"/>
    </row>
    <row r="113" spans="1:95" s="151" customFormat="1" ht="18" customHeight="1" thickBot="1" x14ac:dyDescent="0.3">
      <c r="A113" s="1306" t="s">
        <v>33</v>
      </c>
      <c r="B113" s="1445"/>
      <c r="C113" s="1296" t="s">
        <v>262</v>
      </c>
      <c r="D113" s="1297"/>
      <c r="E113" s="1275"/>
      <c r="F113" s="1276"/>
      <c r="G113" s="1294"/>
      <c r="H113" s="1295"/>
      <c r="I113" s="476" t="str">
        <f>IF(M113=TRUE,E113/2*E113/2*3.1415926*G113," ")</f>
        <v xml:space="preserve"> </v>
      </c>
      <c r="J113" s="475"/>
      <c r="K113" s="19"/>
      <c r="L113" s="149"/>
      <c r="M113" s="247" t="b">
        <f>AND(E113&gt;0.1,G113&gt;0.1)</f>
        <v>0</v>
      </c>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426"/>
      <c r="CB113" s="426"/>
      <c r="CC113" s="426"/>
      <c r="CD113" s="247"/>
      <c r="CE113" s="149"/>
      <c r="CF113" s="149"/>
      <c r="CG113" s="149"/>
      <c r="CH113" s="149"/>
      <c r="CI113" s="149"/>
      <c r="CJ113" s="149"/>
      <c r="CK113" s="149"/>
      <c r="CL113" s="149"/>
      <c r="CM113" s="149"/>
      <c r="CN113" s="149"/>
      <c r="CO113" s="149"/>
      <c r="CP113" s="149"/>
      <c r="CQ113" s="149"/>
    </row>
    <row r="114" spans="1:95" s="151" customFormat="1" ht="16.5" customHeight="1" x14ac:dyDescent="0.25">
      <c r="A114" s="165" t="s">
        <v>275</v>
      </c>
      <c r="B114" s="166"/>
      <c r="C114" s="1360" t="s">
        <v>273</v>
      </c>
      <c r="D114" s="1369"/>
      <c r="E114" s="184" t="s">
        <v>32</v>
      </c>
      <c r="F114" s="184" t="s">
        <v>35</v>
      </c>
      <c r="G114" s="1360" t="s">
        <v>344</v>
      </c>
      <c r="H114" s="1368"/>
      <c r="I114" s="182"/>
      <c r="J114" s="181"/>
      <c r="K114" s="19"/>
      <c r="L114" s="149"/>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426"/>
      <c r="CB114" s="426"/>
      <c r="CC114" s="426"/>
      <c r="CD114" s="247"/>
      <c r="CE114" s="149"/>
      <c r="CF114" s="149"/>
      <c r="CG114" s="149"/>
      <c r="CH114" s="149"/>
      <c r="CI114" s="149"/>
      <c r="CJ114" s="149"/>
      <c r="CK114" s="149"/>
      <c r="CL114" s="149"/>
      <c r="CM114" s="149"/>
      <c r="CN114" s="149"/>
      <c r="CO114" s="149"/>
      <c r="CP114" s="149"/>
      <c r="CQ114" s="149"/>
    </row>
    <row r="115" spans="1:95" s="151" customFormat="1" ht="16.5" customHeight="1" thickBot="1" x14ac:dyDescent="0.3">
      <c r="A115" s="165" t="s">
        <v>276</v>
      </c>
      <c r="B115" s="166"/>
      <c r="C115" s="1360" t="s">
        <v>334</v>
      </c>
      <c r="D115" s="1369"/>
      <c r="E115" s="184" t="s">
        <v>27</v>
      </c>
      <c r="F115" s="184" t="s">
        <v>27</v>
      </c>
      <c r="G115" s="1443" t="s">
        <v>27</v>
      </c>
      <c r="H115" s="1444"/>
      <c r="I115" s="181"/>
      <c r="J115" s="181"/>
      <c r="K115" s="19"/>
      <c r="L115" s="149"/>
      <c r="M115" s="247"/>
      <c r="N115" s="247"/>
      <c r="O115" s="247"/>
      <c r="P115" s="247"/>
      <c r="Q115" s="247"/>
      <c r="R115" s="247" t="s">
        <v>21</v>
      </c>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426"/>
      <c r="CB115" s="426"/>
      <c r="CC115" s="426"/>
      <c r="CD115" s="247"/>
      <c r="CE115" s="149"/>
      <c r="CF115" s="149"/>
      <c r="CG115" s="149"/>
      <c r="CH115" s="149"/>
      <c r="CI115" s="149"/>
      <c r="CJ115" s="149"/>
      <c r="CK115" s="149"/>
      <c r="CL115" s="149"/>
      <c r="CM115" s="149"/>
      <c r="CN115" s="149"/>
      <c r="CO115" s="149"/>
      <c r="CP115" s="149"/>
      <c r="CQ115" s="149"/>
    </row>
    <row r="116" spans="1:95" s="151" customFormat="1" ht="18" customHeight="1" x14ac:dyDescent="0.25">
      <c r="A116" s="1421" t="s">
        <v>277</v>
      </c>
      <c r="B116" s="1442"/>
      <c r="C116" s="1290"/>
      <c r="D116" s="1291"/>
      <c r="E116" s="1112"/>
      <c r="F116" s="1113"/>
      <c r="G116" s="1292"/>
      <c r="H116" s="1293"/>
      <c r="I116" s="469" t="str">
        <f>IF(M116=TRUE,IF(U116=2,E116*F116*G116," ")," ")</f>
        <v xml:space="preserve"> </v>
      </c>
      <c r="J116" s="480" t="str">
        <f>IF(M116=TRUE,IF(U116=3,E116*F116*G116," ")," ")</f>
        <v xml:space="preserve"> </v>
      </c>
      <c r="K116" s="19"/>
      <c r="L116" s="149"/>
      <c r="M116" s="247" t="b">
        <f>AND(E116&gt;0.1,F116&gt;0.1,G116&gt;0.1)</f>
        <v>0</v>
      </c>
      <c r="N116" s="247"/>
      <c r="O116" s="247"/>
      <c r="P116" s="247"/>
      <c r="Q116" s="247"/>
      <c r="R116" s="247" t="s">
        <v>262</v>
      </c>
      <c r="S116" s="247"/>
      <c r="T116" s="247"/>
      <c r="U116" s="247">
        <v>1</v>
      </c>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426"/>
      <c r="CB116" s="426"/>
      <c r="CC116" s="426"/>
      <c r="CD116" s="247"/>
      <c r="CE116" s="149"/>
      <c r="CF116" s="149"/>
      <c r="CG116" s="149"/>
      <c r="CH116" s="149"/>
      <c r="CI116" s="149"/>
      <c r="CJ116" s="149"/>
      <c r="CK116" s="149"/>
      <c r="CL116" s="149"/>
      <c r="CM116" s="149"/>
      <c r="CN116" s="149"/>
      <c r="CO116" s="149"/>
      <c r="CP116" s="149"/>
      <c r="CQ116" s="149"/>
    </row>
    <row r="117" spans="1:95" s="151" customFormat="1" ht="18" customHeight="1" x14ac:dyDescent="0.25">
      <c r="A117" s="1302" t="s">
        <v>306</v>
      </c>
      <c r="B117" s="1437"/>
      <c r="C117" s="1313"/>
      <c r="D117" s="1314"/>
      <c r="E117" s="1114"/>
      <c r="F117" s="1115"/>
      <c r="G117" s="1311"/>
      <c r="H117" s="1312"/>
      <c r="I117" s="471" t="str">
        <f>IF(M117=TRUE,IF(U117=2,E117*F117*G117," ")," ")</f>
        <v xml:space="preserve"> </v>
      </c>
      <c r="J117" s="481" t="str">
        <f>IF(M117=TRUE,IF(U117=3,E117*F117*G117," ")," ")</f>
        <v xml:space="preserve"> </v>
      </c>
      <c r="K117" s="19"/>
      <c r="L117" s="149"/>
      <c r="M117" s="247" t="b">
        <f>AND(E117&gt;0.1,F117&gt;0.1,G117&gt;0.1)</f>
        <v>0</v>
      </c>
      <c r="N117" s="247"/>
      <c r="O117" s="247"/>
      <c r="P117" s="247"/>
      <c r="Q117" s="247"/>
      <c r="R117" s="247" t="s">
        <v>263</v>
      </c>
      <c r="S117" s="247"/>
      <c r="T117" s="247"/>
      <c r="U117" s="247">
        <v>1</v>
      </c>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426"/>
      <c r="CB117" s="426"/>
      <c r="CC117" s="426"/>
      <c r="CD117" s="247"/>
      <c r="CE117" s="149"/>
      <c r="CF117" s="149"/>
      <c r="CG117" s="149"/>
      <c r="CH117" s="149"/>
      <c r="CI117" s="149"/>
      <c r="CJ117" s="149"/>
      <c r="CK117" s="149"/>
      <c r="CL117" s="149"/>
      <c r="CM117" s="149"/>
      <c r="CN117" s="149"/>
      <c r="CO117" s="149"/>
      <c r="CP117" s="149"/>
      <c r="CQ117" s="149"/>
    </row>
    <row r="118" spans="1:95" s="151" customFormat="1" ht="18" customHeight="1" x14ac:dyDescent="0.25">
      <c r="A118" s="1302" t="s">
        <v>307</v>
      </c>
      <c r="B118" s="1437"/>
      <c r="C118" s="1313"/>
      <c r="D118" s="1314"/>
      <c r="E118" s="1114"/>
      <c r="F118" s="1115"/>
      <c r="G118" s="1311"/>
      <c r="H118" s="1312"/>
      <c r="I118" s="471" t="str">
        <f>IF(M118=TRUE,IF(U118=2,E118*F118*G118," ")," ")</f>
        <v xml:space="preserve"> </v>
      </c>
      <c r="J118" s="481" t="str">
        <f>IF(M118=TRUE,IF(U118=3,E118*F118*G118," ")," ")</f>
        <v xml:space="preserve"> </v>
      </c>
      <c r="K118" s="19"/>
      <c r="L118" s="149"/>
      <c r="M118" s="247" t="b">
        <f>AND(E118&gt;0.1,F118&gt;0.1,G118&gt;0.1)</f>
        <v>0</v>
      </c>
      <c r="N118" s="247"/>
      <c r="O118" s="247"/>
      <c r="P118" s="247"/>
      <c r="Q118" s="247"/>
      <c r="R118" s="247"/>
      <c r="S118" s="247"/>
      <c r="T118" s="247"/>
      <c r="U118" s="247">
        <v>1</v>
      </c>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426"/>
      <c r="CB118" s="426"/>
      <c r="CC118" s="426"/>
      <c r="CD118" s="247"/>
      <c r="CE118" s="149"/>
      <c r="CF118" s="149"/>
      <c r="CG118" s="149"/>
      <c r="CH118" s="149"/>
      <c r="CI118" s="149"/>
      <c r="CJ118" s="149"/>
      <c r="CK118" s="149"/>
      <c r="CL118" s="149"/>
      <c r="CM118" s="149"/>
      <c r="CN118" s="149"/>
      <c r="CO118" s="149"/>
      <c r="CP118" s="149"/>
      <c r="CQ118" s="149"/>
    </row>
    <row r="119" spans="1:95" s="151" customFormat="1" ht="18" customHeight="1" thickBot="1" x14ac:dyDescent="0.3">
      <c r="A119" s="1306" t="s">
        <v>308</v>
      </c>
      <c r="B119" s="1307"/>
      <c r="C119" s="1461"/>
      <c r="D119" s="1462"/>
      <c r="E119" s="1116"/>
      <c r="F119" s="1117"/>
      <c r="G119" s="1294"/>
      <c r="H119" s="1295"/>
      <c r="I119" s="476" t="str">
        <f>IF(M119=TRUE,IF(U119=2,E119*F119*G119," ")," ")</f>
        <v xml:space="preserve"> </v>
      </c>
      <c r="J119" s="479" t="str">
        <f>IF(M119=TRUE,IF(U119=3,E119*F119*G119," ")," ")</f>
        <v xml:space="preserve"> </v>
      </c>
      <c r="K119" s="19"/>
      <c r="L119" s="149"/>
      <c r="M119" s="247" t="b">
        <f>AND(E119&gt;0.1,F119&gt;0.1,G119&gt;0.1)</f>
        <v>0</v>
      </c>
      <c r="N119" s="247"/>
      <c r="O119" s="247"/>
      <c r="P119" s="247"/>
      <c r="Q119" s="247"/>
      <c r="R119" s="247"/>
      <c r="S119" s="247"/>
      <c r="T119" s="247"/>
      <c r="U119" s="247">
        <v>1</v>
      </c>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426"/>
      <c r="CB119" s="426"/>
      <c r="CC119" s="426"/>
      <c r="CD119" s="247"/>
      <c r="CE119" s="149"/>
      <c r="CF119" s="149"/>
      <c r="CG119" s="149"/>
      <c r="CH119" s="149"/>
      <c r="CI119" s="149"/>
      <c r="CJ119" s="149"/>
      <c r="CK119" s="149"/>
      <c r="CL119" s="149"/>
      <c r="CM119" s="149"/>
      <c r="CN119" s="149"/>
      <c r="CO119" s="149"/>
      <c r="CP119" s="149"/>
      <c r="CQ119" s="149"/>
    </row>
    <row r="120" spans="1:95" s="151" customFormat="1" ht="21" customHeight="1" thickBot="1" x14ac:dyDescent="0.3">
      <c r="A120" s="1308" t="s">
        <v>337</v>
      </c>
      <c r="B120" s="1309"/>
      <c r="C120" s="1309"/>
      <c r="D120" s="1309"/>
      <c r="E120" s="1309"/>
      <c r="F120" s="1309"/>
      <c r="G120" s="1309"/>
      <c r="H120" s="1310"/>
      <c r="I120" s="183"/>
      <c r="J120" s="183"/>
      <c r="K120" s="19"/>
      <c r="L120" s="149"/>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426"/>
      <c r="CB120" s="426"/>
      <c r="CC120" s="426"/>
      <c r="CD120" s="247"/>
      <c r="CE120" s="149"/>
      <c r="CF120" s="149"/>
      <c r="CG120" s="149"/>
      <c r="CH120" s="149"/>
      <c r="CI120" s="149"/>
      <c r="CJ120" s="149"/>
      <c r="CK120" s="149"/>
      <c r="CL120" s="149"/>
      <c r="CM120" s="149"/>
      <c r="CN120" s="149"/>
      <c r="CO120" s="149"/>
      <c r="CP120" s="149"/>
      <c r="CQ120" s="149"/>
    </row>
    <row r="121" spans="1:95" s="151" customFormat="1" ht="18" customHeight="1" x14ac:dyDescent="0.25">
      <c r="A121" s="1298" t="s">
        <v>278</v>
      </c>
      <c r="B121" s="1299"/>
      <c r="C121" s="1440"/>
      <c r="D121" s="1460"/>
      <c r="E121" s="1460"/>
      <c r="F121" s="1460"/>
      <c r="G121" s="1460"/>
      <c r="H121" s="1293"/>
      <c r="I121" s="1118"/>
      <c r="J121" s="1119"/>
      <c r="K121" s="19"/>
      <c r="L121" s="149"/>
      <c r="M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426"/>
      <c r="CB121" s="426"/>
      <c r="CC121" s="426"/>
      <c r="CD121" s="247"/>
      <c r="CE121" s="149"/>
      <c r="CF121" s="149"/>
      <c r="CG121" s="149"/>
      <c r="CH121" s="149"/>
      <c r="CI121" s="149"/>
      <c r="CJ121" s="149"/>
      <c r="CK121" s="149"/>
      <c r="CL121" s="149"/>
      <c r="CM121" s="149"/>
      <c r="CN121" s="149"/>
      <c r="CO121" s="149"/>
      <c r="CP121" s="149"/>
      <c r="CQ121" s="149"/>
    </row>
    <row r="122" spans="1:95" s="151" customFormat="1" ht="18" customHeight="1" x14ac:dyDescent="0.25">
      <c r="A122" s="1435" t="s">
        <v>282</v>
      </c>
      <c r="B122" s="1436"/>
      <c r="C122" s="1300"/>
      <c r="D122" s="1446"/>
      <c r="E122" s="1446"/>
      <c r="F122" s="1446"/>
      <c r="G122" s="1446"/>
      <c r="H122" s="1312"/>
      <c r="I122" s="1120"/>
      <c r="J122" s="1121"/>
      <c r="K122" s="19"/>
      <c r="L122" s="149"/>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426"/>
      <c r="CB122" s="426"/>
      <c r="CC122" s="426"/>
      <c r="CD122" s="247"/>
      <c r="CE122" s="149"/>
      <c r="CF122" s="149"/>
      <c r="CG122" s="149"/>
      <c r="CH122" s="149"/>
      <c r="CI122" s="149"/>
      <c r="CJ122" s="149"/>
      <c r="CK122" s="149"/>
      <c r="CL122" s="149"/>
      <c r="CM122" s="149"/>
      <c r="CN122" s="149"/>
      <c r="CO122" s="149"/>
      <c r="CP122" s="149"/>
      <c r="CQ122" s="149"/>
    </row>
    <row r="123" spans="1:95" s="151" customFormat="1" ht="18" customHeight="1" x14ac:dyDescent="0.25">
      <c r="A123" s="1435" t="s">
        <v>283</v>
      </c>
      <c r="B123" s="1436"/>
      <c r="C123" s="1300"/>
      <c r="D123" s="1446"/>
      <c r="E123" s="1446"/>
      <c r="F123" s="1446"/>
      <c r="G123" s="1446"/>
      <c r="H123" s="1312"/>
      <c r="I123" s="1120"/>
      <c r="J123" s="1121"/>
      <c r="K123" s="19"/>
      <c r="L123" s="149"/>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426"/>
      <c r="CB123" s="426"/>
      <c r="CC123" s="426"/>
      <c r="CD123" s="247"/>
      <c r="CE123" s="149"/>
      <c r="CF123" s="149"/>
      <c r="CG123" s="149"/>
      <c r="CH123" s="149"/>
      <c r="CI123" s="149"/>
      <c r="CJ123" s="149"/>
      <c r="CK123" s="149"/>
      <c r="CL123" s="149"/>
      <c r="CM123" s="149"/>
      <c r="CN123" s="149"/>
      <c r="CO123" s="149"/>
      <c r="CP123" s="149"/>
      <c r="CQ123" s="149"/>
    </row>
    <row r="124" spans="1:95" s="151" customFormat="1" ht="18" customHeight="1" thickBot="1" x14ac:dyDescent="0.3">
      <c r="A124" s="1433" t="s">
        <v>284</v>
      </c>
      <c r="B124" s="1434"/>
      <c r="C124" s="1275"/>
      <c r="D124" s="1432"/>
      <c r="E124" s="1432"/>
      <c r="F124" s="1432"/>
      <c r="G124" s="1432"/>
      <c r="H124" s="1295"/>
      <c r="I124" s="1122"/>
      <c r="J124" s="1123"/>
      <c r="K124" s="19"/>
      <c r="L124" s="149"/>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426"/>
      <c r="CB124" s="426"/>
      <c r="CC124" s="426"/>
      <c r="CD124" s="247"/>
      <c r="CE124" s="149"/>
      <c r="CF124" s="149"/>
      <c r="CG124" s="149"/>
      <c r="CH124" s="149"/>
      <c r="CI124" s="149"/>
      <c r="CJ124" s="149"/>
      <c r="CK124" s="149"/>
      <c r="CL124" s="149"/>
      <c r="CM124" s="149"/>
      <c r="CN124" s="149"/>
      <c r="CO124" s="149"/>
      <c r="CP124" s="149"/>
      <c r="CQ124" s="149"/>
    </row>
    <row r="125" spans="1:95" s="145" customFormat="1" ht="20.25" customHeight="1" thickBot="1" x14ac:dyDescent="0.3">
      <c r="A125" s="177" t="s">
        <v>285</v>
      </c>
      <c r="B125" s="178"/>
      <c r="C125" s="178"/>
      <c r="D125" s="227" t="str">
        <f>IF(X131&gt;1,"Verpacht mit Vorzeichen minus"," ")</f>
        <v xml:space="preserve"> </v>
      </c>
      <c r="E125" s="179"/>
      <c r="F125" s="179"/>
      <c r="G125" s="179"/>
      <c r="H125" s="179"/>
      <c r="I125" s="193"/>
      <c r="J125" s="193"/>
      <c r="K125" s="25"/>
      <c r="L125" s="15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W125" s="336"/>
      <c r="AX125" s="336"/>
      <c r="AY125" s="336"/>
      <c r="AZ125" s="336"/>
      <c r="BA125" s="336"/>
      <c r="BB125" s="336"/>
      <c r="BC125" s="336"/>
      <c r="BD125" s="336"/>
      <c r="BE125" s="336"/>
      <c r="BF125" s="336"/>
      <c r="BG125" s="336"/>
      <c r="BH125" s="336"/>
      <c r="BI125" s="336"/>
      <c r="BJ125" s="336"/>
      <c r="BK125" s="336"/>
      <c r="BL125" s="336"/>
      <c r="BM125" s="336"/>
      <c r="BN125" s="336"/>
      <c r="BO125" s="336"/>
      <c r="BP125" s="336"/>
      <c r="BQ125" s="336"/>
      <c r="BR125" s="336"/>
      <c r="BS125" s="336"/>
      <c r="BT125" s="336"/>
      <c r="BU125" s="336"/>
      <c r="BV125" s="336"/>
      <c r="BW125" s="336"/>
      <c r="BX125" s="336"/>
      <c r="BY125" s="336"/>
      <c r="BZ125" s="336"/>
      <c r="CA125" s="336"/>
      <c r="CB125" s="336"/>
      <c r="CC125" s="336"/>
      <c r="CD125" s="336"/>
      <c r="CE125" s="156"/>
      <c r="CF125" s="156"/>
      <c r="CG125" s="156"/>
      <c r="CH125" s="156"/>
      <c r="CI125" s="156"/>
      <c r="CJ125" s="156"/>
      <c r="CK125" s="156"/>
      <c r="CL125" s="156"/>
      <c r="CM125" s="156"/>
      <c r="CN125" s="156"/>
      <c r="CO125" s="156"/>
      <c r="CP125" s="156"/>
      <c r="CQ125" s="156"/>
    </row>
    <row r="126" spans="1:95" s="151" customFormat="1" ht="19.5" customHeight="1" thickBot="1" x14ac:dyDescent="0.3">
      <c r="A126" s="177" t="s">
        <v>281</v>
      </c>
      <c r="B126" s="177" t="s">
        <v>280</v>
      </c>
      <c r="C126" s="180"/>
      <c r="D126" s="186"/>
      <c r="E126" s="186"/>
      <c r="F126" s="186"/>
      <c r="G126" s="186"/>
      <c r="H126" s="186"/>
      <c r="I126" s="192"/>
      <c r="J126" s="192"/>
      <c r="K126" s="20"/>
      <c r="L126" s="150"/>
      <c r="M126" s="304"/>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426"/>
      <c r="CB126" s="426"/>
      <c r="CC126" s="426"/>
      <c r="CD126" s="247"/>
      <c r="CE126" s="149"/>
      <c r="CF126" s="149"/>
      <c r="CG126" s="149"/>
      <c r="CH126" s="149"/>
      <c r="CI126" s="149"/>
      <c r="CJ126" s="149"/>
      <c r="CK126" s="149"/>
      <c r="CL126" s="149"/>
      <c r="CM126" s="149"/>
      <c r="CN126" s="149"/>
      <c r="CO126" s="149"/>
      <c r="CP126" s="149"/>
      <c r="CQ126" s="149"/>
    </row>
    <row r="127" spans="1:95" s="151" customFormat="1" ht="18" customHeight="1" x14ac:dyDescent="0.25">
      <c r="A127" s="121"/>
      <c r="B127" s="1423"/>
      <c r="C127" s="1424"/>
      <c r="D127" s="1424"/>
      <c r="E127" s="1424"/>
      <c r="F127" s="1424"/>
      <c r="G127" s="1424"/>
      <c r="H127" s="1425"/>
      <c r="I127" s="1118"/>
      <c r="J127" s="1124"/>
      <c r="K127" s="20"/>
      <c r="L127" s="150"/>
      <c r="M127" s="304"/>
      <c r="N127" s="304"/>
      <c r="O127" s="304"/>
      <c r="P127" s="304"/>
      <c r="Q127" s="304"/>
      <c r="R127" s="247" t="s">
        <v>21</v>
      </c>
      <c r="S127" s="304"/>
      <c r="T127" s="304"/>
      <c r="U127" s="304">
        <v>1</v>
      </c>
      <c r="V127" s="304"/>
      <c r="W127" s="304"/>
      <c r="X127" s="304">
        <f>IF(U127=3,IF(I127&gt;0,99,IF(J127&gt;0,99,0)),0)</f>
        <v>0</v>
      </c>
      <c r="Y127" s="304">
        <f>IF(U127=1,IF(I127&gt;0,99,IF(J127&gt;0,99,0)),0)</f>
        <v>0</v>
      </c>
      <c r="Z127" s="304">
        <f>IF(U127=1,IF(I127&lt;0,99,IF(J127&lt;0,99,0)),0)</f>
        <v>0</v>
      </c>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426"/>
      <c r="CB127" s="426"/>
      <c r="CC127" s="426"/>
      <c r="CD127" s="247"/>
      <c r="CE127" s="149"/>
      <c r="CF127" s="149"/>
      <c r="CG127" s="149"/>
      <c r="CH127" s="149"/>
      <c r="CI127" s="149"/>
      <c r="CJ127" s="149"/>
      <c r="CK127" s="149"/>
      <c r="CL127" s="149"/>
      <c r="CM127" s="149"/>
      <c r="CN127" s="149"/>
      <c r="CO127" s="149"/>
      <c r="CP127" s="149"/>
      <c r="CQ127" s="149"/>
    </row>
    <row r="128" spans="1:95" s="151" customFormat="1" ht="18" customHeight="1" x14ac:dyDescent="0.25">
      <c r="A128" s="122"/>
      <c r="B128" s="1426"/>
      <c r="C128" s="1427"/>
      <c r="D128" s="1427"/>
      <c r="E128" s="1427"/>
      <c r="F128" s="1427"/>
      <c r="G128" s="1427"/>
      <c r="H128" s="1428"/>
      <c r="I128" s="1120"/>
      <c r="J128" s="1125"/>
      <c r="K128" s="20"/>
      <c r="L128" s="150"/>
      <c r="M128" s="304"/>
      <c r="N128" s="304"/>
      <c r="O128" s="304"/>
      <c r="P128" s="304"/>
      <c r="Q128" s="304"/>
      <c r="R128" s="247" t="s">
        <v>309</v>
      </c>
      <c r="S128" s="304"/>
      <c r="T128" s="304"/>
      <c r="U128" s="304">
        <v>1</v>
      </c>
      <c r="V128" s="304"/>
      <c r="W128" s="304"/>
      <c r="X128" s="304">
        <f>IF(U128=3,IF(I128&gt;0,99,IF(J128&gt;0,99,0)),0)</f>
        <v>0</v>
      </c>
      <c r="Y128" s="304">
        <f>IF(U128=1,IF(I128&gt;0,99,IF(J128&gt;0,99,0)),0)</f>
        <v>0</v>
      </c>
      <c r="Z128" s="304">
        <f>IF(U128=1,IF(I128&lt;0,99,IF(J128&lt;0,99,0)),0)</f>
        <v>0</v>
      </c>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426"/>
      <c r="CB128" s="426"/>
      <c r="CC128" s="426"/>
      <c r="CD128" s="247"/>
      <c r="CE128" s="149"/>
      <c r="CF128" s="149"/>
      <c r="CG128" s="149"/>
      <c r="CH128" s="149"/>
      <c r="CI128" s="149"/>
      <c r="CJ128" s="149"/>
      <c r="CK128" s="149"/>
      <c r="CL128" s="149"/>
      <c r="CM128" s="149"/>
      <c r="CN128" s="149"/>
      <c r="CO128" s="149"/>
      <c r="CP128" s="149"/>
      <c r="CQ128" s="149"/>
    </row>
    <row r="129" spans="1:95" s="151" customFormat="1" ht="18" customHeight="1" x14ac:dyDescent="0.25">
      <c r="A129" s="122"/>
      <c r="B129" s="1426"/>
      <c r="C129" s="1427"/>
      <c r="D129" s="1427"/>
      <c r="E129" s="1427"/>
      <c r="F129" s="1427"/>
      <c r="G129" s="1427"/>
      <c r="H129" s="1428"/>
      <c r="I129" s="1120"/>
      <c r="J129" s="1125"/>
      <c r="K129" s="20"/>
      <c r="L129" s="150"/>
      <c r="M129" s="304"/>
      <c r="N129" s="304"/>
      <c r="O129" s="304"/>
      <c r="P129" s="304"/>
      <c r="Q129" s="304"/>
      <c r="R129" s="247" t="s">
        <v>310</v>
      </c>
      <c r="S129" s="304"/>
      <c r="T129" s="304"/>
      <c r="U129" s="304">
        <v>1</v>
      </c>
      <c r="V129" s="304"/>
      <c r="W129" s="304"/>
      <c r="X129" s="304">
        <f>IF(U129=3,IF(I129&gt;0,99,IF(J129&gt;0,99,0)),0)</f>
        <v>0</v>
      </c>
      <c r="Y129" s="304">
        <f>IF(U129=1,IF(I129&gt;0,99,IF(J129&gt;0,99,0)),0)</f>
        <v>0</v>
      </c>
      <c r="Z129" s="304">
        <f>IF(U129=1,IF(I129&lt;0,99,IF(J129&lt;0,99,0)),0)</f>
        <v>0</v>
      </c>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426"/>
      <c r="CB129" s="426"/>
      <c r="CC129" s="426"/>
      <c r="CD129" s="247"/>
      <c r="CE129" s="149"/>
      <c r="CF129" s="149"/>
      <c r="CG129" s="149"/>
      <c r="CH129" s="149"/>
      <c r="CI129" s="149"/>
      <c r="CJ129" s="149"/>
      <c r="CK129" s="149"/>
      <c r="CL129" s="149"/>
      <c r="CM129" s="149"/>
      <c r="CN129" s="149"/>
      <c r="CO129" s="149"/>
      <c r="CP129" s="149"/>
      <c r="CQ129" s="149"/>
    </row>
    <row r="130" spans="1:95" s="151" customFormat="1" ht="18" customHeight="1" thickBot="1" x14ac:dyDescent="0.3">
      <c r="A130" s="122"/>
      <c r="B130" s="1429"/>
      <c r="C130" s="1430"/>
      <c r="D130" s="1430"/>
      <c r="E130" s="1430"/>
      <c r="F130" s="1430"/>
      <c r="G130" s="1430"/>
      <c r="H130" s="1431"/>
      <c r="I130" s="1122"/>
      <c r="J130" s="1126"/>
      <c r="K130" s="20"/>
      <c r="L130" s="150"/>
      <c r="M130" s="304"/>
      <c r="N130" s="304"/>
      <c r="O130" s="304"/>
      <c r="P130" s="304"/>
      <c r="Q130" s="304"/>
      <c r="R130" s="304"/>
      <c r="S130" s="304"/>
      <c r="T130" s="304"/>
      <c r="U130" s="304">
        <v>1</v>
      </c>
      <c r="V130" s="304"/>
      <c r="W130" s="304"/>
      <c r="X130" s="304">
        <f>IF(U130=3,IF(I130&gt;0,99,IF(J130&gt;0,99,0)),0)</f>
        <v>0</v>
      </c>
      <c r="Y130" s="304">
        <f>IF(U130=1,IF(I130&gt;0,99,IF(J130&gt;0,99,0)),0)</f>
        <v>0</v>
      </c>
      <c r="Z130" s="304">
        <f>IF(U130=1,IF(I130&lt;0,99,IF(J130&lt;0,99,0)),0)</f>
        <v>0</v>
      </c>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426"/>
      <c r="CB130" s="426"/>
      <c r="CC130" s="426"/>
      <c r="CD130" s="247"/>
      <c r="CE130" s="149"/>
      <c r="CF130" s="149"/>
      <c r="CG130" s="149"/>
      <c r="CH130" s="149"/>
      <c r="CI130" s="149"/>
      <c r="CJ130" s="149"/>
      <c r="CK130" s="149"/>
      <c r="CL130" s="149"/>
      <c r="CM130" s="149"/>
      <c r="CN130" s="149"/>
      <c r="CO130" s="149"/>
      <c r="CP130" s="149"/>
      <c r="CQ130" s="149"/>
    </row>
    <row r="131" spans="1:95" s="153" customFormat="1" ht="27.75" customHeight="1" thickBot="1" x14ac:dyDescent="0.3">
      <c r="A131" s="573" t="s">
        <v>345</v>
      </c>
      <c r="B131" s="574"/>
      <c r="C131" s="574"/>
      <c r="D131" s="575"/>
      <c r="E131" s="575"/>
      <c r="F131" s="575"/>
      <c r="G131" s="575"/>
      <c r="H131" s="575"/>
      <c r="I131" s="222" t="str">
        <f>IF(M131=0," ",IF(AA131&gt;1,"Fehler",M131))</f>
        <v xml:space="preserve"> </v>
      </c>
      <c r="J131" s="222" t="str">
        <f>IF(N131=0," ",IF(AA131&gt;0,"Fehler",N131))</f>
        <v xml:space="preserve"> </v>
      </c>
      <c r="K131" s="125"/>
      <c r="L131" s="311"/>
      <c r="M131" s="313">
        <f>+M132+M133</f>
        <v>0</v>
      </c>
      <c r="N131" s="313">
        <f>+N132+N133</f>
        <v>0</v>
      </c>
      <c r="O131" s="312"/>
      <c r="P131" s="312"/>
      <c r="Q131" s="312"/>
      <c r="R131" s="312"/>
      <c r="S131" s="312"/>
      <c r="T131" s="312"/>
      <c r="U131" s="312"/>
      <c r="V131" s="312"/>
      <c r="W131" s="312"/>
      <c r="X131" s="312">
        <f>SUM(X127:X130)</f>
        <v>0</v>
      </c>
      <c r="Y131" s="312">
        <f>SUM(Y127:Y130)</f>
        <v>0</v>
      </c>
      <c r="Z131" s="312">
        <f>SUM(Z127:Z130)</f>
        <v>0</v>
      </c>
      <c r="AA131" s="312">
        <f>+X131+Y131+Z131</f>
        <v>0</v>
      </c>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4"/>
      <c r="AW131" s="314"/>
      <c r="AX131" s="314"/>
      <c r="AY131" s="314"/>
      <c r="AZ131" s="314"/>
      <c r="BA131" s="314"/>
      <c r="BB131" s="314"/>
      <c r="BC131" s="314"/>
      <c r="BD131" s="314"/>
      <c r="BE131" s="314"/>
      <c r="BF131" s="314"/>
      <c r="BG131" s="314"/>
      <c r="BH131" s="314"/>
      <c r="BI131" s="314"/>
      <c r="BJ131" s="314"/>
      <c r="BK131" s="314"/>
      <c r="BL131" s="314"/>
      <c r="BM131" s="314"/>
      <c r="BN131" s="314"/>
      <c r="BO131" s="314"/>
      <c r="BP131" s="314"/>
      <c r="BQ131" s="314"/>
      <c r="BR131" s="314"/>
      <c r="BS131" s="314"/>
      <c r="BT131" s="314"/>
      <c r="BU131" s="314"/>
      <c r="BV131" s="314"/>
      <c r="BW131" s="314"/>
      <c r="BX131" s="314"/>
      <c r="BY131" s="314"/>
      <c r="BZ131" s="314"/>
      <c r="CA131" s="314"/>
      <c r="CB131" s="314"/>
      <c r="CC131" s="314"/>
      <c r="CD131" s="314"/>
      <c r="CE131" s="152"/>
      <c r="CF131" s="152"/>
      <c r="CG131" s="152"/>
      <c r="CH131" s="152"/>
      <c r="CI131" s="152"/>
      <c r="CJ131" s="152"/>
      <c r="CK131" s="152"/>
      <c r="CL131" s="152"/>
      <c r="CM131" s="152"/>
      <c r="CN131" s="152"/>
      <c r="CO131" s="152"/>
      <c r="CP131" s="152"/>
      <c r="CQ131" s="152"/>
    </row>
    <row r="132" spans="1:95" s="155" customFormat="1" ht="10.5" customHeight="1" thickBot="1" x14ac:dyDescent="0.3">
      <c r="A132" s="576" t="s">
        <v>571</v>
      </c>
      <c r="B132" s="577"/>
      <c r="C132" s="577"/>
      <c r="D132" s="578"/>
      <c r="E132" s="578"/>
      <c r="F132" s="578"/>
      <c r="G132" s="578"/>
      <c r="H132" s="578"/>
      <c r="I132" s="214" t="str">
        <f>IF(M132=0," ",M132)</f>
        <v xml:space="preserve"> </v>
      </c>
      <c r="J132" s="215" t="str">
        <f>IF(N132=0," ",N132)</f>
        <v xml:space="preserve"> </v>
      </c>
      <c r="K132" s="120"/>
      <c r="L132" s="318"/>
      <c r="M132" s="337">
        <f>SUM(I110:I124)</f>
        <v>0</v>
      </c>
      <c r="N132" s="338">
        <f>SUM(J110:J124)</f>
        <v>0</v>
      </c>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154"/>
      <c r="CF132" s="154"/>
      <c r="CG132" s="154"/>
      <c r="CH132" s="154"/>
      <c r="CI132" s="154"/>
      <c r="CJ132" s="154"/>
      <c r="CK132" s="154"/>
      <c r="CL132" s="154"/>
      <c r="CM132" s="154"/>
      <c r="CN132" s="154"/>
      <c r="CO132" s="154"/>
      <c r="CP132" s="154"/>
      <c r="CQ132" s="154"/>
    </row>
    <row r="133" spans="1:95" s="155" customFormat="1" ht="10.5" customHeight="1" thickBot="1" x14ac:dyDescent="0.3">
      <c r="A133" s="579" t="s">
        <v>572</v>
      </c>
      <c r="B133" s="577"/>
      <c r="C133" s="577"/>
      <c r="D133" s="578"/>
      <c r="E133" s="578"/>
      <c r="F133" s="578"/>
      <c r="G133" s="578"/>
      <c r="H133" s="578"/>
      <c r="I133" s="214" t="str">
        <f>IF(M133=0," ",M133)</f>
        <v xml:space="preserve"> </v>
      </c>
      <c r="J133" s="215" t="str">
        <f>IF(N133=0," ",N133)</f>
        <v xml:space="preserve"> </v>
      </c>
      <c r="K133" s="120"/>
      <c r="L133" s="318"/>
      <c r="M133" s="339">
        <f>SUM(I127:I130)</f>
        <v>0</v>
      </c>
      <c r="N133" s="339">
        <f>SUM(J127:J130)</f>
        <v>0</v>
      </c>
      <c r="O133" s="319"/>
      <c r="P133" s="319"/>
      <c r="Q133" s="319"/>
      <c r="R133" s="340" t="s">
        <v>297</v>
      </c>
      <c r="S133" s="319"/>
      <c r="T133" s="319"/>
      <c r="U133" s="319"/>
      <c r="V133" s="319"/>
      <c r="W133" s="319"/>
      <c r="X133" s="319"/>
      <c r="Y133" s="319"/>
      <c r="Z133" s="341" t="s">
        <v>295</v>
      </c>
      <c r="AA133" s="341"/>
      <c r="AB133" s="341"/>
      <c r="AC133" s="341"/>
      <c r="AD133" s="341"/>
      <c r="AE133" s="341"/>
      <c r="AF133" s="341"/>
      <c r="AG133" s="341"/>
      <c r="AH133" s="319"/>
      <c r="AI133" s="319"/>
      <c r="AJ133" s="319"/>
      <c r="AK133" s="319"/>
      <c r="AL133" s="319"/>
      <c r="AM133" s="319"/>
      <c r="AN133" s="319"/>
      <c r="AO133" s="319"/>
      <c r="AP133" s="340" t="s">
        <v>298</v>
      </c>
      <c r="AQ133" s="319"/>
      <c r="AR133" s="319"/>
      <c r="AS133" s="319"/>
      <c r="AT133" s="319"/>
      <c r="AU133" s="319"/>
      <c r="AV133" s="321"/>
      <c r="AW133" s="321"/>
      <c r="AX133" s="321"/>
      <c r="AY133" s="321"/>
      <c r="AZ133" s="321"/>
      <c r="BA133" s="321"/>
      <c r="BB133" s="321"/>
      <c r="BC133" s="321"/>
      <c r="BD133" s="321"/>
      <c r="BE133" s="321"/>
      <c r="BF133" s="321"/>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21"/>
      <c r="CD133" s="321"/>
      <c r="CE133" s="154"/>
      <c r="CF133" s="154"/>
      <c r="CG133" s="154"/>
      <c r="CH133" s="154"/>
      <c r="CI133" s="154"/>
      <c r="CJ133" s="154"/>
      <c r="CK133" s="154"/>
      <c r="CL133" s="154"/>
      <c r="CM133" s="154"/>
      <c r="CN133" s="154"/>
      <c r="CO133" s="154"/>
      <c r="CP133" s="154"/>
      <c r="CQ133" s="154"/>
    </row>
    <row r="134" spans="1:95" s="151" customFormat="1" ht="7.5" customHeight="1" x14ac:dyDescent="0.25">
      <c r="K134" s="21"/>
      <c r="M134" s="342"/>
      <c r="N134" s="342"/>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426"/>
      <c r="CB134" s="426"/>
      <c r="CC134" s="426"/>
      <c r="CD134" s="247"/>
      <c r="CE134" s="149"/>
      <c r="CF134" s="149"/>
      <c r="CG134" s="149"/>
      <c r="CH134" s="149"/>
      <c r="CI134" s="149"/>
      <c r="CJ134" s="149"/>
      <c r="CK134" s="149"/>
      <c r="CL134" s="149"/>
      <c r="CM134" s="149"/>
      <c r="CN134" s="149"/>
      <c r="CO134" s="149"/>
      <c r="CP134" s="149"/>
      <c r="CQ134" s="149"/>
    </row>
    <row r="135" spans="1:95" s="151" customFormat="1" ht="7.5" customHeight="1" thickBot="1" x14ac:dyDescent="0.3">
      <c r="A135" s="580"/>
      <c r="B135" s="424"/>
      <c r="C135" s="424"/>
      <c r="D135" s="581"/>
      <c r="E135" s="581"/>
      <c r="F135" s="581"/>
      <c r="G135" s="581"/>
      <c r="H135" s="581"/>
      <c r="I135" s="149"/>
      <c r="J135" s="582"/>
      <c r="K135" s="19"/>
      <c r="L135" s="149"/>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426"/>
      <c r="CB135" s="426"/>
      <c r="CC135" s="426"/>
      <c r="CD135" s="247"/>
      <c r="CE135" s="149"/>
      <c r="CF135" s="149"/>
      <c r="CG135" s="149"/>
      <c r="CH135" s="149"/>
      <c r="CI135" s="149"/>
      <c r="CJ135" s="149"/>
      <c r="CK135" s="149"/>
      <c r="CL135" s="149"/>
      <c r="CM135" s="149"/>
      <c r="CN135" s="149"/>
      <c r="CO135" s="149"/>
      <c r="CP135" s="149"/>
      <c r="CQ135" s="149"/>
    </row>
    <row r="136" spans="1:95" s="151" customFormat="1" ht="26.25" hidden="1" customHeight="1" thickBot="1" x14ac:dyDescent="0.3">
      <c r="A136" s="583" t="s">
        <v>358</v>
      </c>
      <c r="B136" s="584"/>
      <c r="C136" s="1449"/>
      <c r="D136" s="1449"/>
      <c r="E136" s="1449"/>
      <c r="F136" s="1449"/>
      <c r="G136" s="1449"/>
      <c r="H136" s="1450"/>
      <c r="I136" s="585" t="s">
        <v>262</v>
      </c>
      <c r="J136" s="586" t="s">
        <v>263</v>
      </c>
      <c r="K136" s="19"/>
      <c r="L136" s="149"/>
      <c r="M136" s="247">
        <f>IF(C97=0,"0",6)</f>
        <v>6</v>
      </c>
      <c r="N136" s="343">
        <f>ROUND(N137,1)</f>
        <v>0</v>
      </c>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426"/>
      <c r="CB136" s="426"/>
      <c r="CC136" s="426"/>
      <c r="CD136" s="247"/>
      <c r="CE136" s="149"/>
      <c r="CF136" s="149"/>
      <c r="CG136" s="149"/>
      <c r="CH136" s="149"/>
      <c r="CI136" s="149"/>
      <c r="CJ136" s="149"/>
      <c r="CK136" s="149"/>
      <c r="CL136" s="149"/>
      <c r="CM136" s="149"/>
      <c r="CN136" s="149"/>
      <c r="CO136" s="149"/>
      <c r="CP136" s="149"/>
      <c r="CQ136" s="149"/>
    </row>
    <row r="137" spans="1:95" s="151" customFormat="1" ht="15.75" hidden="1" customHeight="1" thickBot="1" x14ac:dyDescent="0.3">
      <c r="A137" s="587" t="s">
        <v>304</v>
      </c>
      <c r="B137" s="588"/>
      <c r="C137" s="588"/>
      <c r="D137" s="588"/>
      <c r="E137" s="588"/>
      <c r="F137" s="588"/>
      <c r="G137" s="588"/>
      <c r="H137" s="589"/>
      <c r="I137" s="228" t="str">
        <f>CONCATENATE(M136," Mo.")</f>
        <v>6 Mo.</v>
      </c>
      <c r="J137" s="229" t="str">
        <f>CONCATENATE(N136," Mo.")</f>
        <v>0 Mo.</v>
      </c>
      <c r="K137" s="19"/>
      <c r="L137" s="149"/>
      <c r="M137" s="344">
        <v>6</v>
      </c>
      <c r="N137" s="345">
        <f>+CL98</f>
        <v>0</v>
      </c>
      <c r="O137" s="247"/>
      <c r="P137" s="247"/>
      <c r="Q137" s="247"/>
      <c r="R137" s="1405" t="s">
        <v>287</v>
      </c>
      <c r="S137" s="1405" t="s">
        <v>288</v>
      </c>
      <c r="T137" s="1405" t="s">
        <v>292</v>
      </c>
      <c r="U137" s="1405" t="s">
        <v>477</v>
      </c>
      <c r="V137" s="346"/>
      <c r="W137" s="346"/>
      <c r="X137" s="1405" t="s">
        <v>478</v>
      </c>
      <c r="Y137" s="247"/>
      <c r="Z137" s="1407" t="s">
        <v>287</v>
      </c>
      <c r="AA137" s="346"/>
      <c r="AB137" s="346"/>
      <c r="AC137" s="346"/>
      <c r="AD137" s="346"/>
      <c r="AE137" s="346"/>
      <c r="AF137" s="346"/>
      <c r="AG137" s="346"/>
      <c r="AH137" s="1405" t="s">
        <v>288</v>
      </c>
      <c r="AI137" s="1405" t="s">
        <v>296</v>
      </c>
      <c r="AJ137" s="1406" t="s">
        <v>479</v>
      </c>
      <c r="AK137" s="1405" t="s">
        <v>480</v>
      </c>
      <c r="AL137" s="1405" t="s">
        <v>342</v>
      </c>
      <c r="AM137" s="1405" t="s">
        <v>481</v>
      </c>
      <c r="AN137" s="1405" t="s">
        <v>482</v>
      </c>
      <c r="AO137" s="342"/>
      <c r="AP137" s="1405" t="s">
        <v>293</v>
      </c>
      <c r="AQ137" s="1405" t="s">
        <v>294</v>
      </c>
      <c r="AR137" s="346"/>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426"/>
      <c r="CB137" s="426"/>
      <c r="CC137" s="426"/>
      <c r="CD137" s="247"/>
      <c r="CE137" s="149"/>
      <c r="CF137" s="149"/>
      <c r="CG137" s="149"/>
      <c r="CH137" s="149"/>
      <c r="CI137" s="149"/>
      <c r="CJ137" s="149"/>
      <c r="CK137" s="149"/>
      <c r="CL137" s="149"/>
      <c r="CM137" s="149"/>
      <c r="CN137" s="149"/>
      <c r="CO137" s="149"/>
      <c r="CP137" s="149"/>
      <c r="CQ137" s="149"/>
    </row>
    <row r="138" spans="1:95" s="151" customFormat="1" ht="15.75" hidden="1" customHeight="1" x14ac:dyDescent="0.25">
      <c r="A138" s="590" t="s">
        <v>305</v>
      </c>
      <c r="B138" s="591"/>
      <c r="C138" s="591"/>
      <c r="D138" s="592"/>
      <c r="E138" s="592"/>
      <c r="F138" s="592"/>
      <c r="G138" s="592"/>
      <c r="H138" s="592"/>
      <c r="I138" s="216" t="str">
        <f>IF(M138=0," ",M138)</f>
        <v xml:space="preserve"> </v>
      </c>
      <c r="J138" s="216" t="str">
        <f>IF(N138=0," ",N138)</f>
        <v xml:space="preserve"> </v>
      </c>
      <c r="K138" s="19"/>
      <c r="L138" s="149"/>
      <c r="M138" s="347">
        <f>+T95/12*M137</f>
        <v>0</v>
      </c>
      <c r="N138" s="348">
        <f>+(T47+T88)/12*N137</f>
        <v>0</v>
      </c>
      <c r="O138" s="247"/>
      <c r="P138" s="247"/>
      <c r="Q138" s="247"/>
      <c r="R138" s="1405"/>
      <c r="S138" s="1405"/>
      <c r="T138" s="1405"/>
      <c r="U138" s="1405"/>
      <c r="V138" s="346"/>
      <c r="W138" s="346"/>
      <c r="X138" s="1405"/>
      <c r="Y138" s="247"/>
      <c r="Z138" s="1407"/>
      <c r="AA138" s="346"/>
      <c r="AB138" s="346"/>
      <c r="AC138" s="346"/>
      <c r="AD138" s="346"/>
      <c r="AE138" s="346"/>
      <c r="AF138" s="346"/>
      <c r="AG138" s="346"/>
      <c r="AH138" s="1405"/>
      <c r="AI138" s="1405"/>
      <c r="AJ138" s="1405"/>
      <c r="AK138" s="1405"/>
      <c r="AL138" s="1405"/>
      <c r="AM138" s="1405"/>
      <c r="AN138" s="1405"/>
      <c r="AO138" s="342"/>
      <c r="AP138" s="1405"/>
      <c r="AQ138" s="1405"/>
      <c r="AR138" s="346"/>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426"/>
      <c r="CB138" s="426"/>
      <c r="CC138" s="426"/>
      <c r="CD138" s="247"/>
      <c r="CE138" s="149"/>
      <c r="CF138" s="149"/>
      <c r="CG138" s="149"/>
      <c r="CH138" s="149"/>
      <c r="CI138" s="149"/>
      <c r="CJ138" s="149"/>
      <c r="CK138" s="149"/>
      <c r="CL138" s="149"/>
      <c r="CM138" s="149"/>
      <c r="CN138" s="149"/>
      <c r="CO138" s="149"/>
      <c r="CP138" s="149"/>
      <c r="CQ138" s="149"/>
    </row>
    <row r="139" spans="1:95" s="151" customFormat="1" ht="15.75" hidden="1" customHeight="1" thickBot="1" x14ac:dyDescent="0.3">
      <c r="A139" s="593" t="s">
        <v>345</v>
      </c>
      <c r="B139" s="424"/>
      <c r="C139" s="424"/>
      <c r="D139" s="581"/>
      <c r="E139" s="581"/>
      <c r="F139" s="581"/>
      <c r="G139" s="581"/>
      <c r="H139" s="581"/>
      <c r="I139" s="217" t="str">
        <f>IF(M139=0," ",M139)</f>
        <v xml:space="preserve"> </v>
      </c>
      <c r="J139" s="217" t="str">
        <f>IF(N139=0," ",N139)</f>
        <v xml:space="preserve"> </v>
      </c>
      <c r="K139" s="19"/>
      <c r="L139" s="149"/>
      <c r="M139" s="347">
        <f>IF(I131=" ",0,I131)</f>
        <v>0</v>
      </c>
      <c r="N139" s="332">
        <f>IF(J131=" ",0,J131)</f>
        <v>0</v>
      </c>
      <c r="O139" s="247"/>
      <c r="P139" s="247"/>
      <c r="Q139" s="247"/>
      <c r="R139" s="1405"/>
      <c r="S139" s="1405"/>
      <c r="T139" s="1405"/>
      <c r="U139" s="1405"/>
      <c r="V139" s="346"/>
      <c r="W139" s="346"/>
      <c r="X139" s="1405"/>
      <c r="Y139" s="247"/>
      <c r="Z139" s="1407"/>
      <c r="AA139" s="346"/>
      <c r="AB139" s="346"/>
      <c r="AC139" s="346"/>
      <c r="AD139" s="346"/>
      <c r="AE139" s="346"/>
      <c r="AF139" s="346"/>
      <c r="AG139" s="346"/>
      <c r="AH139" s="1405"/>
      <c r="AI139" s="1405"/>
      <c r="AJ139" s="1405"/>
      <c r="AK139" s="1405"/>
      <c r="AL139" s="1405"/>
      <c r="AM139" s="1405"/>
      <c r="AN139" s="1405"/>
      <c r="AO139" s="342"/>
      <c r="AP139" s="1405"/>
      <c r="AQ139" s="1405"/>
      <c r="AR139" s="346"/>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426"/>
      <c r="CB139" s="426"/>
      <c r="CC139" s="426"/>
      <c r="CD139" s="247"/>
      <c r="CE139" s="149"/>
      <c r="CF139" s="149"/>
      <c r="CG139" s="149"/>
      <c r="CH139" s="149"/>
      <c r="CI139" s="149"/>
      <c r="CJ139" s="149"/>
      <c r="CK139" s="149"/>
      <c r="CL139" s="149"/>
      <c r="CM139" s="149"/>
      <c r="CN139" s="149"/>
      <c r="CO139" s="149"/>
      <c r="CP139" s="149"/>
      <c r="CQ139" s="149"/>
    </row>
    <row r="140" spans="1:95" s="153" customFormat="1" ht="25.5" hidden="1" customHeight="1" thickBot="1" x14ac:dyDescent="0.3">
      <c r="A140" s="565" t="s">
        <v>286</v>
      </c>
      <c r="B140" s="594"/>
      <c r="C140" s="594"/>
      <c r="D140" s="595"/>
      <c r="E140" s="595"/>
      <c r="F140" s="595"/>
      <c r="G140" s="595"/>
      <c r="H140" s="595"/>
      <c r="I140" s="218" t="str">
        <f>IF(I139="Fehler","Fehler",IF(M138&gt;0.1,IF(M138&lt;M139,"ja","nein")," "))</f>
        <v xml:space="preserve"> </v>
      </c>
      <c r="J140" s="219" t="str">
        <f>IF(J139="Fehler","Fehler",IF(N138&gt;0.1,IF(N138&lt;N139,"ja","nein")," "))</f>
        <v xml:space="preserve"> </v>
      </c>
      <c r="K140" s="124"/>
      <c r="L140" s="152"/>
      <c r="M140" s="314"/>
      <c r="N140" s="314"/>
      <c r="O140" s="314"/>
      <c r="P140" s="314" t="s">
        <v>335</v>
      </c>
      <c r="Q140" s="314" t="s">
        <v>336</v>
      </c>
      <c r="R140" s="1405"/>
      <c r="S140" s="1405"/>
      <c r="T140" s="1405"/>
      <c r="U140" s="1405"/>
      <c r="V140" s="346"/>
      <c r="W140" s="346"/>
      <c r="X140" s="1405"/>
      <c r="Y140" s="314"/>
      <c r="Z140" s="1407"/>
      <c r="AA140" s="346"/>
      <c r="AB140" s="346"/>
      <c r="AC140" s="346"/>
      <c r="AD140" s="346"/>
      <c r="AE140" s="349"/>
      <c r="AF140" s="349"/>
      <c r="AG140" s="349"/>
      <c r="AH140" s="1405"/>
      <c r="AI140" s="1405"/>
      <c r="AJ140" s="1405"/>
      <c r="AK140" s="1405"/>
      <c r="AL140" s="1405"/>
      <c r="AM140" s="1405"/>
      <c r="AN140" s="1405"/>
      <c r="AO140" s="350"/>
      <c r="AP140" s="1405"/>
      <c r="AQ140" s="1405"/>
      <c r="AR140" s="346"/>
      <c r="AS140" s="314"/>
      <c r="AT140" s="314"/>
      <c r="AU140" s="314"/>
      <c r="AV140" s="314"/>
      <c r="AW140" s="314"/>
      <c r="AX140" s="314"/>
      <c r="AY140" s="314"/>
      <c r="AZ140" s="314"/>
      <c r="BA140" s="314"/>
      <c r="BB140" s="314"/>
      <c r="BC140" s="314"/>
      <c r="BD140" s="314"/>
      <c r="BE140" s="314"/>
      <c r="BF140" s="314"/>
      <c r="BG140" s="314"/>
      <c r="BH140" s="314"/>
      <c r="BI140" s="314"/>
      <c r="BJ140" s="314"/>
      <c r="BK140" s="314"/>
      <c r="BL140" s="314"/>
      <c r="BM140" s="314"/>
      <c r="BN140" s="314"/>
      <c r="BO140" s="314"/>
      <c r="BP140" s="314"/>
      <c r="BQ140" s="314"/>
      <c r="BR140" s="314"/>
      <c r="BS140" s="314"/>
      <c r="BT140" s="314"/>
      <c r="BU140" s="314"/>
      <c r="BV140" s="314"/>
      <c r="BW140" s="314"/>
      <c r="BX140" s="314"/>
      <c r="BY140" s="314"/>
      <c r="BZ140" s="314"/>
      <c r="CA140" s="314"/>
      <c r="CB140" s="314"/>
      <c r="CC140" s="314"/>
      <c r="CD140" s="314"/>
      <c r="CE140" s="152"/>
      <c r="CF140" s="152"/>
      <c r="CG140" s="152"/>
      <c r="CH140" s="152"/>
      <c r="CI140" s="152"/>
      <c r="CJ140" s="152"/>
      <c r="CK140" s="152"/>
      <c r="CL140" s="152"/>
      <c r="CM140" s="152"/>
      <c r="CN140" s="152"/>
      <c r="CO140" s="152"/>
      <c r="CP140" s="152"/>
      <c r="CQ140" s="152"/>
    </row>
    <row r="141" spans="1:95" s="151" customFormat="1" ht="15" hidden="1" customHeight="1" thickBot="1" x14ac:dyDescent="0.3">
      <c r="A141" s="580"/>
      <c r="B141" s="424"/>
      <c r="C141" s="424"/>
      <c r="D141" s="581"/>
      <c r="E141" s="581"/>
      <c r="F141" s="581"/>
      <c r="G141" s="581"/>
      <c r="H141" s="581"/>
      <c r="I141" s="149"/>
      <c r="J141" s="582"/>
      <c r="K141" s="19"/>
      <c r="L141" s="149"/>
      <c r="M141" s="247"/>
      <c r="N141" s="247"/>
      <c r="O141" s="247"/>
      <c r="P141" s="247"/>
      <c r="Q141" s="247"/>
      <c r="R141" s="1405"/>
      <c r="S141" s="1405"/>
      <c r="T141" s="1405"/>
      <c r="U141" s="1405"/>
      <c r="V141" s="346"/>
      <c r="W141" s="346"/>
      <c r="X141" s="1405"/>
      <c r="Y141" s="247"/>
      <c r="Z141" s="1407"/>
      <c r="AA141" s="346"/>
      <c r="AB141" s="346"/>
      <c r="AC141" s="346"/>
      <c r="AD141" s="346"/>
      <c r="AE141" s="346"/>
      <c r="AF141" s="346"/>
      <c r="AG141" s="346"/>
      <c r="AH141" s="1405"/>
      <c r="AI141" s="1405"/>
      <c r="AJ141" s="1405"/>
      <c r="AK141" s="1405"/>
      <c r="AL141" s="1405"/>
      <c r="AM141" s="1405"/>
      <c r="AN141" s="1405"/>
      <c r="AO141" s="342"/>
      <c r="AP141" s="1405"/>
      <c r="AQ141" s="1405"/>
      <c r="AR141" s="346"/>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426"/>
      <c r="CB141" s="426"/>
      <c r="CC141" s="426"/>
      <c r="CD141" s="247"/>
      <c r="CE141" s="149"/>
      <c r="CF141" s="149"/>
      <c r="CG141" s="149"/>
      <c r="CH141" s="149"/>
      <c r="CI141" s="149"/>
      <c r="CJ141" s="149"/>
      <c r="CK141" s="149"/>
      <c r="CL141" s="149"/>
      <c r="CM141" s="149"/>
      <c r="CN141" s="149"/>
      <c r="CO141" s="149"/>
      <c r="CP141" s="149"/>
      <c r="CQ141" s="149"/>
    </row>
    <row r="142" spans="1:95" s="151" customFormat="1" ht="26.25" customHeight="1" thickBot="1" x14ac:dyDescent="0.3">
      <c r="A142" s="583" t="s">
        <v>7654</v>
      </c>
      <c r="B142" s="596"/>
      <c r="C142" s="596"/>
      <c r="D142" s="596"/>
      <c r="E142" s="596"/>
      <c r="F142" s="596"/>
      <c r="G142" s="596"/>
      <c r="H142" s="597"/>
      <c r="I142" s="585" t="s">
        <v>262</v>
      </c>
      <c r="J142" s="586" t="s">
        <v>263</v>
      </c>
      <c r="K142" s="19"/>
      <c r="L142" s="149"/>
      <c r="M142" s="343">
        <f>IF(C97=0,"0",ROUND(M143,1))</f>
        <v>6</v>
      </c>
      <c r="N142" s="343">
        <f>ROUND(N143,1)</f>
        <v>0</v>
      </c>
      <c r="O142" s="247"/>
      <c r="P142" s="247"/>
      <c r="Q142" s="247"/>
      <c r="R142" s="1405"/>
      <c r="S142" s="1405"/>
      <c r="T142" s="1405"/>
      <c r="U142" s="1405"/>
      <c r="V142" s="346"/>
      <c r="W142" s="346"/>
      <c r="X142" s="1405"/>
      <c r="Y142" s="247"/>
      <c r="Z142" s="1407"/>
      <c r="AA142" s="346"/>
      <c r="AB142" s="346"/>
      <c r="AC142" s="346"/>
      <c r="AD142" s="346"/>
      <c r="AE142" s="346"/>
      <c r="AF142" s="346"/>
      <c r="AG142" s="346"/>
      <c r="AH142" s="1405"/>
      <c r="AI142" s="1405"/>
      <c r="AJ142" s="1405"/>
      <c r="AK142" s="1405"/>
      <c r="AL142" s="1405"/>
      <c r="AM142" s="1405"/>
      <c r="AN142" s="1405"/>
      <c r="AO142" s="342"/>
      <c r="AP142" s="1405"/>
      <c r="AQ142" s="1405"/>
      <c r="AR142" s="346"/>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426"/>
      <c r="CB142" s="426"/>
      <c r="CC142" s="426"/>
      <c r="CD142" s="247"/>
      <c r="CE142" s="149"/>
      <c r="CF142" s="149"/>
      <c r="CG142" s="149"/>
      <c r="CH142" s="149"/>
      <c r="CI142" s="149"/>
      <c r="CJ142" s="149"/>
      <c r="CK142" s="149"/>
      <c r="CL142" s="149"/>
      <c r="CM142" s="149"/>
      <c r="CN142" s="149"/>
      <c r="CO142" s="149"/>
      <c r="CP142" s="149"/>
      <c r="CQ142" s="149"/>
    </row>
    <row r="143" spans="1:95" s="151" customFormat="1" ht="15.75" customHeight="1" thickBot="1" x14ac:dyDescent="0.3">
      <c r="A143" s="598" t="s">
        <v>476</v>
      </c>
      <c r="B143" s="401"/>
      <c r="C143" s="401"/>
      <c r="D143" s="401"/>
      <c r="E143" s="401"/>
      <c r="F143" s="401"/>
      <c r="G143" s="401"/>
      <c r="H143" s="599"/>
      <c r="I143" s="229" t="str">
        <f>CONCATENATE(M142," Mo.")</f>
        <v>6 Mo.</v>
      </c>
      <c r="J143" s="229" t="str">
        <f>CONCATENATE(N142," Mo.")</f>
        <v>0 Mo.</v>
      </c>
      <c r="K143" s="19"/>
      <c r="L143" s="149"/>
      <c r="M143" s="351">
        <f>IF((Q151+F12)=0,9,IF(S144&gt;3,(6*AP144+9*AQ144)/100,6))</f>
        <v>6</v>
      </c>
      <c r="N143" s="396">
        <f>+CM98</f>
        <v>0</v>
      </c>
      <c r="O143" s="247"/>
      <c r="P143" s="247"/>
      <c r="Q143" s="247"/>
      <c r="R143" s="1405"/>
      <c r="S143" s="1405"/>
      <c r="T143" s="1405"/>
      <c r="U143" s="1405"/>
      <c r="V143" s="346"/>
      <c r="W143" s="346"/>
      <c r="X143" s="1405"/>
      <c r="Y143" s="346"/>
      <c r="Z143" s="1407"/>
      <c r="AA143" s="346"/>
      <c r="AB143" s="346"/>
      <c r="AC143" s="346"/>
      <c r="AD143" s="346"/>
      <c r="AE143" s="346"/>
      <c r="AF143" s="346"/>
      <c r="AG143" s="346"/>
      <c r="AH143" s="1405"/>
      <c r="AI143" s="1405"/>
      <c r="AJ143" s="1405"/>
      <c r="AK143" s="1405"/>
      <c r="AL143" s="1405"/>
      <c r="AM143" s="1405"/>
      <c r="AN143" s="1405"/>
      <c r="AO143" s="342"/>
      <c r="AP143" s="1405"/>
      <c r="AQ143" s="1405"/>
      <c r="AR143" s="346"/>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426"/>
      <c r="CB143" s="426"/>
      <c r="CC143" s="426"/>
      <c r="CD143" s="247"/>
      <c r="CE143" s="149"/>
      <c r="CF143" s="149"/>
      <c r="CG143" s="149"/>
      <c r="CH143" s="149"/>
      <c r="CI143" s="149"/>
      <c r="CJ143" s="149"/>
      <c r="CK143" s="149"/>
      <c r="CL143" s="149"/>
      <c r="CM143" s="149"/>
      <c r="CN143" s="149"/>
      <c r="CO143" s="149"/>
      <c r="CP143" s="149"/>
      <c r="CQ143" s="149"/>
    </row>
    <row r="144" spans="1:95" s="151" customFormat="1" ht="15.75" customHeight="1" thickBot="1" x14ac:dyDescent="0.3">
      <c r="A144" s="600" t="s">
        <v>305</v>
      </c>
      <c r="B144" s="601"/>
      <c r="C144" s="601"/>
      <c r="D144" s="601"/>
      <c r="E144" s="601"/>
      <c r="F144" s="601"/>
      <c r="G144" s="601"/>
      <c r="H144" s="602"/>
      <c r="I144" s="208" t="str">
        <f>IF(M144=0," ",M144)</f>
        <v xml:space="preserve"> </v>
      </c>
      <c r="J144" s="208" t="str">
        <f>IF(N144=0," ",N144)</f>
        <v xml:space="preserve"> </v>
      </c>
      <c r="K144" s="19"/>
      <c r="L144" s="149"/>
      <c r="M144" s="381">
        <f>+IF(S95+T95=0,0,M138+((M143-M137)*S95/12))</f>
        <v>0</v>
      </c>
      <c r="N144" s="301">
        <f>(T47+T88)/12*N143</f>
        <v>0</v>
      </c>
      <c r="O144" s="247"/>
      <c r="P144" s="247"/>
      <c r="Q144" s="247"/>
      <c r="R144" s="352">
        <f>+Q147</f>
        <v>9.9999999999999995E-7</v>
      </c>
      <c r="S144" s="352">
        <f>IF(R144=0,100,BL46/R144)</f>
        <v>0</v>
      </c>
      <c r="T144" s="352">
        <f>(W46+AA46)/2/170</f>
        <v>0</v>
      </c>
      <c r="U144" s="353">
        <f>IF(Q151+F12&gt;T144,100,(1-(T144-Q151-F12)/T144)*100)</f>
        <v>100</v>
      </c>
      <c r="V144" s="352"/>
      <c r="W144" s="352"/>
      <c r="X144" s="353">
        <f>100-U144</f>
        <v>0</v>
      </c>
      <c r="Y144" s="247"/>
      <c r="Z144" s="449">
        <f>+R144</f>
        <v>9.9999999999999995E-7</v>
      </c>
      <c r="AA144" s="247"/>
      <c r="AB144" s="247"/>
      <c r="AC144" s="247"/>
      <c r="AD144" s="247"/>
      <c r="AE144" s="247"/>
      <c r="AF144" s="247"/>
      <c r="AG144" s="247"/>
      <c r="AH144" s="247">
        <f>+S144</f>
        <v>0</v>
      </c>
      <c r="AI144" s="342">
        <f>+M9-G11-G10</f>
        <v>9.9999999999999995E-7</v>
      </c>
      <c r="AJ144" s="342">
        <f>+(X46+AB46)/2/255</f>
        <v>0</v>
      </c>
      <c r="AK144" s="342">
        <f>IF(AI144&lt;AJ144,AI144,AJ144)</f>
        <v>0</v>
      </c>
      <c r="AL144" s="317">
        <f>+AK144*255+(Q151+F12-AK144)*170</f>
        <v>1.6999999999999999E-4</v>
      </c>
      <c r="AM144" s="353">
        <f>IF((W46+AA46)/2=0,100,(AL144/((W46+AA46)/2))*100)</f>
        <v>100</v>
      </c>
      <c r="AN144" s="353">
        <f>100-AM144</f>
        <v>0</v>
      </c>
      <c r="AO144" s="342"/>
      <c r="AP144" s="353">
        <f>IF(AM144&gt;100,100,(AM144*T12+U144*(100-T12))/100)</f>
        <v>100</v>
      </c>
      <c r="AQ144" s="353">
        <f>100-AP144</f>
        <v>0</v>
      </c>
      <c r="AR144" s="353"/>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426"/>
      <c r="CB144" s="426"/>
      <c r="CC144" s="426"/>
      <c r="CD144" s="247"/>
      <c r="CE144" s="149"/>
      <c r="CF144" s="149"/>
      <c r="CG144" s="149"/>
      <c r="CH144" s="149"/>
      <c r="CI144" s="149"/>
      <c r="CJ144" s="149"/>
      <c r="CK144" s="149"/>
      <c r="CL144" s="149"/>
      <c r="CM144" s="149"/>
      <c r="CN144" s="149"/>
      <c r="CO144" s="149"/>
      <c r="CP144" s="149"/>
      <c r="CQ144" s="149"/>
    </row>
    <row r="145" spans="1:95" s="151" customFormat="1" ht="15.75" customHeight="1" thickBot="1" x14ac:dyDescent="0.3">
      <c r="A145" s="593" t="s">
        <v>345</v>
      </c>
      <c r="B145" s="424"/>
      <c r="C145" s="424"/>
      <c r="D145" s="581"/>
      <c r="E145" s="581"/>
      <c r="F145" s="581"/>
      <c r="G145" s="581"/>
      <c r="H145" s="581"/>
      <c r="I145" s="217" t="str">
        <f>+I139</f>
        <v xml:space="preserve"> </v>
      </c>
      <c r="J145" s="217" t="str">
        <f>+J139</f>
        <v xml:space="preserve"> </v>
      </c>
      <c r="K145" s="19"/>
      <c r="L145" s="149"/>
      <c r="M145" s="304">
        <f>+M139</f>
        <v>0</v>
      </c>
      <c r="N145" s="304">
        <f>+N139</f>
        <v>0</v>
      </c>
      <c r="O145" s="247"/>
      <c r="P145" s="247"/>
      <c r="Q145" s="247"/>
      <c r="R145" s="352"/>
      <c r="S145" s="352"/>
      <c r="T145" s="352"/>
      <c r="U145" s="353"/>
      <c r="V145" s="352"/>
      <c r="W145" s="352"/>
      <c r="X145" s="353"/>
      <c r="Y145" s="247"/>
      <c r="Z145" s="247"/>
      <c r="AA145" s="247"/>
      <c r="AB145" s="247"/>
      <c r="AC145" s="247"/>
      <c r="AD145" s="247"/>
      <c r="AE145" s="247"/>
      <c r="AF145" s="247"/>
      <c r="AG145" s="247"/>
      <c r="AH145" s="247"/>
      <c r="AI145" s="342"/>
      <c r="AJ145" s="342"/>
      <c r="AK145" s="342"/>
      <c r="AL145" s="317"/>
      <c r="AM145" s="353"/>
      <c r="AN145" s="353"/>
      <c r="AO145" s="342"/>
      <c r="AP145" s="353"/>
      <c r="AQ145" s="353"/>
      <c r="AR145" s="353"/>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426"/>
      <c r="CB145" s="426"/>
      <c r="CC145" s="426"/>
      <c r="CD145" s="247"/>
      <c r="CE145" s="149"/>
      <c r="CF145" s="149"/>
      <c r="CG145" s="149"/>
      <c r="CH145" s="149"/>
      <c r="CI145" s="149"/>
      <c r="CJ145" s="149"/>
      <c r="CK145" s="149"/>
      <c r="CL145" s="149"/>
      <c r="CM145" s="149"/>
      <c r="CN145" s="149"/>
      <c r="CO145" s="149"/>
      <c r="CP145" s="149"/>
      <c r="CQ145" s="149"/>
    </row>
    <row r="146" spans="1:95" s="151" customFormat="1" ht="21" customHeight="1" thickBot="1" x14ac:dyDescent="0.3">
      <c r="A146" s="565" t="s">
        <v>286</v>
      </c>
      <c r="B146" s="594"/>
      <c r="C146" s="594"/>
      <c r="D146" s="595"/>
      <c r="E146" s="595"/>
      <c r="F146" s="595"/>
      <c r="G146" s="595"/>
      <c r="H146" s="595"/>
      <c r="I146" s="218" t="str">
        <f>IF(I145="Fehler","Fehler",IF(M144&gt;0.1,IF(M144&lt;M145,"ja","nein")," "))</f>
        <v xml:space="preserve"> </v>
      </c>
      <c r="J146" s="219" t="str">
        <f>IF(J145="Fehler","Fehler",IF(N144&gt;0.1,IF(N144&lt;N145,"ja","nein")," "))</f>
        <v xml:space="preserve"> </v>
      </c>
      <c r="K146" s="19"/>
      <c r="L146" s="149"/>
      <c r="M146" s="304"/>
      <c r="N146" s="304"/>
      <c r="O146" s="247"/>
      <c r="P146" s="247"/>
      <c r="Q146" s="247"/>
      <c r="R146" s="352"/>
      <c r="S146" s="352"/>
      <c r="T146" s="352"/>
      <c r="U146" s="353"/>
      <c r="V146" s="352"/>
      <c r="W146" s="352"/>
      <c r="X146" s="353"/>
      <c r="Y146" s="247"/>
      <c r="Z146" s="247"/>
      <c r="AA146" s="247"/>
      <c r="AB146" s="247"/>
      <c r="AC146" s="247"/>
      <c r="AD146" s="247"/>
      <c r="AE146" s="247"/>
      <c r="AF146" s="247"/>
      <c r="AG146" s="247"/>
      <c r="AH146" s="247"/>
      <c r="AI146" s="342"/>
      <c r="AJ146" s="342"/>
      <c r="AK146" s="342"/>
      <c r="AL146" s="317"/>
      <c r="AM146" s="353"/>
      <c r="AN146" s="353"/>
      <c r="AO146" s="342"/>
      <c r="AP146" s="353"/>
      <c r="AQ146" s="353"/>
      <c r="AR146" s="353"/>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426"/>
      <c r="CB146" s="426"/>
      <c r="CC146" s="426"/>
      <c r="CD146" s="247"/>
      <c r="CE146" s="149"/>
      <c r="CF146" s="149"/>
      <c r="CG146" s="149"/>
      <c r="CH146" s="149"/>
      <c r="CI146" s="149"/>
      <c r="CJ146" s="149"/>
      <c r="CK146" s="149"/>
      <c r="CL146" s="149"/>
      <c r="CM146" s="149"/>
      <c r="CN146" s="149"/>
      <c r="CO146" s="149"/>
      <c r="CP146" s="149"/>
      <c r="CQ146" s="149"/>
    </row>
    <row r="147" spans="1:95" s="151" customFormat="1" ht="13.5" customHeight="1" x14ac:dyDescent="0.25">
      <c r="B147" s="448" t="s">
        <v>543</v>
      </c>
      <c r="C147" s="606">
        <f>F6-G8+F9-G11</f>
        <v>0</v>
      </c>
      <c r="D147" s="424"/>
      <c r="E147" s="603" t="s">
        <v>313</v>
      </c>
      <c r="F147" s="554" t="str">
        <f>IF(F5=0,"Betrieb ohne Fläche",S144)</f>
        <v>Betrieb ohne Fläche</v>
      </c>
      <c r="G147" s="424"/>
      <c r="H147" s="581"/>
      <c r="I147" s="150"/>
      <c r="J147" s="150"/>
      <c r="K147" s="19"/>
      <c r="L147" s="149"/>
      <c r="M147" s="304"/>
      <c r="N147" s="304"/>
      <c r="O147" s="247"/>
      <c r="P147" s="247" t="s">
        <v>559</v>
      </c>
      <c r="Q147" s="447">
        <f>F6-G8+M9-G11</f>
        <v>9.9999999999999995E-7</v>
      </c>
      <c r="R147" s="352"/>
      <c r="S147" s="352"/>
      <c r="T147" s="352" t="s">
        <v>288</v>
      </c>
      <c r="U147" s="352"/>
      <c r="V147" s="352"/>
      <c r="W147" s="352"/>
      <c r="X147" s="352"/>
      <c r="Y147" s="247"/>
      <c r="Z147" s="247"/>
      <c r="AA147" s="247"/>
      <c r="AB147" s="247"/>
      <c r="AC147" s="247"/>
      <c r="AD147" s="247"/>
      <c r="AE147" s="247"/>
      <c r="AF147" s="247"/>
      <c r="AG147" s="247"/>
      <c r="AH147" s="247"/>
      <c r="AI147" s="342"/>
      <c r="AJ147" s="342"/>
      <c r="AK147" s="342"/>
      <c r="AL147" s="247"/>
      <c r="AM147" s="352"/>
      <c r="AN147" s="352"/>
      <c r="AO147" s="342"/>
      <c r="AP147" s="353"/>
      <c r="AQ147" s="352"/>
      <c r="AR147" s="352"/>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426"/>
      <c r="CB147" s="426"/>
      <c r="CC147" s="426"/>
      <c r="CD147" s="247"/>
      <c r="CE147" s="149"/>
      <c r="CF147" s="149"/>
      <c r="CG147" s="149"/>
      <c r="CH147" s="149"/>
      <c r="CI147" s="149"/>
      <c r="CJ147" s="149"/>
      <c r="CK147" s="149"/>
      <c r="CL147" s="149"/>
      <c r="CM147" s="149"/>
      <c r="CN147" s="149"/>
      <c r="CO147" s="149"/>
      <c r="CP147" s="149"/>
      <c r="CQ147" s="149"/>
    </row>
    <row r="148" spans="1:95" s="151" customFormat="1" ht="13.5" customHeight="1" x14ac:dyDescent="0.25">
      <c r="A148" s="221" t="str">
        <f>IF(M46=0," ",IF(M148=" "," ",IF(M148&lt;=10," ",IF(M148&gt;10,"Achtung: Anlagenverordnung beachten; Gärsaft + verunreinigtes Wasser &gt; 10 % des Anfalls"))))</f>
        <v xml:space="preserve"> </v>
      </c>
      <c r="C148" s="424"/>
      <c r="D148" s="424"/>
      <c r="E148" s="424"/>
      <c r="F148" s="424"/>
      <c r="G148" s="424"/>
      <c r="H148" s="581"/>
      <c r="I148" s="581"/>
      <c r="J148" s="149"/>
      <c r="K148" s="19"/>
      <c r="L148" s="149"/>
      <c r="M148" s="324" t="e">
        <f>((M44+M41)/I47)*100</f>
        <v>#VALUE!</v>
      </c>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426"/>
      <c r="CB148" s="426"/>
      <c r="CC148" s="426"/>
      <c r="CD148" s="247"/>
      <c r="CE148" s="149"/>
      <c r="CF148" s="149"/>
      <c r="CG148" s="149"/>
      <c r="CH148" s="149"/>
      <c r="CI148" s="149"/>
      <c r="CJ148" s="149"/>
      <c r="CK148" s="149"/>
      <c r="CL148" s="149"/>
      <c r="CM148" s="149"/>
      <c r="CN148" s="149"/>
      <c r="CO148" s="149"/>
      <c r="CP148" s="149"/>
      <c r="CQ148" s="149"/>
    </row>
    <row r="149" spans="1:95" s="155" customFormat="1" ht="10.5" customHeight="1" x14ac:dyDescent="0.25">
      <c r="A149" s="155" t="s">
        <v>343</v>
      </c>
      <c r="B149" s="158"/>
      <c r="C149" s="158"/>
      <c r="D149" s="158"/>
      <c r="E149" s="158"/>
      <c r="F149" s="158"/>
      <c r="G149" s="158"/>
      <c r="H149" s="158"/>
      <c r="I149" s="158"/>
      <c r="J149" s="143"/>
      <c r="K149" s="27"/>
      <c r="L149" s="157"/>
      <c r="M149" s="354"/>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c r="AP149" s="354"/>
      <c r="AQ149" s="354"/>
      <c r="AR149" s="354"/>
      <c r="AS149" s="354"/>
      <c r="AT149" s="354"/>
      <c r="AU149" s="354"/>
      <c r="AV149" s="354"/>
      <c r="AW149" s="354"/>
      <c r="AX149" s="354"/>
      <c r="AY149" s="354"/>
      <c r="AZ149" s="354"/>
      <c r="BA149" s="354"/>
      <c r="BB149" s="354"/>
      <c r="BC149" s="354"/>
      <c r="BD149" s="354"/>
      <c r="BE149" s="354"/>
      <c r="BF149" s="354"/>
      <c r="BG149" s="354"/>
      <c r="BH149" s="354"/>
      <c r="BI149" s="354"/>
      <c r="BJ149" s="354"/>
      <c r="BK149" s="354"/>
      <c r="BL149" s="354"/>
      <c r="BM149" s="354"/>
      <c r="BN149" s="354"/>
      <c r="BO149" s="354"/>
      <c r="BP149" s="354"/>
      <c r="BQ149" s="354"/>
      <c r="BR149" s="355"/>
      <c r="BS149" s="355"/>
      <c r="BT149" s="355"/>
      <c r="BU149" s="355"/>
      <c r="BV149" s="354"/>
      <c r="BW149" s="354"/>
      <c r="BX149" s="354"/>
      <c r="BY149" s="354"/>
      <c r="BZ149" s="354"/>
      <c r="CA149" s="354"/>
      <c r="CB149" s="354"/>
      <c r="CC149" s="354"/>
      <c r="CD149" s="354"/>
      <c r="CE149" s="157"/>
      <c r="CF149" s="157"/>
      <c r="CG149" s="157"/>
      <c r="CH149" s="157"/>
      <c r="CI149" s="157"/>
      <c r="CJ149" s="157"/>
      <c r="CK149" s="157"/>
      <c r="CL149" s="157"/>
      <c r="CM149" s="157"/>
      <c r="CN149" s="157"/>
      <c r="CO149" s="157"/>
      <c r="CP149" s="157"/>
      <c r="CQ149" s="157"/>
    </row>
    <row r="150" spans="1:95" s="155" customFormat="1" ht="10.5" customHeight="1" x14ac:dyDescent="0.25">
      <c r="A150" s="155" t="s">
        <v>483</v>
      </c>
      <c r="B150" s="158"/>
      <c r="C150" s="158"/>
      <c r="D150" s="158"/>
      <c r="E150" s="158"/>
      <c r="F150" s="158"/>
      <c r="G150" s="158"/>
      <c r="H150" s="158"/>
      <c r="I150" s="158"/>
      <c r="J150" s="604"/>
      <c r="K150" s="27"/>
      <c r="L150" s="157"/>
      <c r="M150" s="354"/>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4"/>
      <c r="AZ150" s="354"/>
      <c r="BA150" s="354"/>
      <c r="BB150" s="354"/>
      <c r="BC150" s="354"/>
      <c r="BD150" s="354"/>
      <c r="BE150" s="354"/>
      <c r="BF150" s="354"/>
      <c r="BG150" s="354"/>
      <c r="BH150" s="354"/>
      <c r="BI150" s="354"/>
      <c r="BJ150" s="354"/>
      <c r="BK150" s="354"/>
      <c r="BL150" s="354"/>
      <c r="BM150" s="354"/>
      <c r="BN150" s="354"/>
      <c r="BO150" s="354"/>
      <c r="BP150" s="354"/>
      <c r="BQ150" s="354"/>
      <c r="BR150" s="355"/>
      <c r="BS150" s="355"/>
      <c r="BT150" s="355"/>
      <c r="BU150" s="355"/>
      <c r="BV150" s="354"/>
      <c r="BW150" s="354"/>
      <c r="BX150" s="354"/>
      <c r="BY150" s="354"/>
      <c r="BZ150" s="354"/>
      <c r="CA150" s="354"/>
      <c r="CB150" s="354"/>
      <c r="CC150" s="354"/>
      <c r="CD150" s="354"/>
      <c r="CE150" s="157"/>
      <c r="CF150" s="157"/>
      <c r="CG150" s="157"/>
      <c r="CH150" s="157"/>
      <c r="CI150" s="157"/>
      <c r="CJ150" s="157"/>
      <c r="CK150" s="157"/>
      <c r="CL150" s="157"/>
      <c r="CM150" s="157"/>
      <c r="CN150" s="157"/>
      <c r="CO150" s="157"/>
      <c r="CP150" s="157"/>
      <c r="CQ150" s="157"/>
    </row>
    <row r="151" spans="1:95" s="155" customFormat="1" ht="11.25" customHeight="1" x14ac:dyDescent="0.25">
      <c r="A151" s="155" t="s">
        <v>545</v>
      </c>
      <c r="I151" s="155">
        <f>+F5-SUM(G7:G8,G10:G11)</f>
        <v>0</v>
      </c>
      <c r="J151" s="155" t="s">
        <v>353</v>
      </c>
      <c r="K151" s="27"/>
      <c r="L151" s="157"/>
      <c r="M151" s="354"/>
      <c r="N151" s="354"/>
      <c r="O151" s="354"/>
      <c r="P151" s="354" t="s">
        <v>558</v>
      </c>
      <c r="Q151" s="155">
        <f>+M5-SUM(G7:G8,G10:G11)</f>
        <v>9.9999999999999995E-7</v>
      </c>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4"/>
      <c r="AZ151" s="354"/>
      <c r="BA151" s="354"/>
      <c r="BB151" s="354"/>
      <c r="BC151" s="354"/>
      <c r="BD151" s="354"/>
      <c r="BE151" s="354"/>
      <c r="BF151" s="354"/>
      <c r="BG151" s="354"/>
      <c r="BH151" s="354"/>
      <c r="BI151" s="354"/>
      <c r="BJ151" s="354"/>
      <c r="BK151" s="354"/>
      <c r="BL151" s="354"/>
      <c r="BM151" s="354"/>
      <c r="BN151" s="354"/>
      <c r="BO151" s="354"/>
      <c r="BP151" s="354"/>
      <c r="BQ151" s="354"/>
      <c r="BR151" s="355"/>
      <c r="BS151" s="355"/>
      <c r="BT151" s="355"/>
      <c r="BU151" s="355"/>
      <c r="BV151" s="354"/>
      <c r="BW151" s="354"/>
      <c r="BX151" s="354"/>
      <c r="BY151" s="354"/>
      <c r="BZ151" s="354"/>
      <c r="CA151" s="354"/>
      <c r="CB151" s="354"/>
      <c r="CC151" s="354"/>
      <c r="CD151" s="354"/>
      <c r="CE151" s="157"/>
      <c r="CF151" s="157"/>
      <c r="CG151" s="157"/>
      <c r="CH151" s="157"/>
      <c r="CI151" s="157"/>
      <c r="CJ151" s="157"/>
      <c r="CK151" s="157"/>
      <c r="CL151" s="157"/>
      <c r="CM151" s="157"/>
      <c r="CN151" s="157"/>
      <c r="CO151" s="157"/>
      <c r="CP151" s="157"/>
      <c r="CQ151" s="157"/>
    </row>
    <row r="152" spans="1:95" s="155" customFormat="1" ht="10.5" customHeight="1" x14ac:dyDescent="0.25">
      <c r="A152" s="604" t="s">
        <v>544</v>
      </c>
      <c r="B152" s="158"/>
      <c r="C152" s="158"/>
      <c r="D152" s="158"/>
      <c r="E152" s="158"/>
      <c r="I152" s="157">
        <f>F12</f>
        <v>0</v>
      </c>
      <c r="J152" s="157" t="s">
        <v>353</v>
      </c>
      <c r="K152" s="27"/>
      <c r="L152" s="157"/>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c r="AV152" s="354"/>
      <c r="AW152" s="354"/>
      <c r="AX152" s="354"/>
      <c r="AY152" s="354"/>
      <c r="AZ152" s="354"/>
      <c r="BA152" s="354"/>
      <c r="BB152" s="354"/>
      <c r="BC152" s="354"/>
      <c r="BD152" s="354"/>
      <c r="BE152" s="354"/>
      <c r="BF152" s="354"/>
      <c r="BG152" s="354"/>
      <c r="BH152" s="354"/>
      <c r="BI152" s="354"/>
      <c r="BJ152" s="354"/>
      <c r="BK152" s="354"/>
      <c r="BL152" s="354"/>
      <c r="BM152" s="354"/>
      <c r="BN152" s="354"/>
      <c r="BO152" s="354"/>
      <c r="BP152" s="354"/>
      <c r="BQ152" s="354"/>
      <c r="BR152" s="355"/>
      <c r="BS152" s="355"/>
      <c r="BT152" s="355"/>
      <c r="BU152" s="355"/>
      <c r="BV152" s="354"/>
      <c r="BW152" s="354"/>
      <c r="BX152" s="354"/>
      <c r="BY152" s="354"/>
      <c r="BZ152" s="354"/>
      <c r="CA152" s="354"/>
      <c r="CB152" s="354"/>
      <c r="CC152" s="354"/>
      <c r="CD152" s="354"/>
      <c r="CE152" s="157"/>
      <c r="CF152" s="157"/>
      <c r="CG152" s="157"/>
      <c r="CH152" s="157"/>
      <c r="CI152" s="157"/>
      <c r="CJ152" s="157"/>
      <c r="CK152" s="157"/>
      <c r="CL152" s="157"/>
      <c r="CM152" s="157"/>
      <c r="CN152" s="157"/>
      <c r="CO152" s="157"/>
      <c r="CP152" s="157"/>
      <c r="CQ152" s="157"/>
    </row>
    <row r="153" spans="1:95" ht="5.25" customHeight="1" x14ac:dyDescent="0.25">
      <c r="A153" s="143"/>
      <c r="B153" s="143"/>
      <c r="C153" s="143"/>
      <c r="D153" s="143"/>
      <c r="E153" s="143"/>
      <c r="F153" s="143"/>
      <c r="G153" s="143"/>
      <c r="H153" s="143"/>
      <c r="I153" s="143"/>
      <c r="J153" s="143"/>
      <c r="K153" s="26"/>
      <c r="L153" s="158"/>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39"/>
      <c r="BS153" s="239"/>
      <c r="BT153" s="239"/>
      <c r="BU153" s="239"/>
      <c r="BV153" s="262"/>
      <c r="BW153" s="262"/>
      <c r="BX153" s="262"/>
      <c r="BY153" s="262"/>
      <c r="BZ153" s="262"/>
      <c r="CA153" s="262"/>
      <c r="CB153" s="262"/>
      <c r="CC153" s="262"/>
      <c r="CD153" s="262"/>
      <c r="CE153" s="158"/>
      <c r="CF153" s="158"/>
      <c r="CG153" s="158"/>
      <c r="CH153" s="158"/>
      <c r="CI153" s="158"/>
      <c r="CJ153" s="158"/>
      <c r="CK153" s="158"/>
      <c r="CL153" s="158"/>
      <c r="CM153" s="158"/>
      <c r="CN153" s="158"/>
      <c r="CO153" s="158"/>
      <c r="CP153" s="158"/>
      <c r="CQ153" s="158"/>
    </row>
    <row r="154" spans="1:95" ht="14.25" customHeight="1" x14ac:dyDescent="0.25">
      <c r="A154" s="143"/>
      <c r="B154" s="143"/>
      <c r="C154" s="143"/>
      <c r="D154" s="143"/>
      <c r="E154" s="143"/>
      <c r="F154" s="143"/>
      <c r="G154" s="143"/>
      <c r="H154" s="143"/>
      <c r="I154" s="143"/>
      <c r="J154" s="143"/>
      <c r="K154" s="26"/>
      <c r="L154" s="158"/>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39"/>
      <c r="BS154" s="239"/>
      <c r="BT154" s="239"/>
      <c r="BU154" s="239"/>
      <c r="BV154" s="262"/>
      <c r="BW154" s="262"/>
      <c r="BX154" s="262"/>
      <c r="BY154" s="262"/>
      <c r="BZ154" s="262"/>
      <c r="CA154" s="262"/>
      <c r="CB154" s="262"/>
      <c r="CC154" s="262"/>
      <c r="CD154" s="262"/>
      <c r="CE154" s="158"/>
      <c r="CF154" s="158"/>
      <c r="CG154" s="158"/>
      <c r="CH154" s="158"/>
      <c r="CI154" s="158"/>
      <c r="CJ154" s="158"/>
      <c r="CK154" s="158"/>
      <c r="CL154" s="158"/>
      <c r="CM154" s="158"/>
      <c r="CN154" s="158"/>
      <c r="CO154" s="158"/>
      <c r="CP154" s="158"/>
      <c r="CQ154" s="158"/>
    </row>
    <row r="155" spans="1:95" x14ac:dyDescent="0.25">
      <c r="A155" s="421"/>
      <c r="B155" s="424"/>
      <c r="C155" s="605"/>
      <c r="D155" s="143"/>
      <c r="E155" s="581"/>
      <c r="F155" s="581"/>
      <c r="G155" s="581"/>
      <c r="H155" s="581"/>
      <c r="I155" s="226"/>
      <c r="J155" s="149"/>
    </row>
    <row r="156" spans="1:95" x14ac:dyDescent="0.25">
      <c r="A156" s="421"/>
      <c r="B156" s="424"/>
      <c r="C156" s="605"/>
      <c r="D156" s="572"/>
      <c r="E156" s="581"/>
      <c r="F156" s="581"/>
      <c r="G156" s="581"/>
      <c r="H156" s="581"/>
      <c r="I156" s="226"/>
      <c r="J156" s="149"/>
    </row>
    <row r="157" spans="1:95" x14ac:dyDescent="0.25">
      <c r="A157" s="421"/>
      <c r="B157" s="424"/>
      <c r="C157" s="605"/>
      <c r="D157" s="572"/>
      <c r="E157" s="581"/>
      <c r="F157" s="581"/>
      <c r="G157" s="581"/>
      <c r="H157" s="581"/>
      <c r="I157" s="226"/>
      <c r="J157" s="149"/>
    </row>
    <row r="158" spans="1:95" x14ac:dyDescent="0.25">
      <c r="A158" s="421"/>
      <c r="B158" s="424"/>
      <c r="C158" s="605"/>
      <c r="D158" s="572"/>
      <c r="E158" s="581"/>
      <c r="F158" s="581"/>
      <c r="G158" s="581"/>
      <c r="H158" s="581"/>
      <c r="I158" s="226"/>
      <c r="J158" s="149"/>
    </row>
    <row r="159" spans="1:95" x14ac:dyDescent="0.25">
      <c r="A159" s="421"/>
      <c r="B159" s="424"/>
      <c r="C159" s="605"/>
      <c r="D159" s="572"/>
      <c r="E159" s="581"/>
      <c r="F159" s="581"/>
      <c r="G159" s="581"/>
      <c r="H159" s="581"/>
      <c r="I159" s="226"/>
      <c r="J159" s="149"/>
    </row>
    <row r="160" spans="1:95" x14ac:dyDescent="0.25">
      <c r="A160" s="421"/>
      <c r="B160" s="424"/>
      <c r="C160" s="605"/>
      <c r="D160" s="572"/>
      <c r="E160" s="581"/>
      <c r="F160" s="581"/>
      <c r="G160" s="581"/>
      <c r="H160" s="581"/>
      <c r="I160" s="226"/>
      <c r="J160" s="149"/>
    </row>
    <row r="161" spans="1:19" x14ac:dyDescent="0.25">
      <c r="A161" s="143"/>
      <c r="B161" s="143"/>
      <c r="C161" s="143"/>
      <c r="D161" s="143"/>
      <c r="E161" s="143"/>
      <c r="F161" s="143"/>
      <c r="G161" s="143"/>
      <c r="H161" s="143"/>
      <c r="I161" s="143"/>
      <c r="J161" s="143"/>
    </row>
    <row r="162" spans="1:19" x14ac:dyDescent="0.25">
      <c r="A162" s="819"/>
      <c r="B162" s="819"/>
      <c r="C162" s="819"/>
      <c r="D162" s="819"/>
      <c r="E162" s="819"/>
      <c r="F162" s="819"/>
      <c r="G162" s="819"/>
      <c r="H162" s="819"/>
      <c r="I162" s="819"/>
      <c r="J162" s="819"/>
    </row>
    <row r="163" spans="1:19" ht="8.25" customHeight="1" x14ac:dyDescent="0.25"/>
    <row r="164" spans="1:19" ht="4.5" customHeight="1" thickBot="1" x14ac:dyDescent="0.3"/>
    <row r="165" spans="1:19" ht="14.4" thickBot="1" x14ac:dyDescent="0.3">
      <c r="A165" s="1277" t="s">
        <v>7754</v>
      </c>
      <c r="B165" s="1278"/>
      <c r="C165" s="1278"/>
      <c r="D165" s="1278"/>
      <c r="E165" s="1278"/>
      <c r="F165" s="1278"/>
      <c r="G165" s="1278"/>
      <c r="H165" s="1278"/>
      <c r="I165" s="1278"/>
      <c r="J165" s="1279"/>
    </row>
    <row r="166" spans="1:19" ht="3.75" customHeight="1" x14ac:dyDescent="0.25"/>
    <row r="167" spans="1:19" ht="13.8" x14ac:dyDescent="0.25">
      <c r="A167" s="997" t="s">
        <v>7864</v>
      </c>
      <c r="B167" s="198"/>
      <c r="C167" s="198"/>
      <c r="D167" s="198"/>
      <c r="E167" s="198"/>
      <c r="F167" s="198"/>
      <c r="G167" s="198"/>
      <c r="H167" s="198"/>
      <c r="I167" s="198"/>
      <c r="J167" s="198"/>
    </row>
    <row r="168" spans="1:19" ht="6" customHeight="1" thickBot="1" x14ac:dyDescent="0.3">
      <c r="A168" s="500"/>
      <c r="B168" s="500"/>
      <c r="C168" s="500"/>
      <c r="D168" s="500"/>
      <c r="E168" s="500"/>
      <c r="F168" s="500"/>
      <c r="G168" s="1186"/>
      <c r="H168" s="1186"/>
      <c r="I168" s="990"/>
      <c r="J168" s="990"/>
    </row>
    <row r="169" spans="1:19" ht="15.75" customHeight="1" x14ac:dyDescent="0.25">
      <c r="A169" s="993" t="s">
        <v>7863</v>
      </c>
      <c r="B169" s="994"/>
      <c r="C169" s="994"/>
      <c r="D169" s="994"/>
      <c r="E169" s="994"/>
      <c r="F169" s="994"/>
      <c r="G169" s="995"/>
      <c r="H169" s="995"/>
      <c r="I169" s="1451">
        <f>DD39</f>
        <v>0</v>
      </c>
      <c r="J169" s="1452"/>
    </row>
    <row r="170" spans="1:19" ht="15.75" customHeight="1" thickBot="1" x14ac:dyDescent="0.3">
      <c r="A170" s="991" t="s">
        <v>515</v>
      </c>
      <c r="B170" s="992"/>
      <c r="C170" s="992"/>
      <c r="D170" s="992"/>
      <c r="E170" s="992"/>
      <c r="F170" s="992"/>
      <c r="G170" s="996"/>
      <c r="H170" s="996"/>
      <c r="I170" s="1453">
        <f>DE39</f>
        <v>0</v>
      </c>
      <c r="J170" s="1454"/>
    </row>
    <row r="171" spans="1:19" ht="6.9" customHeight="1" x14ac:dyDescent="0.25"/>
    <row r="172" spans="1:19" ht="13.8" x14ac:dyDescent="0.25">
      <c r="A172" s="460" t="s">
        <v>509</v>
      </c>
      <c r="B172" s="198"/>
      <c r="C172" s="198"/>
      <c r="D172" s="198"/>
      <c r="E172" s="198"/>
      <c r="F172" s="198"/>
      <c r="G172" s="198"/>
      <c r="H172" s="198"/>
      <c r="I172" s="198"/>
      <c r="J172" s="198"/>
    </row>
    <row r="173" spans="1:19" ht="12" customHeight="1" x14ac:dyDescent="0.2">
      <c r="A173" s="461" t="s">
        <v>510</v>
      </c>
      <c r="B173" s="198"/>
      <c r="C173" s="198"/>
      <c r="D173" s="198"/>
      <c r="E173" s="198"/>
      <c r="F173" s="198"/>
      <c r="G173" s="198"/>
      <c r="H173" s="198"/>
      <c r="I173" s="198"/>
      <c r="J173" s="198"/>
      <c r="Q173" s="233" t="s">
        <v>7771</v>
      </c>
    </row>
    <row r="174" spans="1:19" ht="3" customHeight="1" thickBot="1" x14ac:dyDescent="0.3">
      <c r="A174" s="198"/>
      <c r="B174" s="198"/>
      <c r="C174" s="198"/>
      <c r="D174" s="198"/>
      <c r="E174" s="198"/>
      <c r="F174" s="198"/>
      <c r="G174" s="198"/>
      <c r="H174" s="198"/>
      <c r="I174" s="198"/>
      <c r="J174" s="198"/>
    </row>
    <row r="175" spans="1:19" ht="15.75" customHeight="1" x14ac:dyDescent="0.25">
      <c r="A175" s="1189" t="s">
        <v>496</v>
      </c>
      <c r="B175" s="1190"/>
      <c r="C175" s="1190"/>
      <c r="D175" s="739" t="s">
        <v>259</v>
      </c>
      <c r="E175" s="459" t="s">
        <v>260</v>
      </c>
      <c r="F175" s="1280" t="s">
        <v>7887</v>
      </c>
      <c r="G175" s="1459"/>
      <c r="H175" s="1281"/>
      <c r="I175" s="1280" t="s">
        <v>497</v>
      </c>
      <c r="J175" s="1281"/>
      <c r="Q175" s="233" t="s">
        <v>493</v>
      </c>
      <c r="R175" s="451" t="s">
        <v>7763</v>
      </c>
      <c r="S175" s="451" t="s">
        <v>7758</v>
      </c>
    </row>
    <row r="176" spans="1:19" ht="15.75" customHeight="1" thickBot="1" x14ac:dyDescent="0.4">
      <c r="A176" s="1191"/>
      <c r="B176" s="1192"/>
      <c r="C176" s="1192"/>
      <c r="D176" s="1187" t="s">
        <v>261</v>
      </c>
      <c r="E176" s="1188"/>
      <c r="F176" s="740" t="s">
        <v>4</v>
      </c>
      <c r="G176" s="741" t="s">
        <v>7755</v>
      </c>
      <c r="H176" s="722" t="s">
        <v>7756</v>
      </c>
      <c r="I176" s="1282" t="s">
        <v>547</v>
      </c>
      <c r="J176" s="1283"/>
      <c r="Q176" s="233" t="s">
        <v>7762</v>
      </c>
      <c r="R176" s="451" t="s">
        <v>7762</v>
      </c>
      <c r="S176" s="451" t="s">
        <v>7762</v>
      </c>
    </row>
    <row r="177" spans="1:19" ht="18" customHeight="1" x14ac:dyDescent="0.25">
      <c r="A177" s="1193" t="s">
        <v>516</v>
      </c>
      <c r="B177" s="1194"/>
      <c r="C177" s="1194"/>
      <c r="D177" s="737"/>
      <c r="E177" s="1127"/>
      <c r="F177" s="734" t="str">
        <f>IF($N46=0," ",D51)</f>
        <v xml:space="preserve"> </v>
      </c>
      <c r="G177" s="744" t="str">
        <f>IF($N46=0," ",F51)</f>
        <v xml:space="preserve"> </v>
      </c>
      <c r="H177" s="735" t="str">
        <f>IF($N46=0," ",G51)</f>
        <v xml:space="preserve"> </v>
      </c>
      <c r="I177" s="556"/>
      <c r="J177" s="557"/>
      <c r="L177" s="233"/>
      <c r="M177" s="451" t="s">
        <v>566</v>
      </c>
    </row>
    <row r="178" spans="1:19" ht="18" customHeight="1" x14ac:dyDescent="0.25">
      <c r="A178" s="1195"/>
      <c r="B178" s="1196"/>
      <c r="C178" s="1196"/>
      <c r="D178" s="738"/>
      <c r="E178" s="488"/>
      <c r="F178" s="1183" t="s">
        <v>565</v>
      </c>
      <c r="G178" s="1184"/>
      <c r="H178" s="1185"/>
      <c r="I178" s="1457" t="str">
        <f>IF(OR(E177=0,M178=""),"",E177*M178*-1)</f>
        <v/>
      </c>
      <c r="J178" s="1458"/>
      <c r="L178" s="233"/>
      <c r="M178" s="233" t="str">
        <f>IF($N46=0," ",(AG54+AJ54)/2)</f>
        <v xml:space="preserve"> </v>
      </c>
      <c r="Q178" s="745" t="str">
        <f>IF(OR($E177=0,F177=""),"",$E177*F177*-1)</f>
        <v/>
      </c>
      <c r="R178" s="745" t="str">
        <f>IF(OR($E177=0,G177=""),"",$E177*G177*-1)</f>
        <v/>
      </c>
      <c r="S178" s="745" t="str">
        <f>IF(OR($E177=0,H177=""),"",$E177*H177*-1)</f>
        <v/>
      </c>
    </row>
    <row r="179" spans="1:19" ht="18" customHeight="1" x14ac:dyDescent="0.25">
      <c r="A179" s="1197" t="s">
        <v>546</v>
      </c>
      <c r="B179" s="1198"/>
      <c r="C179" s="1198"/>
      <c r="D179" s="738"/>
      <c r="E179" s="1128"/>
      <c r="F179" s="720" t="str">
        <f>IF(B89=0,"",B91)</f>
        <v/>
      </c>
      <c r="G179" s="736" t="str">
        <f>IF(B89=0,"",B93)</f>
        <v/>
      </c>
      <c r="H179" s="721" t="str">
        <f>IF(B89=0,"",B94)</f>
        <v/>
      </c>
      <c r="I179" s="1447" t="str">
        <f>IF(OR(E179=0,F179=""),"",E179*F179*-1)</f>
        <v/>
      </c>
      <c r="J179" s="1448"/>
      <c r="L179" s="233"/>
      <c r="M179" s="451" t="s">
        <v>7759</v>
      </c>
      <c r="N179" s="451" t="s">
        <v>7760</v>
      </c>
      <c r="O179" s="451" t="s">
        <v>7761</v>
      </c>
      <c r="R179" s="746" t="str">
        <f>IF(OR($E179=0,G179=""),"",$E179*G179*-1)</f>
        <v/>
      </c>
      <c r="S179" s="746" t="str">
        <f>IF(OR($E179=0,H179=""),"",$E179*H179*-1)</f>
        <v/>
      </c>
    </row>
    <row r="180" spans="1:19" ht="18" customHeight="1" x14ac:dyDescent="0.25">
      <c r="A180" s="723"/>
      <c r="B180" s="724"/>
      <c r="C180" s="724"/>
      <c r="D180" s="1129"/>
      <c r="E180" s="1130"/>
      <c r="F180" s="720" t="str">
        <f>+IF(M180=0,"  ",M180)</f>
        <v xml:space="preserve">  </v>
      </c>
      <c r="G180" s="736" t="str">
        <f t="shared" ref="G180:H184" si="91">+IF(N180=0,"  ",N180)</f>
        <v xml:space="preserve">  </v>
      </c>
      <c r="H180" s="721" t="str">
        <f>+IF(O180=0,"  ",O180)</f>
        <v xml:space="preserve">  </v>
      </c>
      <c r="I180" s="1284" t="str">
        <f>IF(D180+E180=0," ",(D180-E180)*F180)</f>
        <v xml:space="preserve"> </v>
      </c>
      <c r="J180" s="1285"/>
      <c r="L180" s="233">
        <v>1</v>
      </c>
      <c r="M180" s="233" cm="1">
        <f t="array" ref="M180">+INDEX('org Dünger'!G$8:G$39,'Nährstoffe und Lagerraum'!$L180)</f>
        <v>0</v>
      </c>
      <c r="N180" s="233" cm="1">
        <f t="array" ref="N180">+INDEX('org Dünger'!H$8:H$39,'Nährstoffe und Lagerraum'!$L180)</f>
        <v>0</v>
      </c>
      <c r="O180" s="233" cm="1">
        <f t="array" ref="O180">+INDEX('org Dünger'!I$8:I$39,'Nährstoffe und Lagerraum'!$L180)</f>
        <v>0</v>
      </c>
      <c r="R180" s="746" t="str">
        <f t="shared" ref="R180:R198" si="92">IF($D180+$E180=0," ",($D180-$E180)*G180)</f>
        <v xml:space="preserve"> </v>
      </c>
      <c r="S180" s="746" t="str">
        <f t="shared" ref="S180:S198" si="93">IF($D180+$E180=0," ",($D180-$E180)*H180)</f>
        <v xml:space="preserve"> </v>
      </c>
    </row>
    <row r="181" spans="1:19" ht="18" customHeight="1" x14ac:dyDescent="0.25">
      <c r="A181" s="718"/>
      <c r="B181" s="719"/>
      <c r="C181" s="719"/>
      <c r="D181" s="1131"/>
      <c r="E181" s="1130"/>
      <c r="F181" s="725" t="str">
        <f>+IF(M181=0,"  ",M181)</f>
        <v xml:space="preserve">  </v>
      </c>
      <c r="G181" s="736" t="str">
        <f t="shared" si="91"/>
        <v xml:space="preserve">  </v>
      </c>
      <c r="H181" s="726" t="str">
        <f t="shared" si="91"/>
        <v xml:space="preserve">  </v>
      </c>
      <c r="I181" s="1284" t="str">
        <f t="shared" ref="I181:I198" si="94">IF(D181+E181=0," ",(D181-E181)*F181)</f>
        <v xml:space="preserve"> </v>
      </c>
      <c r="J181" s="1285"/>
      <c r="L181" s="233">
        <v>1</v>
      </c>
      <c r="M181" s="233" cm="1">
        <f t="array" ref="M181">+INDEX('org Dünger'!G$8:G$39,'Nährstoffe und Lagerraum'!$L181)</f>
        <v>0</v>
      </c>
      <c r="N181" s="233" cm="1">
        <f t="array" ref="N181">+INDEX('org Dünger'!H$8:H$39,'Nährstoffe und Lagerraum'!$L181)</f>
        <v>0</v>
      </c>
      <c r="O181" s="233" cm="1">
        <f t="array" ref="O181">+INDEX('org Dünger'!I$8:I$39,'Nährstoffe und Lagerraum'!$L181)</f>
        <v>0</v>
      </c>
      <c r="R181" s="746" t="str">
        <f t="shared" si="92"/>
        <v xml:space="preserve"> </v>
      </c>
      <c r="S181" s="746" t="str">
        <f t="shared" si="93"/>
        <v xml:space="preserve"> </v>
      </c>
    </row>
    <row r="182" spans="1:19" ht="18" customHeight="1" x14ac:dyDescent="0.25">
      <c r="A182" s="718"/>
      <c r="B182" s="719"/>
      <c r="C182" s="719"/>
      <c r="D182" s="1131"/>
      <c r="E182" s="1130"/>
      <c r="F182" s="720" t="str">
        <f>+IF(M182=0,"  ",M182)</f>
        <v xml:space="preserve">  </v>
      </c>
      <c r="G182" s="736" t="str">
        <f t="shared" si="91"/>
        <v xml:space="preserve">  </v>
      </c>
      <c r="H182" s="721" t="str">
        <f t="shared" si="91"/>
        <v xml:space="preserve">  </v>
      </c>
      <c r="I182" s="1457" t="str">
        <f t="shared" si="94"/>
        <v xml:space="preserve"> </v>
      </c>
      <c r="J182" s="1458"/>
      <c r="L182" s="233">
        <v>1</v>
      </c>
      <c r="M182" s="233" cm="1">
        <f t="array" ref="M182">+INDEX('org Dünger'!G$8:G$39,'Nährstoffe und Lagerraum'!$L182)</f>
        <v>0</v>
      </c>
      <c r="N182" s="233" cm="1">
        <f t="array" ref="N182">+INDEX('org Dünger'!H$8:H$39,'Nährstoffe und Lagerraum'!$L182)</f>
        <v>0</v>
      </c>
      <c r="O182" s="233" cm="1">
        <f t="array" ref="O182">+INDEX('org Dünger'!I$8:I$39,'Nährstoffe und Lagerraum'!$L182)</f>
        <v>0</v>
      </c>
      <c r="R182" s="746" t="str">
        <f t="shared" si="92"/>
        <v xml:space="preserve"> </v>
      </c>
      <c r="S182" s="746" t="str">
        <f t="shared" si="93"/>
        <v xml:space="preserve"> </v>
      </c>
    </row>
    <row r="183" spans="1:19" ht="18" customHeight="1" x14ac:dyDescent="0.25">
      <c r="A183" s="718"/>
      <c r="B183" s="719"/>
      <c r="C183" s="719"/>
      <c r="D183" s="1131"/>
      <c r="E183" s="1130"/>
      <c r="F183" s="720" t="str">
        <f>+IF(M183=0,"  ",M183)</f>
        <v xml:space="preserve">  </v>
      </c>
      <c r="G183" s="736" t="str">
        <f t="shared" si="91"/>
        <v xml:space="preserve">  </v>
      </c>
      <c r="H183" s="721" t="str">
        <f t="shared" si="91"/>
        <v xml:space="preserve">  </v>
      </c>
      <c r="I183" s="1235" t="str">
        <f t="shared" si="94"/>
        <v xml:space="preserve"> </v>
      </c>
      <c r="J183" s="1236"/>
      <c r="L183" s="233">
        <v>1</v>
      </c>
      <c r="M183" s="233" cm="1">
        <f t="array" ref="M183">+INDEX('org Dünger'!G$8:G$39,'Nährstoffe und Lagerraum'!$L183)</f>
        <v>0</v>
      </c>
      <c r="N183" s="233" cm="1">
        <f t="array" ref="N183">+INDEX('org Dünger'!H$8:H$39,'Nährstoffe und Lagerraum'!$L183)</f>
        <v>0</v>
      </c>
      <c r="O183" s="233" cm="1">
        <f t="array" ref="O183">+INDEX('org Dünger'!I$8:I$39,'Nährstoffe und Lagerraum'!$L183)</f>
        <v>0</v>
      </c>
      <c r="R183" s="746" t="str">
        <f t="shared" si="92"/>
        <v xml:space="preserve"> </v>
      </c>
      <c r="S183" s="746" t="str">
        <f t="shared" si="93"/>
        <v xml:space="preserve"> </v>
      </c>
    </row>
    <row r="184" spans="1:19" ht="18" customHeight="1" x14ac:dyDescent="0.25">
      <c r="A184" s="718"/>
      <c r="B184" s="719"/>
      <c r="C184" s="719"/>
      <c r="D184" s="1131"/>
      <c r="E184" s="1130"/>
      <c r="F184" s="720" t="str">
        <f>+IF(M184=0,"  ",M184)</f>
        <v xml:space="preserve">  </v>
      </c>
      <c r="G184" s="736" t="str">
        <f t="shared" si="91"/>
        <v xml:space="preserve">  </v>
      </c>
      <c r="H184" s="721" t="str">
        <f t="shared" si="91"/>
        <v xml:space="preserve">  </v>
      </c>
      <c r="I184" s="1237" t="str">
        <f t="shared" si="94"/>
        <v xml:space="preserve"> </v>
      </c>
      <c r="J184" s="1238"/>
      <c r="L184" s="233">
        <v>1</v>
      </c>
      <c r="M184" s="233" cm="1">
        <f t="array" ref="M184">+INDEX('org Dünger'!G$8:G$39,'Nährstoffe und Lagerraum'!$L184)</f>
        <v>0</v>
      </c>
      <c r="N184" s="233" cm="1">
        <f t="array" ref="N184">+INDEX('org Dünger'!H$8:H$39,'Nährstoffe und Lagerraum'!$L184)</f>
        <v>0</v>
      </c>
      <c r="O184" s="233" cm="1">
        <f t="array" ref="O184">+INDEX('org Dünger'!I$8:I$39,'Nährstoffe und Lagerraum'!$L184)</f>
        <v>0</v>
      </c>
      <c r="R184" s="746" t="str">
        <f t="shared" si="92"/>
        <v xml:space="preserve"> </v>
      </c>
      <c r="S184" s="746" t="str">
        <f t="shared" si="93"/>
        <v xml:space="preserve"> </v>
      </c>
    </row>
    <row r="185" spans="1:19" ht="18" customHeight="1" x14ac:dyDescent="0.25">
      <c r="A185" s="1199"/>
      <c r="B185" s="1200"/>
      <c r="C185" s="1200"/>
      <c r="D185" s="1131"/>
      <c r="E185" s="1130"/>
      <c r="F185" s="1132"/>
      <c r="G185" s="1133"/>
      <c r="H185" s="1134"/>
      <c r="I185" s="1235" t="str">
        <f t="shared" si="94"/>
        <v xml:space="preserve"> </v>
      </c>
      <c r="J185" s="1236"/>
      <c r="L185" s="233"/>
      <c r="R185" s="746" t="str">
        <f t="shared" si="92"/>
        <v xml:space="preserve"> </v>
      </c>
      <c r="S185" s="746" t="str">
        <f t="shared" si="93"/>
        <v xml:space="preserve"> </v>
      </c>
    </row>
    <row r="186" spans="1:19" ht="18" customHeight="1" x14ac:dyDescent="0.25">
      <c r="A186" s="1179"/>
      <c r="B186" s="1180"/>
      <c r="C186" s="1180"/>
      <c r="D186" s="1131"/>
      <c r="E186" s="1130"/>
      <c r="F186" s="1132"/>
      <c r="G186" s="1133"/>
      <c r="H186" s="1134"/>
      <c r="I186" s="1266" t="str">
        <f t="shared" si="94"/>
        <v xml:space="preserve"> </v>
      </c>
      <c r="J186" s="1267"/>
      <c r="L186" s="233"/>
      <c r="R186" s="746" t="str">
        <f t="shared" si="92"/>
        <v xml:space="preserve"> </v>
      </c>
      <c r="S186" s="746" t="str">
        <f t="shared" si="93"/>
        <v xml:space="preserve"> </v>
      </c>
    </row>
    <row r="187" spans="1:19" ht="18" customHeight="1" x14ac:dyDescent="0.25">
      <c r="A187" s="1179"/>
      <c r="B187" s="1180"/>
      <c r="C187" s="1180"/>
      <c r="D187" s="1131"/>
      <c r="E187" s="1130"/>
      <c r="F187" s="1132"/>
      <c r="G187" s="1133"/>
      <c r="H187" s="1134"/>
      <c r="I187" s="1237" t="str">
        <f t="shared" si="94"/>
        <v xml:space="preserve"> </v>
      </c>
      <c r="J187" s="1238"/>
      <c r="L187" s="233"/>
      <c r="R187" s="746" t="str">
        <f t="shared" si="92"/>
        <v xml:space="preserve"> </v>
      </c>
      <c r="S187" s="746" t="str">
        <f t="shared" si="93"/>
        <v xml:space="preserve"> </v>
      </c>
    </row>
    <row r="188" spans="1:19" ht="18" customHeight="1" x14ac:dyDescent="0.25">
      <c r="A188" s="1179"/>
      <c r="B188" s="1180"/>
      <c r="C188" s="1180"/>
      <c r="D188" s="1131"/>
      <c r="E188" s="1130"/>
      <c r="F188" s="1132"/>
      <c r="G188" s="1133"/>
      <c r="H188" s="1134"/>
      <c r="I188" s="1239" t="str">
        <f t="shared" si="94"/>
        <v xml:space="preserve"> </v>
      </c>
      <c r="J188" s="1240"/>
      <c r="L188" s="233"/>
      <c r="R188" s="746" t="str">
        <f t="shared" si="92"/>
        <v xml:space="preserve"> </v>
      </c>
      <c r="S188" s="746" t="str">
        <f t="shared" si="93"/>
        <v xml:space="preserve"> </v>
      </c>
    </row>
    <row r="189" spans="1:19" ht="18" customHeight="1" x14ac:dyDescent="0.25">
      <c r="A189" s="1179"/>
      <c r="B189" s="1180"/>
      <c r="C189" s="1180"/>
      <c r="D189" s="1131"/>
      <c r="E189" s="1130"/>
      <c r="F189" s="1132"/>
      <c r="G189" s="1133"/>
      <c r="H189" s="1134"/>
      <c r="I189" s="1237" t="str">
        <f t="shared" si="94"/>
        <v xml:space="preserve"> </v>
      </c>
      <c r="J189" s="1238"/>
      <c r="L189" s="233"/>
      <c r="R189" s="746" t="str">
        <f t="shared" si="92"/>
        <v xml:space="preserve"> </v>
      </c>
      <c r="S189" s="746" t="str">
        <f t="shared" si="93"/>
        <v xml:space="preserve"> </v>
      </c>
    </row>
    <row r="190" spans="1:19" ht="18" customHeight="1" x14ac:dyDescent="0.25">
      <c r="A190" s="1179"/>
      <c r="B190" s="1180"/>
      <c r="C190" s="1180"/>
      <c r="D190" s="1131"/>
      <c r="E190" s="1130"/>
      <c r="F190" s="1132"/>
      <c r="G190" s="1133"/>
      <c r="H190" s="1134"/>
      <c r="I190" s="1237" t="str">
        <f t="shared" si="94"/>
        <v xml:space="preserve"> </v>
      </c>
      <c r="J190" s="1238"/>
      <c r="L190" s="233"/>
      <c r="R190" s="746" t="str">
        <f t="shared" si="92"/>
        <v xml:space="preserve"> </v>
      </c>
      <c r="S190" s="746" t="str">
        <f t="shared" si="93"/>
        <v xml:space="preserve"> </v>
      </c>
    </row>
    <row r="191" spans="1:19" ht="18" customHeight="1" x14ac:dyDescent="0.25">
      <c r="A191" s="1179"/>
      <c r="B191" s="1180"/>
      <c r="C191" s="1180"/>
      <c r="D191" s="1131"/>
      <c r="E191" s="1130"/>
      <c r="F191" s="1132"/>
      <c r="G191" s="1133"/>
      <c r="H191" s="1134"/>
      <c r="I191" s="1237" t="str">
        <f t="shared" si="94"/>
        <v xml:space="preserve"> </v>
      </c>
      <c r="J191" s="1238"/>
      <c r="L191" s="233"/>
      <c r="R191" s="746" t="str">
        <f t="shared" si="92"/>
        <v xml:space="preserve"> </v>
      </c>
      <c r="S191" s="746" t="str">
        <f t="shared" si="93"/>
        <v xml:space="preserve"> </v>
      </c>
    </row>
    <row r="192" spans="1:19" ht="18" customHeight="1" x14ac:dyDescent="0.25">
      <c r="A192" s="1179"/>
      <c r="B192" s="1180"/>
      <c r="C192" s="1180"/>
      <c r="D192" s="1131"/>
      <c r="E192" s="1130"/>
      <c r="F192" s="1132"/>
      <c r="G192" s="1133"/>
      <c r="H192" s="1134"/>
      <c r="I192" s="1237" t="str">
        <f t="shared" si="94"/>
        <v xml:space="preserve"> </v>
      </c>
      <c r="J192" s="1238"/>
      <c r="L192" s="233"/>
      <c r="R192" s="746" t="str">
        <f t="shared" si="92"/>
        <v xml:space="preserve"> </v>
      </c>
      <c r="S192" s="746" t="str">
        <f t="shared" si="93"/>
        <v xml:space="preserve"> </v>
      </c>
    </row>
    <row r="193" spans="1:32" ht="18" customHeight="1" x14ac:dyDescent="0.25">
      <c r="A193" s="1179"/>
      <c r="B193" s="1180"/>
      <c r="C193" s="1180"/>
      <c r="D193" s="1131"/>
      <c r="E193" s="1130"/>
      <c r="F193" s="1132"/>
      <c r="G193" s="1133"/>
      <c r="H193" s="1134"/>
      <c r="I193" s="1237" t="str">
        <f t="shared" si="94"/>
        <v xml:space="preserve"> </v>
      </c>
      <c r="J193" s="1238"/>
      <c r="L193" s="233"/>
      <c r="R193" s="746" t="str">
        <f t="shared" si="92"/>
        <v xml:space="preserve"> </v>
      </c>
      <c r="S193" s="746" t="str">
        <f t="shared" si="93"/>
        <v xml:space="preserve"> </v>
      </c>
    </row>
    <row r="194" spans="1:32" ht="18" customHeight="1" x14ac:dyDescent="0.25">
      <c r="A194" s="1179"/>
      <c r="B194" s="1180"/>
      <c r="C194" s="1180"/>
      <c r="D194" s="1131"/>
      <c r="E194" s="1130"/>
      <c r="F194" s="1132"/>
      <c r="G194" s="1133"/>
      <c r="H194" s="1134"/>
      <c r="I194" s="1237" t="str">
        <f t="shared" si="94"/>
        <v xml:space="preserve"> </v>
      </c>
      <c r="J194" s="1238"/>
      <c r="L194" s="233"/>
      <c r="R194" s="746" t="str">
        <f t="shared" si="92"/>
        <v xml:space="preserve"> </v>
      </c>
      <c r="S194" s="746" t="str">
        <f t="shared" si="93"/>
        <v xml:space="preserve"> </v>
      </c>
    </row>
    <row r="195" spans="1:32" ht="18" customHeight="1" x14ac:dyDescent="0.25">
      <c r="A195" s="1179"/>
      <c r="B195" s="1180"/>
      <c r="C195" s="1180"/>
      <c r="D195" s="1131"/>
      <c r="E195" s="1130"/>
      <c r="F195" s="1132"/>
      <c r="G195" s="1133"/>
      <c r="H195" s="1134"/>
      <c r="I195" s="1237" t="str">
        <f t="shared" si="94"/>
        <v xml:space="preserve"> </v>
      </c>
      <c r="J195" s="1238"/>
      <c r="L195" s="233"/>
      <c r="R195" s="746" t="str">
        <f t="shared" si="92"/>
        <v xml:space="preserve"> </v>
      </c>
      <c r="S195" s="746" t="str">
        <f t="shared" si="93"/>
        <v xml:space="preserve"> </v>
      </c>
    </row>
    <row r="196" spans="1:32" ht="18" customHeight="1" x14ac:dyDescent="0.25">
      <c r="A196" s="1179"/>
      <c r="B196" s="1180"/>
      <c r="C196" s="1180"/>
      <c r="D196" s="1131"/>
      <c r="E196" s="1130"/>
      <c r="F196" s="1132"/>
      <c r="G196" s="1133"/>
      <c r="H196" s="1134"/>
      <c r="I196" s="1237" t="str">
        <f t="shared" si="94"/>
        <v xml:space="preserve"> </v>
      </c>
      <c r="J196" s="1238"/>
      <c r="L196" s="233"/>
      <c r="R196" s="746" t="str">
        <f t="shared" si="92"/>
        <v xml:space="preserve"> </v>
      </c>
      <c r="S196" s="746" t="str">
        <f t="shared" si="93"/>
        <v xml:space="preserve"> </v>
      </c>
    </row>
    <row r="197" spans="1:32" ht="18" customHeight="1" x14ac:dyDescent="0.25">
      <c r="A197" s="1179"/>
      <c r="B197" s="1180"/>
      <c r="C197" s="1180"/>
      <c r="D197" s="1131"/>
      <c r="E197" s="1130"/>
      <c r="F197" s="1132"/>
      <c r="G197" s="1133"/>
      <c r="H197" s="1134"/>
      <c r="I197" s="1237" t="str">
        <f t="shared" si="94"/>
        <v xml:space="preserve"> </v>
      </c>
      <c r="J197" s="1238"/>
      <c r="L197" s="233"/>
      <c r="R197" s="746" t="str">
        <f t="shared" si="92"/>
        <v xml:space="preserve"> </v>
      </c>
      <c r="S197" s="746" t="str">
        <f t="shared" si="93"/>
        <v xml:space="preserve"> </v>
      </c>
    </row>
    <row r="198" spans="1:32" ht="18" customHeight="1" thickBot="1" x14ac:dyDescent="0.3">
      <c r="A198" s="1181"/>
      <c r="B198" s="1182"/>
      <c r="C198" s="1182"/>
      <c r="D198" s="1135"/>
      <c r="E198" s="1136"/>
      <c r="F198" s="1137"/>
      <c r="G198" s="1138"/>
      <c r="H198" s="1139"/>
      <c r="I198" s="1463" t="str">
        <f t="shared" si="94"/>
        <v xml:space="preserve"> </v>
      </c>
      <c r="J198" s="1464"/>
      <c r="L198" s="233"/>
      <c r="R198" s="746" t="str">
        <f t="shared" si="92"/>
        <v xml:space="preserve"> </v>
      </c>
      <c r="S198" s="746" t="str">
        <f t="shared" si="93"/>
        <v xml:space="preserve"> </v>
      </c>
    </row>
    <row r="199" spans="1:32" ht="15.75" customHeight="1" thickBot="1" x14ac:dyDescent="0.3">
      <c r="A199" s="462" t="s">
        <v>498</v>
      </c>
      <c r="B199" s="463"/>
      <c r="C199" s="463"/>
      <c r="D199" s="463"/>
      <c r="E199" s="464"/>
      <c r="F199" s="509" t="str">
        <f>IF(I170+I199&lt;-0.5,"Abgabe zu hoch!","")</f>
        <v/>
      </c>
      <c r="G199" s="464"/>
      <c r="H199" s="464"/>
      <c r="I199" s="1465">
        <f>SUM(I178:J198)</f>
        <v>0</v>
      </c>
      <c r="J199" s="1466"/>
      <c r="L199" s="233"/>
      <c r="Q199" s="450">
        <f>SUM(I179:J198,Q178)</f>
        <v>0</v>
      </c>
      <c r="R199" s="342">
        <f>SUM(R178:R198)</f>
        <v>0</v>
      </c>
      <c r="S199" s="342">
        <f>SUM(S178:S198)</f>
        <v>0</v>
      </c>
    </row>
    <row r="200" spans="1:32" ht="5.25" customHeight="1" x14ac:dyDescent="0.25">
      <c r="S200" s="239"/>
      <c r="T200" s="239"/>
      <c r="U200" s="239"/>
      <c r="V200" s="239"/>
      <c r="W200" s="239"/>
      <c r="X200" s="239"/>
      <c r="Y200" s="239"/>
      <c r="Z200" s="239"/>
      <c r="AA200" s="239"/>
      <c r="AB200" s="239"/>
      <c r="AC200" s="239"/>
      <c r="AD200" s="239"/>
      <c r="AE200" s="239"/>
      <c r="AF200" s="239"/>
    </row>
    <row r="201" spans="1:32" ht="13.8" x14ac:dyDescent="0.25">
      <c r="A201" s="558" t="s">
        <v>499</v>
      </c>
      <c r="B201" s="558"/>
      <c r="C201" s="558"/>
      <c r="D201" s="559" t="str">
        <f>IF($H$35+$H$48&gt;0,IF($F$6=0,"Zur Berechnung je ha bitte Fläche angeben"," ")," ")</f>
        <v xml:space="preserve"> </v>
      </c>
      <c r="E201" s="558"/>
      <c r="F201" s="560"/>
      <c r="G201" s="558"/>
      <c r="H201" s="558"/>
      <c r="I201" s="199"/>
      <c r="J201" s="199"/>
      <c r="S201" s="489"/>
      <c r="T201" s="239"/>
      <c r="U201" s="239"/>
      <c r="V201" s="239"/>
      <c r="W201" s="239"/>
      <c r="X201" s="239"/>
      <c r="Y201" s="239"/>
      <c r="Z201" s="239"/>
      <c r="AA201" s="239"/>
      <c r="AB201" s="239"/>
      <c r="AC201" s="239"/>
      <c r="AD201" s="239"/>
      <c r="AE201" s="239"/>
      <c r="AF201" s="239"/>
    </row>
    <row r="202" spans="1:32" ht="3.75" customHeight="1" thickBot="1" x14ac:dyDescent="0.3">
      <c r="A202" s="561"/>
      <c r="B202" s="561"/>
      <c r="C202" s="561"/>
      <c r="D202" s="561"/>
      <c r="E202" s="561"/>
      <c r="F202" s="561"/>
      <c r="G202" s="561"/>
      <c r="H202" s="561"/>
      <c r="I202" s="143"/>
      <c r="J202" s="143"/>
      <c r="S202" s="239"/>
      <c r="T202" s="239"/>
      <c r="U202" s="239"/>
      <c r="V202" s="239"/>
      <c r="W202" s="239"/>
      <c r="X202" s="239"/>
      <c r="Y202" s="239"/>
      <c r="Z202" s="239"/>
      <c r="AA202" s="239"/>
      <c r="AB202" s="239"/>
      <c r="AC202" s="239"/>
      <c r="AD202" s="239"/>
      <c r="AE202" s="239"/>
      <c r="AF202" s="239"/>
    </row>
    <row r="203" spans="1:32" ht="12.75" customHeight="1" x14ac:dyDescent="0.25">
      <c r="A203" s="1260" t="s">
        <v>563</v>
      </c>
      <c r="B203" s="1261"/>
      <c r="C203" s="1261"/>
      <c r="D203" s="1261"/>
      <c r="E203" s="1261"/>
      <c r="F203" s="1262"/>
      <c r="G203" s="1252" t="s">
        <v>500</v>
      </c>
      <c r="H203" s="1253"/>
      <c r="I203" s="1244" t="s">
        <v>501</v>
      </c>
      <c r="J203" s="1245"/>
      <c r="P203" s="233" t="s">
        <v>552</v>
      </c>
      <c r="S203" s="489"/>
      <c r="T203" s="489"/>
      <c r="U203" s="239"/>
      <c r="V203" s="490"/>
      <c r="W203" s="490"/>
      <c r="X203" s="490"/>
      <c r="Y203" s="490"/>
      <c r="Z203" s="490"/>
      <c r="AA203" s="490"/>
      <c r="AB203" s="491"/>
      <c r="AC203" s="491"/>
      <c r="AD203" s="492"/>
      <c r="AE203" s="492"/>
      <c r="AF203" s="239"/>
    </row>
    <row r="204" spans="1:32" ht="13.5" customHeight="1" thickBot="1" x14ac:dyDescent="0.3">
      <c r="A204" s="1263"/>
      <c r="B204" s="1264"/>
      <c r="C204" s="1264"/>
      <c r="D204" s="1264"/>
      <c r="E204" s="1264"/>
      <c r="F204" s="1265"/>
      <c r="G204" s="1254" t="s">
        <v>493</v>
      </c>
      <c r="H204" s="1255"/>
      <c r="I204" s="1246" t="s">
        <v>493</v>
      </c>
      <c r="J204" s="1247"/>
      <c r="N204" s="451"/>
      <c r="S204" s="489"/>
      <c r="T204" s="489"/>
      <c r="U204" s="239"/>
      <c r="V204" s="490"/>
      <c r="W204" s="490"/>
      <c r="X204" s="490"/>
      <c r="Y204" s="490"/>
      <c r="Z204" s="490"/>
      <c r="AA204" s="490"/>
      <c r="AB204" s="491"/>
      <c r="AC204" s="491"/>
      <c r="AD204" s="492"/>
      <c r="AE204" s="492"/>
      <c r="AF204" s="239"/>
    </row>
    <row r="205" spans="1:32" ht="14.25" customHeight="1" x14ac:dyDescent="0.25">
      <c r="A205" s="1241" t="s">
        <v>7928</v>
      </c>
      <c r="B205" s="1242"/>
      <c r="C205" s="1242"/>
      <c r="D205" s="1242"/>
      <c r="E205" s="1242"/>
      <c r="F205" s="1243"/>
      <c r="G205" s="1256" t="str">
        <f>IF(OR(I205=0,I211=0)," ",+I205/N211)</f>
        <v xml:space="preserve"> </v>
      </c>
      <c r="H205" s="1257"/>
      <c r="I205" s="1248">
        <f>Q208</f>
        <v>0</v>
      </c>
      <c r="J205" s="1249"/>
      <c r="N205" s="450"/>
      <c r="P205" s="233" t="s">
        <v>554</v>
      </c>
      <c r="Q205" s="450">
        <f>SUM(I199,I170)</f>
        <v>0</v>
      </c>
      <c r="S205" s="489"/>
      <c r="T205" s="489"/>
      <c r="U205" s="239"/>
      <c r="V205" s="493"/>
      <c r="W205" s="492"/>
      <c r="X205" s="492"/>
      <c r="Y205" s="492"/>
      <c r="Z205" s="492"/>
      <c r="AA205" s="492"/>
      <c r="AB205" s="494"/>
      <c r="AC205" s="494"/>
      <c r="AD205" s="495"/>
      <c r="AE205" s="495"/>
      <c r="AF205" s="239"/>
    </row>
    <row r="206" spans="1:32" ht="14.25" customHeight="1" x14ac:dyDescent="0.25">
      <c r="A206" s="562" t="s">
        <v>502</v>
      </c>
      <c r="B206" s="563"/>
      <c r="C206" s="563"/>
      <c r="D206" s="563"/>
      <c r="E206" s="563"/>
      <c r="F206" s="564"/>
      <c r="G206" s="1258">
        <f>IF(N211=0," ",+I206/N211)</f>
        <v>170</v>
      </c>
      <c r="H206" s="1259"/>
      <c r="I206" s="1250">
        <f>+N211*170</f>
        <v>1.6999999999999999E-4</v>
      </c>
      <c r="J206" s="1251"/>
      <c r="N206" s="450"/>
      <c r="P206" s="233" t="s">
        <v>553</v>
      </c>
      <c r="Q206" s="233">
        <f>IF(I199&lt;0,I199-I199/0.8,0)</f>
        <v>0</v>
      </c>
      <c r="S206" s="489"/>
      <c r="T206" s="489"/>
      <c r="U206" s="239"/>
      <c r="V206" s="496"/>
      <c r="W206" s="497"/>
      <c r="X206" s="497"/>
      <c r="Y206" s="497"/>
      <c r="Z206" s="497"/>
      <c r="AA206" s="497"/>
      <c r="AB206" s="494"/>
      <c r="AC206" s="494"/>
      <c r="AD206" s="495"/>
      <c r="AE206" s="495"/>
      <c r="AF206" s="239"/>
    </row>
    <row r="207" spans="1:32" ht="14.25" customHeight="1" thickBot="1" x14ac:dyDescent="0.3">
      <c r="A207" s="562" t="s">
        <v>564</v>
      </c>
      <c r="B207" s="563"/>
      <c r="C207" s="563"/>
      <c r="D207" s="563"/>
      <c r="E207" s="563"/>
      <c r="F207" s="564"/>
      <c r="G207" s="1225" t="str">
        <f>IF(I211=0," ",+I207/N211)</f>
        <v xml:space="preserve"> </v>
      </c>
      <c r="H207" s="1226"/>
      <c r="I207" s="1220">
        <f>IF(I205&lt;I206,0,I205-I206)</f>
        <v>0</v>
      </c>
      <c r="J207" s="1221"/>
      <c r="P207" s="233" t="s">
        <v>568</v>
      </c>
      <c r="Q207" s="450">
        <f>Q205-Q206</f>
        <v>0</v>
      </c>
      <c r="S207" s="489"/>
      <c r="T207" s="498"/>
      <c r="U207" s="239"/>
      <c r="V207" s="496"/>
      <c r="W207" s="497"/>
      <c r="X207" s="497"/>
      <c r="Y207" s="497"/>
      <c r="Z207" s="497"/>
      <c r="AA207" s="497"/>
      <c r="AB207" s="494"/>
      <c r="AC207" s="494"/>
      <c r="AD207" s="443"/>
      <c r="AE207" s="443"/>
      <c r="AF207" s="239"/>
    </row>
    <row r="208" spans="1:32" ht="21" customHeight="1" thickBot="1" x14ac:dyDescent="0.35">
      <c r="A208" s="565" t="s">
        <v>7888</v>
      </c>
      <c r="B208" s="566"/>
      <c r="C208" s="566"/>
      <c r="D208" s="566"/>
      <c r="E208" s="566"/>
      <c r="F208" s="567"/>
      <c r="G208" s="1222" t="str">
        <f>IF(I205&lt;=I206,"ja","nein")</f>
        <v>ja</v>
      </c>
      <c r="H208" s="1222"/>
      <c r="I208" s="1223"/>
      <c r="J208" s="1224"/>
      <c r="M208" s="450"/>
      <c r="N208" s="450"/>
      <c r="P208" s="233" t="s">
        <v>555</v>
      </c>
      <c r="Q208" s="233">
        <f>IF(Q205&lt;=I206,Q205,MAX(I206,Q207))</f>
        <v>0</v>
      </c>
      <c r="S208" s="489"/>
      <c r="T208" s="489"/>
      <c r="U208" s="239"/>
      <c r="V208" s="490"/>
      <c r="W208" s="499"/>
      <c r="X208" s="499"/>
      <c r="Y208" s="499"/>
      <c r="Z208" s="499"/>
      <c r="AA208" s="500"/>
      <c r="AB208" s="501"/>
      <c r="AC208" s="501"/>
      <c r="AD208" s="501"/>
      <c r="AE208" s="501"/>
      <c r="AF208" s="239"/>
    </row>
    <row r="209" spans="1:120" customFormat="1" ht="5.25" customHeight="1" x14ac:dyDescent="0.25">
      <c r="A209" s="357"/>
      <c r="B209" s="357"/>
      <c r="C209" s="357"/>
      <c r="D209" s="357"/>
      <c r="E209" s="357"/>
      <c r="F209" s="357"/>
      <c r="G209" s="357"/>
      <c r="H209" s="357"/>
      <c r="I209" s="357"/>
      <c r="J209" s="357"/>
      <c r="S209" s="502"/>
      <c r="T209" s="502"/>
      <c r="U209" s="497"/>
      <c r="V209" s="497"/>
      <c r="W209" s="497"/>
      <c r="X209" s="497"/>
      <c r="Y209" s="497"/>
      <c r="Z209" s="497"/>
      <c r="AA209" s="497"/>
      <c r="AB209" s="497"/>
      <c r="AC209" s="497"/>
      <c r="AD209" s="497"/>
      <c r="AE209" s="497"/>
      <c r="AF209" s="497"/>
      <c r="DP209" s="143"/>
    </row>
    <row r="210" spans="1:120" ht="3.75" customHeight="1" x14ac:dyDescent="0.25">
      <c r="A210" s="568"/>
      <c r="B210" s="357"/>
      <c r="C210" s="357"/>
      <c r="D210" s="357"/>
      <c r="E210" s="357"/>
      <c r="F210" s="563"/>
      <c r="G210" s="569"/>
      <c r="H210" s="569"/>
      <c r="I210" s="570"/>
      <c r="J210" s="570"/>
      <c r="S210" s="239"/>
      <c r="T210" s="239"/>
      <c r="U210" s="239"/>
      <c r="V210" s="239"/>
      <c r="W210" s="239"/>
      <c r="X210" s="239"/>
      <c r="Y210" s="239"/>
      <c r="Z210" s="239"/>
      <c r="AA210" s="239"/>
      <c r="AB210" s="239"/>
      <c r="AC210" s="239"/>
      <c r="AD210" s="239"/>
      <c r="AE210" s="239"/>
      <c r="AF210" s="239"/>
    </row>
    <row r="211" spans="1:120" ht="11.25" customHeight="1" x14ac:dyDescent="0.2">
      <c r="A211" s="571" t="s">
        <v>560</v>
      </c>
      <c r="B211" s="571"/>
      <c r="C211" s="571"/>
      <c r="D211" s="571"/>
      <c r="E211" s="143"/>
      <c r="F211" s="143"/>
      <c r="G211" s="143"/>
      <c r="H211" s="143"/>
      <c r="I211" s="155">
        <f>+F5-SUM(G7:G8,G10:G11)</f>
        <v>0</v>
      </c>
      <c r="J211" s="571" t="s">
        <v>503</v>
      </c>
      <c r="M211" s="451" t="s">
        <v>558</v>
      </c>
      <c r="N211" s="395">
        <f>+M5-SUM(G7:G8,G10:G11)</f>
        <v>9.9999999999999995E-7</v>
      </c>
      <c r="S211" s="239"/>
      <c r="T211" s="239"/>
      <c r="U211" s="239"/>
      <c r="V211" s="239"/>
      <c r="W211" s="239"/>
      <c r="X211" s="239"/>
      <c r="Y211" s="239"/>
      <c r="Z211" s="239"/>
      <c r="AA211" s="239"/>
      <c r="AB211" s="239"/>
      <c r="AC211" s="239"/>
      <c r="AD211" s="239"/>
      <c r="AE211" s="239"/>
      <c r="AF211" s="239"/>
    </row>
    <row r="212" spans="1:120" ht="10.5" customHeight="1" x14ac:dyDescent="0.25">
      <c r="A212" s="485">
        <f>I170*0.8+I199</f>
        <v>0</v>
      </c>
      <c r="B212" s="143"/>
      <c r="C212" s="486"/>
      <c r="D212" s="143"/>
      <c r="E212" s="143"/>
      <c r="F212" s="143"/>
      <c r="G212" s="143"/>
      <c r="H212" s="143"/>
      <c r="I212" s="143"/>
      <c r="J212" s="143"/>
      <c r="S212" s="239"/>
      <c r="T212" s="239"/>
      <c r="U212" s="239"/>
      <c r="V212" s="489"/>
      <c r="W212" s="239"/>
      <c r="X212" s="239"/>
      <c r="Y212" s="239"/>
      <c r="Z212" s="239"/>
      <c r="AA212" s="239"/>
      <c r="AB212" s="239"/>
      <c r="AC212" s="239"/>
      <c r="AD212" s="239"/>
      <c r="AE212" s="239"/>
      <c r="AF212" s="239"/>
    </row>
    <row r="213" spans="1:120" ht="6" customHeight="1" thickBot="1" x14ac:dyDescent="0.3">
      <c r="A213" s="143"/>
      <c r="B213" s="143"/>
      <c r="C213" s="143"/>
      <c r="D213" s="143"/>
      <c r="E213" s="143"/>
      <c r="F213" s="143"/>
      <c r="G213" s="143"/>
      <c r="H213" s="143"/>
      <c r="I213" s="143"/>
      <c r="J213" s="143"/>
      <c r="S213" s="239"/>
      <c r="T213" s="239"/>
      <c r="U213" s="239"/>
      <c r="V213" s="489"/>
      <c r="W213" s="239"/>
      <c r="X213" s="239"/>
      <c r="Y213" s="239"/>
      <c r="Z213" s="239"/>
      <c r="AA213" s="239"/>
      <c r="AB213" s="239"/>
      <c r="AC213" s="239"/>
      <c r="AD213" s="239"/>
      <c r="AE213" s="239"/>
      <c r="AF213" s="239"/>
    </row>
    <row r="214" spans="1:120" ht="16.5" customHeight="1" thickBot="1" x14ac:dyDescent="0.4">
      <c r="A214" s="1233"/>
      <c r="B214" s="1234"/>
      <c r="C214" s="1234"/>
      <c r="D214" s="1234"/>
      <c r="E214" s="1234"/>
      <c r="F214" s="1234"/>
      <c r="G214" s="1227" t="s">
        <v>4</v>
      </c>
      <c r="H214" s="1228"/>
      <c r="I214" s="742" t="s">
        <v>7755</v>
      </c>
      <c r="J214" s="743" t="s">
        <v>7756</v>
      </c>
    </row>
    <row r="215" spans="1:120" ht="16.5" customHeight="1" thickBot="1" x14ac:dyDescent="0.3">
      <c r="A215" s="1231" t="s">
        <v>7772</v>
      </c>
      <c r="B215" s="1232"/>
      <c r="C215" s="1232"/>
      <c r="D215" s="1232"/>
      <c r="E215" s="1232"/>
      <c r="F215" s="1232"/>
      <c r="G215" s="1229" t="str">
        <f>IF(OR(I205=0,I211=0)," ",(IFERROR($J$46*D51,0)+IFERROR($I$47*D50,0)+D55+Q199)/$N$211)</f>
        <v xml:space="preserve"> </v>
      </c>
      <c r="H215" s="1230"/>
      <c r="I215" s="1024" t="str">
        <f>IF(OR(I205=0,I211=0)," ",(IFERROR($J$46*F51,0)+IFERROR($I$47*F50,0)+D56+R199)/$N$211)</f>
        <v xml:space="preserve"> </v>
      </c>
      <c r="J215" s="1025" t="str">
        <f>IF(OR(I205=0,I211=0)," ",(IFERROR($J$46*G51,0)+IFERROR($I$47*G50,0)+D57+S199)/$N$211)</f>
        <v xml:space="preserve"> </v>
      </c>
    </row>
    <row r="216" spans="1:120" x14ac:dyDescent="0.25">
      <c r="A216" s="143"/>
      <c r="B216" s="143"/>
      <c r="C216" s="143"/>
      <c r="D216" s="143"/>
      <c r="E216" s="143"/>
      <c r="F216" s="143"/>
      <c r="G216" s="143"/>
      <c r="H216" s="143"/>
      <c r="I216" s="143"/>
      <c r="J216" s="143"/>
      <c r="S216" s="239"/>
      <c r="T216" s="239"/>
      <c r="U216" s="239"/>
      <c r="V216" s="239"/>
      <c r="W216" s="239"/>
      <c r="X216" s="239"/>
      <c r="Y216" s="239"/>
      <c r="Z216" s="239"/>
      <c r="AA216" s="239"/>
      <c r="AB216" s="239"/>
      <c r="AC216" s="239"/>
      <c r="AD216" s="239"/>
      <c r="AE216" s="239"/>
      <c r="AF216" s="239"/>
    </row>
    <row r="217" spans="1:120" x14ac:dyDescent="0.25">
      <c r="A217" s="143"/>
      <c r="B217" s="819"/>
      <c r="C217" s="819"/>
      <c r="D217" s="572" t="s">
        <v>268</v>
      </c>
      <c r="E217" s="819"/>
      <c r="F217" s="819"/>
      <c r="G217" s="819"/>
      <c r="H217" s="819"/>
      <c r="I217" s="819"/>
      <c r="J217" s="819"/>
      <c r="S217" s="489"/>
      <c r="T217" s="239"/>
      <c r="U217" s="239"/>
      <c r="V217" s="503"/>
      <c r="W217" s="498"/>
      <c r="X217" s="239"/>
      <c r="Y217" s="239"/>
      <c r="Z217" s="239"/>
      <c r="AA217" s="239"/>
      <c r="AB217" s="239"/>
      <c r="AC217" s="239"/>
      <c r="AD217" s="239"/>
      <c r="AE217" s="239"/>
      <c r="AF217" s="239"/>
    </row>
    <row r="218" spans="1:120" x14ac:dyDescent="0.25">
      <c r="B218" s="143"/>
      <c r="C218" s="143"/>
      <c r="E218" s="143"/>
      <c r="F218" s="143"/>
      <c r="G218" s="143"/>
      <c r="H218" s="143"/>
      <c r="I218" s="143"/>
      <c r="J218" s="143"/>
    </row>
    <row r="239" spans="1:10" x14ac:dyDescent="0.25">
      <c r="A239" s="143"/>
      <c r="B239" s="143"/>
      <c r="C239" s="143"/>
      <c r="D239" s="143"/>
      <c r="E239" s="143"/>
      <c r="F239" s="143"/>
      <c r="G239" s="143"/>
      <c r="H239" s="143"/>
      <c r="I239" s="143"/>
      <c r="J239" s="143"/>
    </row>
    <row r="240" spans="1:10" x14ac:dyDescent="0.25">
      <c r="A240" s="143"/>
      <c r="B240" s="143"/>
      <c r="C240" s="143"/>
      <c r="D240" s="143"/>
      <c r="E240" s="143"/>
      <c r="F240" s="143"/>
      <c r="G240" s="143"/>
      <c r="H240" s="143"/>
      <c r="I240" s="143"/>
      <c r="J240" s="143"/>
    </row>
  </sheetData>
  <sheetProtection algorithmName="SHA-512" hashValue="uvKM/EmK7mTMzUe9oQG51M4jnJTISMQDfMIEjFLefxE6XR3MMibobZhqMfrLdf1av51zCq3Y5LsZhPLwR/SmYA==" saltValue="WOIe+umocCrSYs8TAReAsw==" spinCount="100000" sheet="1" objects="1" scenarios="1"/>
  <dataConsolidate link="1"/>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249">
    <mergeCell ref="A191:C191"/>
    <mergeCell ref="I193:J193"/>
    <mergeCell ref="I194:J194"/>
    <mergeCell ref="I195:J195"/>
    <mergeCell ref="I196:J196"/>
    <mergeCell ref="I198:J198"/>
    <mergeCell ref="I199:J199"/>
    <mergeCell ref="I197:J197"/>
    <mergeCell ref="I191:J191"/>
    <mergeCell ref="I192:J192"/>
    <mergeCell ref="I179:J179"/>
    <mergeCell ref="C136:H136"/>
    <mergeCell ref="I169:J169"/>
    <mergeCell ref="I170:J170"/>
    <mergeCell ref="C110:D110"/>
    <mergeCell ref="I182:J182"/>
    <mergeCell ref="I178:J178"/>
    <mergeCell ref="I185:J185"/>
    <mergeCell ref="G119:H119"/>
    <mergeCell ref="C123:H123"/>
    <mergeCell ref="F175:H175"/>
    <mergeCell ref="C121:H121"/>
    <mergeCell ref="C119:D119"/>
    <mergeCell ref="A122:B122"/>
    <mergeCell ref="C117:D117"/>
    <mergeCell ref="A118:B118"/>
    <mergeCell ref="A123:B123"/>
    <mergeCell ref="I108:J108"/>
    <mergeCell ref="G112:H112"/>
    <mergeCell ref="G114:H114"/>
    <mergeCell ref="G108:H108"/>
    <mergeCell ref="C108:D108"/>
    <mergeCell ref="E110:F110"/>
    <mergeCell ref="C109:D109"/>
    <mergeCell ref="E108:F108"/>
    <mergeCell ref="E111:F111"/>
    <mergeCell ref="A116:B116"/>
    <mergeCell ref="A117:B117"/>
    <mergeCell ref="C114:D114"/>
    <mergeCell ref="G115:H115"/>
    <mergeCell ref="A111:B111"/>
    <mergeCell ref="C111:D111"/>
    <mergeCell ref="A113:B113"/>
    <mergeCell ref="C115:D115"/>
    <mergeCell ref="G111:H111"/>
    <mergeCell ref="C122:H122"/>
    <mergeCell ref="U137:U143"/>
    <mergeCell ref="B127:H127"/>
    <mergeCell ref="R137:R143"/>
    <mergeCell ref="B129:H129"/>
    <mergeCell ref="B128:H128"/>
    <mergeCell ref="S137:S143"/>
    <mergeCell ref="B130:H130"/>
    <mergeCell ref="T137:T143"/>
    <mergeCell ref="C124:H124"/>
    <mergeCell ref="A124:B124"/>
    <mergeCell ref="H69:J70"/>
    <mergeCell ref="H71:J71"/>
    <mergeCell ref="D89:E89"/>
    <mergeCell ref="G100:H100"/>
    <mergeCell ref="G101:H101"/>
    <mergeCell ref="D70:G70"/>
    <mergeCell ref="A106:J106"/>
    <mergeCell ref="A110:B110"/>
    <mergeCell ref="E109:F109"/>
    <mergeCell ref="H94:I94"/>
    <mergeCell ref="D94:E94"/>
    <mergeCell ref="G109:H109"/>
    <mergeCell ref="G110:H110"/>
    <mergeCell ref="AQ137:AQ143"/>
    <mergeCell ref="AH137:AH143"/>
    <mergeCell ref="AI137:AI143"/>
    <mergeCell ref="AJ137:AJ143"/>
    <mergeCell ref="AK137:AK143"/>
    <mergeCell ref="X137:X143"/>
    <mergeCell ref="Z137:Z143"/>
    <mergeCell ref="AN137:AN143"/>
    <mergeCell ref="AP137:AP143"/>
    <mergeCell ref="AM137:AM143"/>
    <mergeCell ref="AL137:AL143"/>
    <mergeCell ref="DB20:DC20"/>
    <mergeCell ref="BR21:BT21"/>
    <mergeCell ref="A28:C28"/>
    <mergeCell ref="BC21:BE21"/>
    <mergeCell ref="A30:C30"/>
    <mergeCell ref="CV21:CW21"/>
    <mergeCell ref="CD21:CF21"/>
    <mergeCell ref="BX21:BZ21"/>
    <mergeCell ref="BU21:BV21"/>
    <mergeCell ref="BM20:BO20"/>
    <mergeCell ref="W20:Z20"/>
    <mergeCell ref="AA20:AD20"/>
    <mergeCell ref="AU20:AZ20"/>
    <mergeCell ref="A19:C20"/>
    <mergeCell ref="A21:C22"/>
    <mergeCell ref="P19:S19"/>
    <mergeCell ref="P20:Q20"/>
    <mergeCell ref="AG20:AL20"/>
    <mergeCell ref="W19:AD19"/>
    <mergeCell ref="R20:T20"/>
    <mergeCell ref="AN20:AS20"/>
    <mergeCell ref="CL21:CM21"/>
    <mergeCell ref="CJ21:CK21"/>
    <mergeCell ref="CA21:CC21"/>
    <mergeCell ref="CG21:CI21"/>
    <mergeCell ref="AX21:AZ21"/>
    <mergeCell ref="A43:F43"/>
    <mergeCell ref="A41:F41"/>
    <mergeCell ref="A33:C33"/>
    <mergeCell ref="A36:C36"/>
    <mergeCell ref="A26:C26"/>
    <mergeCell ref="A42:F42"/>
    <mergeCell ref="A31:C31"/>
    <mergeCell ref="A25:C25"/>
    <mergeCell ref="AU21:AW21"/>
    <mergeCell ref="AQ21:AS21"/>
    <mergeCell ref="AN21:AP21"/>
    <mergeCell ref="AJ21:AL21"/>
    <mergeCell ref="AG21:AI21"/>
    <mergeCell ref="A27:C27"/>
    <mergeCell ref="A23:C23"/>
    <mergeCell ref="A24:C24"/>
    <mergeCell ref="A40:F40"/>
    <mergeCell ref="A29:C29"/>
    <mergeCell ref="A34:C34"/>
    <mergeCell ref="A38:C38"/>
    <mergeCell ref="A37:C37"/>
    <mergeCell ref="A35:C35"/>
    <mergeCell ref="A1:H1"/>
    <mergeCell ref="B7:D7"/>
    <mergeCell ref="G20:H20"/>
    <mergeCell ref="B9:D9"/>
    <mergeCell ref="I19:J19"/>
    <mergeCell ref="A3:G3"/>
    <mergeCell ref="A2:H2"/>
    <mergeCell ref="B6:D6"/>
    <mergeCell ref="E20:F20"/>
    <mergeCell ref="D19:H19"/>
    <mergeCell ref="B8:D8"/>
    <mergeCell ref="H13:J13"/>
    <mergeCell ref="G12:J12"/>
    <mergeCell ref="A62:C62"/>
    <mergeCell ref="A63:C63"/>
    <mergeCell ref="A64:C64"/>
    <mergeCell ref="H49:J49"/>
    <mergeCell ref="A55:C57"/>
    <mergeCell ref="E60:F60"/>
    <mergeCell ref="E61:F61"/>
    <mergeCell ref="E62:F62"/>
    <mergeCell ref="E63:F63"/>
    <mergeCell ref="E64:F64"/>
    <mergeCell ref="A58:C59"/>
    <mergeCell ref="E58:F59"/>
    <mergeCell ref="D58:D59"/>
    <mergeCell ref="A60:C60"/>
    <mergeCell ref="G58:H58"/>
    <mergeCell ref="G59:J59"/>
    <mergeCell ref="G60:H60"/>
    <mergeCell ref="G61:H61"/>
    <mergeCell ref="G62:H62"/>
    <mergeCell ref="A61:C61"/>
    <mergeCell ref="G63:H63"/>
    <mergeCell ref="A52:J52"/>
    <mergeCell ref="H50:J50"/>
    <mergeCell ref="H51:J51"/>
    <mergeCell ref="A44:F44"/>
    <mergeCell ref="A49:B49"/>
    <mergeCell ref="A32:C32"/>
    <mergeCell ref="E113:F113"/>
    <mergeCell ref="A165:J165"/>
    <mergeCell ref="I175:J175"/>
    <mergeCell ref="I176:J176"/>
    <mergeCell ref="I180:J180"/>
    <mergeCell ref="I181:J181"/>
    <mergeCell ref="G64:H64"/>
    <mergeCell ref="G99:H99"/>
    <mergeCell ref="C116:D116"/>
    <mergeCell ref="G116:H116"/>
    <mergeCell ref="G113:H113"/>
    <mergeCell ref="C113:D113"/>
    <mergeCell ref="A121:B121"/>
    <mergeCell ref="E112:F112"/>
    <mergeCell ref="A112:B112"/>
    <mergeCell ref="C112:D112"/>
    <mergeCell ref="A119:B119"/>
    <mergeCell ref="A120:H120"/>
    <mergeCell ref="G117:H117"/>
    <mergeCell ref="G118:H118"/>
    <mergeCell ref="C118:D118"/>
    <mergeCell ref="I207:J207"/>
    <mergeCell ref="G208:J208"/>
    <mergeCell ref="G207:H207"/>
    <mergeCell ref="G214:H214"/>
    <mergeCell ref="G215:H215"/>
    <mergeCell ref="A215:F215"/>
    <mergeCell ref="A214:F214"/>
    <mergeCell ref="I183:J183"/>
    <mergeCell ref="I184:J184"/>
    <mergeCell ref="I187:J187"/>
    <mergeCell ref="I188:J188"/>
    <mergeCell ref="I189:J189"/>
    <mergeCell ref="A205:F205"/>
    <mergeCell ref="I203:J203"/>
    <mergeCell ref="I204:J204"/>
    <mergeCell ref="I205:J205"/>
    <mergeCell ref="I206:J206"/>
    <mergeCell ref="G203:H203"/>
    <mergeCell ref="G204:H204"/>
    <mergeCell ref="G205:H205"/>
    <mergeCell ref="G206:H206"/>
    <mergeCell ref="A203:F204"/>
    <mergeCell ref="I190:J190"/>
    <mergeCell ref="I186:J186"/>
    <mergeCell ref="R71:S71"/>
    <mergeCell ref="T71:U71"/>
    <mergeCell ref="T72:U72"/>
    <mergeCell ref="D90:E90"/>
    <mergeCell ref="D91:E91"/>
    <mergeCell ref="D92:E92"/>
    <mergeCell ref="D93:E93"/>
    <mergeCell ref="H90:I90"/>
    <mergeCell ref="H91:I91"/>
    <mergeCell ref="H92:I92"/>
    <mergeCell ref="H93:I93"/>
    <mergeCell ref="H89:I89"/>
    <mergeCell ref="DD20:DG20"/>
    <mergeCell ref="DF21:DG21"/>
    <mergeCell ref="A192:C192"/>
    <mergeCell ref="A193:C193"/>
    <mergeCell ref="A194:C194"/>
    <mergeCell ref="A195:C195"/>
    <mergeCell ref="A196:C196"/>
    <mergeCell ref="A197:C197"/>
    <mergeCell ref="A198:C198"/>
    <mergeCell ref="F178:H178"/>
    <mergeCell ref="G168:H168"/>
    <mergeCell ref="D176:E176"/>
    <mergeCell ref="A175:C176"/>
    <mergeCell ref="A177:C178"/>
    <mergeCell ref="A179:C179"/>
    <mergeCell ref="A185:C185"/>
    <mergeCell ref="A186:C186"/>
    <mergeCell ref="A187:C187"/>
    <mergeCell ref="A188:C188"/>
    <mergeCell ref="A189:C189"/>
    <mergeCell ref="A190:C190"/>
    <mergeCell ref="A87:J87"/>
    <mergeCell ref="G98:J98"/>
    <mergeCell ref="G102:H102"/>
  </mergeCells>
  <phoneticPr fontId="0" type="noConversion"/>
  <conditionalFormatting sqref="G205:H205">
    <cfRule type="expression" dxfId="8" priority="5">
      <formula>$I$211=0</formula>
    </cfRule>
  </conditionalFormatting>
  <dataValidations count="23">
    <dataValidation type="decimal" allowBlank="1" showInputMessage="1" showErrorMessage="1" errorTitle="Ungültige Eingabe" error="Geben Sie eine Dezimalzahl ein." sqref="I121:J124" xr:uid="{00000000-0002-0000-0000-000000000000}">
      <formula1>0</formula1>
      <formula2>99999</formula2>
    </dataValidation>
    <dataValidation type="whole" allowBlank="1" showInputMessage="1" showErrorMessage="1" errorTitle="Ungültige Eingabe" error="Geben Sie eine positive, ganze Zahl ein." sqref="G43" xr:uid="{00000000-0002-0000-0000-000001000000}">
      <formula1>0</formula1>
      <formula2>99</formula2>
    </dataValidation>
    <dataValidation type="decimal" allowBlank="1" showInputMessage="1" showErrorMessage="1" errorTitle="Ungültige Dateneingabe" error="Geben Sie eine Zahl ein." sqref="G8 F9 F12 G10:G11 M5 F5:F6 M9" xr:uid="{00000000-0002-0000-0000-000002000000}">
      <formula1>0</formula1>
      <formula2>9999</formula2>
    </dataValidation>
    <dataValidation type="textLength" allowBlank="1" showInputMessage="1" showErrorMessage="1" errorTitle="Ungültige Dateneingabe" error="Geben Sie eine 10stellige Betriebsnummer ein." sqref="B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E114:F115 G115 I44:I45" xr:uid="{00000000-0002-0000-0000-000006000000}"/>
    <dataValidation type="decimal" allowBlank="1" showErrorMessage="1" errorTitle="Ungültige Eingabe" error="Geben Sie eine Dezimalzahl &lt; 100 ein." sqref="C116:C119 F116:H119" xr:uid="{00000000-0002-0000-0000-000007000000}">
      <formula1>0</formula1>
      <formula2>99</formula2>
    </dataValidation>
    <dataValidation type="decimal" allowBlank="1" showInputMessage="1" showErrorMessage="1" errorTitle="Ungültige Eingabe" error="Geben Sie eine Dezimalzahl &lt; 100 ein." sqref="G110:H113 E110:E113" xr:uid="{00000000-0002-0000-0000-000008000000}">
      <formula1>0</formula1>
      <formula2>99</formula2>
    </dataValidation>
    <dataValidation type="decimal" allowBlank="1" showInputMessage="1" showErrorMessage="1" errorTitle="Ungültige Eingabe" error="Geben Sie eine Dezimalzahl ein." sqref="I127:J130" xr:uid="{00000000-0002-0000-0000-000009000000}">
      <formula1>-999999</formula1>
      <formula2>999999</formula2>
    </dataValidation>
    <dataValidation type="decimal" allowBlank="1" showInputMessage="1" showErrorMessage="1" sqref="F13" xr:uid="{00000000-0002-0000-0000-00000A000000}">
      <formula1>0</formula1>
      <formula2>100</formula2>
    </dataValidation>
    <dataValidation type="decimal" allowBlank="1" showInputMessage="1" showErrorMessage="1" errorTitle="Ungültige Eingabe" error="Geben Sie in dieses Feld eine ganze Zahl ein." sqref="F23:F34 F36:F38 U23:V38" xr:uid="{00000000-0002-0000-0000-00000B000000}">
      <formula1>0</formula1>
      <formula2>1000000</formula2>
    </dataValidation>
    <dataValidation type="whole" allowBlank="1" showInputMessage="1" showErrorMessage="1" errorTitle="Ungültige Eingabe" error="Geben Sie in dieses Feld eine ganze Zahl zwischen 0 und 100 ein." sqref="G23:H34 G36:H38" xr:uid="{00000000-0002-0000-0000-00000C000000}">
      <formula1>0</formula1>
      <formula2>100</formula2>
    </dataValidation>
    <dataValidation type="decimal" operator="greaterThanOrEqual" allowBlank="1" showInputMessage="1" showErrorMessage="1" errorTitle="Falsche Eingabe" error="Geben sie eine positve Zahl ein." sqref="D23:E34 D36:E38" xr:uid="{00000000-0002-0000-0000-00000D000000}">
      <formula1>0</formula1>
    </dataValidation>
    <dataValidation type="decimal" allowBlank="1" showInputMessage="1" showErrorMessage="1" errorTitle="Ungültige Eingabe" error="Geben Sie eine Zahl zwischen 0 und 100 ein." sqref="D75" xr:uid="{00000000-0002-0000-0000-00000F000000}">
      <formula1>0</formula1>
      <formula2>100</formula2>
    </dataValidation>
    <dataValidation type="decimal" allowBlank="1" showInputMessage="1" showErrorMessage="1" errorTitle="ungültige Eingabe" error="Geben Sie eine positive Zahl ein." sqref="G44:G45" xr:uid="{00000000-0002-0000-0000-000012000000}">
      <formula1>0</formula1>
      <formula2>99999</formula2>
    </dataValidation>
    <dataValidation type="decimal" operator="greaterThanOrEqual" allowBlank="1" showInputMessage="1" showErrorMessage="1" errorTitle="Ungültige Eingabe" error="Geben Sie hier eine positive Zahl ein." sqref="D180:E198 E179 E177" xr:uid="{47573ECF-81BD-4B19-82C6-4FDDDEAE5C48}">
      <formula1>0</formula1>
    </dataValidation>
    <dataValidation type="decimal" allowBlank="1" showInputMessage="1" showErrorMessage="1" errorTitle="Ungültige Eingabe" error="Geben Sie eine positive Zahl ein." sqref="G40:G42" xr:uid="{01B2B91F-6BD5-488E-B46D-D8774FF5E59E}">
      <formula1>0</formula1>
      <formula2>99999</formula2>
    </dataValidation>
    <dataValidation type="whole" allowBlank="1" showInputMessage="1" showErrorMessage="1" errorTitle="Ungültige Eingabe" error="Geben Sie eine Zahl zwischen 0 und 100 ein." sqref="E60:F64" xr:uid="{E807C52F-DBDE-4AFD-8DC2-E65526A0ED48}">
      <formula1>0</formula1>
      <formula2>100</formula2>
    </dataValidation>
    <dataValidation type="decimal" allowBlank="1" showErrorMessage="1" errorTitle="Ungültige Eingabe" error="Geben Sie eine Dezimalzahl &lt; 100 ein." sqref="E116:E119" xr:uid="{6B8A9F8E-1AB7-4A94-BC1E-02B4126C7DA4}">
      <formula1>0</formula1>
      <formula2>200</formula2>
    </dataValidation>
    <dataValidation type="decimal" allowBlank="1" showInputMessage="1" showErrorMessage="1" errorTitle="Ungültige Eingabe" error="Geben sie eine Dezimalzahl ein._x000a_Der Wert muss kleiner als der TS-Gehalt, des zur Separation vorgesehenen flüssigen Wirtschaftdüngers sein." sqref="F90" xr:uid="{1295069A-318F-4C79-8573-D3C7EC17A586}">
      <formula1>0</formula1>
      <formula2>C71</formula2>
    </dataValidation>
    <dataValidation type="decimal" allowBlank="1" showInputMessage="1" showErrorMessage="1" errorTitle="Ungültige Eingabe" error="Geben sie eine Dezimalzahl ein bis maximal 100 ein._x000a_Der Wert muss größer als der TS-Gehalt, des zur Separation vorgesehenen flüssigen Wirtschaftdüngers sein." sqref="J90" xr:uid="{88FB7195-326B-43AC-98EF-B5FEDA1A2573}">
      <formula1>C71</formula1>
      <formula2>100</formula2>
    </dataValidation>
    <dataValidation type="decimal" allowBlank="1" showInputMessage="1" showErrorMessage="1" error="Bitte geben Sie eine Zahl zwischen 0,1 und 200 ein" sqref="H185:H198 F185:F198" xr:uid="{8D1E2F8A-0527-416F-BE53-DE2B080C930A}">
      <formula1>0.1</formula1>
      <formula2>200</formula2>
    </dataValidation>
  </dataValidations>
  <hyperlinks>
    <hyperlink ref="G12:J12" r:id="rId2" display="ha zusätzliche Ausbringfläche" xr:uid="{F4BBF1BC-20AD-4ECD-9C6B-65C3CD1B8C43}"/>
  </hyperlinks>
  <pageMargins left="0.39370078740157483" right="0.39370078740157483" top="0.39370078740157483" bottom="0.39370078740157483" header="0.31496062992125984" footer="0.23622047244094491"/>
  <pageSetup paperSize="9" orientation="portrait" r:id="rId3"/>
  <headerFooter alignWithMargins="0">
    <oddFooter>&amp;L© Bayerische Landesanstalt für Landwirtschaft, Agrarökologie - Düngung (Of, Sr, Sp, Ks); Stand: 20.10.2022   Seite &amp;P von &amp;N; &amp;D, &amp;T Uhr</oddFooter>
  </headerFooter>
  <rowBreaks count="3" manualBreakCount="3">
    <brk id="52" max="10" man="1"/>
    <brk id="104" max="10" man="1"/>
    <brk id="163" max="10"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22860</xdr:colOff>
                    <xdr:row>22</xdr:row>
                    <xdr:rowOff>198120</xdr:rowOff>
                  </from>
                  <to>
                    <xdr:col>3</xdr:col>
                    <xdr:colOff>0</xdr:colOff>
                    <xdr:row>24</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22860</xdr:colOff>
                    <xdr:row>23</xdr:row>
                    <xdr:rowOff>190500</xdr:rowOff>
                  </from>
                  <to>
                    <xdr:col>3</xdr:col>
                    <xdr:colOff>0</xdr:colOff>
                    <xdr:row>24</xdr:row>
                    <xdr:rowOff>190500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22860</xdr:colOff>
                    <xdr:row>24</xdr:row>
                    <xdr:rowOff>190500</xdr:rowOff>
                  </from>
                  <to>
                    <xdr:col>3</xdr:col>
                    <xdr:colOff>0</xdr:colOff>
                    <xdr:row>25</xdr:row>
                    <xdr:rowOff>190500</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22860</xdr:colOff>
                    <xdr:row>25</xdr:row>
                    <xdr:rowOff>190500</xdr:rowOff>
                  </from>
                  <to>
                    <xdr:col>3</xdr:col>
                    <xdr:colOff>0</xdr:colOff>
                    <xdr:row>26</xdr:row>
                    <xdr:rowOff>190500</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22860</xdr:colOff>
                    <xdr:row>26</xdr:row>
                    <xdr:rowOff>190500</xdr:rowOff>
                  </from>
                  <to>
                    <xdr:col>3</xdr:col>
                    <xdr:colOff>0</xdr:colOff>
                    <xdr:row>27</xdr:row>
                    <xdr:rowOff>190500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22860</xdr:colOff>
                    <xdr:row>27</xdr:row>
                    <xdr:rowOff>190500</xdr:rowOff>
                  </from>
                  <to>
                    <xdr:col>3</xdr:col>
                    <xdr:colOff>0</xdr:colOff>
                    <xdr:row>28</xdr:row>
                    <xdr:rowOff>190500</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22860</xdr:colOff>
                    <xdr:row>28</xdr:row>
                    <xdr:rowOff>190500</xdr:rowOff>
                  </from>
                  <to>
                    <xdr:col>3</xdr:col>
                    <xdr:colOff>0</xdr:colOff>
                    <xdr:row>30</xdr:row>
                    <xdr:rowOff>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22860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22860</xdr:colOff>
                    <xdr:row>30</xdr:row>
                    <xdr:rowOff>198120</xdr:rowOff>
                  </from>
                  <to>
                    <xdr:col>3</xdr:col>
                    <xdr:colOff>0</xdr:colOff>
                    <xdr:row>32</xdr:row>
                    <xdr:rowOff>0</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22860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22860</xdr:colOff>
                    <xdr:row>33</xdr:row>
                    <xdr:rowOff>7620</xdr:rowOff>
                  </from>
                  <to>
                    <xdr:col>3</xdr:col>
                    <xdr:colOff>0</xdr:colOff>
                    <xdr:row>34</xdr:row>
                    <xdr:rowOff>7620</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5</xdr:col>
                    <xdr:colOff>7620</xdr:colOff>
                    <xdr:row>22</xdr:row>
                    <xdr:rowOff>22860</xdr:rowOff>
                  </from>
                  <to>
                    <xdr:col>6</xdr:col>
                    <xdr:colOff>0</xdr:colOff>
                    <xdr:row>22</xdr:row>
                    <xdr:rowOff>190500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22860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5</xdr:col>
                    <xdr:colOff>7620</xdr:colOff>
                    <xdr:row>23</xdr:row>
                    <xdr:rowOff>7620</xdr:rowOff>
                  </from>
                  <to>
                    <xdr:col>6</xdr:col>
                    <xdr:colOff>0</xdr:colOff>
                    <xdr:row>23</xdr:row>
                    <xdr:rowOff>190500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5</xdr:col>
                    <xdr:colOff>7620</xdr:colOff>
                    <xdr:row>24</xdr:row>
                    <xdr:rowOff>7620</xdr:rowOff>
                  </from>
                  <to>
                    <xdr:col>6</xdr:col>
                    <xdr:colOff>0</xdr:colOff>
                    <xdr:row>24</xdr:row>
                    <xdr:rowOff>190500</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5</xdr:col>
                    <xdr:colOff>22860</xdr:colOff>
                    <xdr:row>25</xdr:row>
                    <xdr:rowOff>7620</xdr:rowOff>
                  </from>
                  <to>
                    <xdr:col>6</xdr:col>
                    <xdr:colOff>0</xdr:colOff>
                    <xdr:row>25</xdr:row>
                    <xdr:rowOff>190500</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5</xdr:col>
                    <xdr:colOff>22860</xdr:colOff>
                    <xdr:row>26</xdr:row>
                    <xdr:rowOff>7620</xdr:rowOff>
                  </from>
                  <to>
                    <xdr:col>6</xdr:col>
                    <xdr:colOff>0</xdr:colOff>
                    <xdr:row>26</xdr:row>
                    <xdr:rowOff>190500</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5</xdr:col>
                    <xdr:colOff>22860</xdr:colOff>
                    <xdr:row>27</xdr:row>
                    <xdr:rowOff>7620</xdr:rowOff>
                  </from>
                  <to>
                    <xdr:col>6</xdr:col>
                    <xdr:colOff>0</xdr:colOff>
                    <xdr:row>27</xdr:row>
                    <xdr:rowOff>190500</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5</xdr:col>
                    <xdr:colOff>7620</xdr:colOff>
                    <xdr:row>28</xdr:row>
                    <xdr:rowOff>7620</xdr:rowOff>
                  </from>
                  <to>
                    <xdr:col>6</xdr:col>
                    <xdr:colOff>0</xdr:colOff>
                    <xdr:row>28</xdr:row>
                    <xdr:rowOff>190500</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5</xdr:col>
                    <xdr:colOff>7620</xdr:colOff>
                    <xdr:row>29</xdr:row>
                    <xdr:rowOff>22860</xdr:rowOff>
                  </from>
                  <to>
                    <xdr:col>5</xdr:col>
                    <xdr:colOff>518160</xdr:colOff>
                    <xdr:row>29</xdr:row>
                    <xdr:rowOff>190500</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5</xdr:col>
                    <xdr:colOff>7620</xdr:colOff>
                    <xdr:row>30</xdr:row>
                    <xdr:rowOff>22860</xdr:rowOff>
                  </from>
                  <to>
                    <xdr:col>5</xdr:col>
                    <xdr:colOff>518160</xdr:colOff>
                    <xdr:row>30</xdr:row>
                    <xdr:rowOff>182880</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5</xdr:col>
                    <xdr:colOff>7620</xdr:colOff>
                    <xdr:row>31</xdr:row>
                    <xdr:rowOff>7620</xdr:rowOff>
                  </from>
                  <to>
                    <xdr:col>6</xdr:col>
                    <xdr:colOff>0</xdr:colOff>
                    <xdr:row>31</xdr:row>
                    <xdr:rowOff>190500</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5</xdr:col>
                    <xdr:colOff>7620</xdr:colOff>
                    <xdr:row>32</xdr:row>
                    <xdr:rowOff>7620</xdr:rowOff>
                  </from>
                  <to>
                    <xdr:col>6</xdr:col>
                    <xdr:colOff>0</xdr:colOff>
                    <xdr:row>32</xdr:row>
                    <xdr:rowOff>190500</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5</xdr:col>
                    <xdr:colOff>7620</xdr:colOff>
                    <xdr:row>33</xdr:row>
                    <xdr:rowOff>7620</xdr:rowOff>
                  </from>
                  <to>
                    <xdr:col>6</xdr:col>
                    <xdr:colOff>0</xdr:colOff>
                    <xdr:row>33</xdr:row>
                    <xdr:rowOff>190500</xdr:rowOff>
                  </to>
                </anchor>
              </controlPr>
            </control>
          </mc:Choice>
        </mc:AlternateContent>
        <mc:AlternateContent xmlns:mc="http://schemas.openxmlformats.org/markup-compatibility/2006">
          <mc:Choice Requires="x14">
            <control shapeId="2368" r:id="rId30" name="Drop Down 320">
              <controlPr defaultSize="0" autoLine="0" autoPict="0">
                <anchor moveWithCells="1">
                  <from>
                    <xdr:col>2</xdr:col>
                    <xdr:colOff>0</xdr:colOff>
                    <xdr:row>114</xdr:row>
                    <xdr:rowOff>213360</xdr:rowOff>
                  </from>
                  <to>
                    <xdr:col>4</xdr:col>
                    <xdr:colOff>30480</xdr:colOff>
                    <xdr:row>116</xdr:row>
                    <xdr:rowOff>0</xdr:rowOff>
                  </to>
                </anchor>
              </controlPr>
            </control>
          </mc:Choice>
        </mc:AlternateContent>
        <mc:AlternateContent xmlns:mc="http://schemas.openxmlformats.org/markup-compatibility/2006">
          <mc:Choice Requires="x14">
            <control shapeId="2370" r:id="rId31" name="Drop Down 322">
              <controlPr defaultSize="0" autoLine="0" autoPict="0">
                <anchor moveWithCells="1">
                  <from>
                    <xdr:col>2</xdr:col>
                    <xdr:colOff>0</xdr:colOff>
                    <xdr:row>115</xdr:row>
                    <xdr:rowOff>228600</xdr:rowOff>
                  </from>
                  <to>
                    <xdr:col>4</xdr:col>
                    <xdr:colOff>30480</xdr:colOff>
                    <xdr:row>117</xdr:row>
                    <xdr:rowOff>0</xdr:rowOff>
                  </to>
                </anchor>
              </controlPr>
            </control>
          </mc:Choice>
        </mc:AlternateContent>
        <mc:AlternateContent xmlns:mc="http://schemas.openxmlformats.org/markup-compatibility/2006">
          <mc:Choice Requires="x14">
            <control shapeId="2371" r:id="rId32" name="Drop Down 323">
              <controlPr defaultSize="0" autoLine="0" autoPict="0">
                <anchor moveWithCells="1">
                  <from>
                    <xdr:col>2</xdr:col>
                    <xdr:colOff>0</xdr:colOff>
                    <xdr:row>116</xdr:row>
                    <xdr:rowOff>228600</xdr:rowOff>
                  </from>
                  <to>
                    <xdr:col>4</xdr:col>
                    <xdr:colOff>30480</xdr:colOff>
                    <xdr:row>118</xdr:row>
                    <xdr:rowOff>0</xdr:rowOff>
                  </to>
                </anchor>
              </controlPr>
            </control>
          </mc:Choice>
        </mc:AlternateContent>
        <mc:AlternateContent xmlns:mc="http://schemas.openxmlformats.org/markup-compatibility/2006">
          <mc:Choice Requires="x14">
            <control shapeId="2372" r:id="rId33" name="Drop Down 324">
              <controlPr defaultSize="0" autoLine="0" autoPict="0">
                <anchor moveWithCells="1">
                  <from>
                    <xdr:col>2</xdr:col>
                    <xdr:colOff>0</xdr:colOff>
                    <xdr:row>117</xdr:row>
                    <xdr:rowOff>228600</xdr:rowOff>
                  </from>
                  <to>
                    <xdr:col>4</xdr:col>
                    <xdr:colOff>30480</xdr:colOff>
                    <xdr:row>119</xdr:row>
                    <xdr:rowOff>0</xdr:rowOff>
                  </to>
                </anchor>
              </controlPr>
            </control>
          </mc:Choice>
        </mc:AlternateContent>
        <mc:AlternateContent xmlns:mc="http://schemas.openxmlformats.org/markup-compatibility/2006">
          <mc:Choice Requires="x14">
            <control shapeId="2401" r:id="rId34" name="Drop Down 353">
              <controlPr defaultSize="0" autoLine="0" autoPict="0">
                <anchor moveWithCells="1">
                  <from>
                    <xdr:col>0</xdr:col>
                    <xdr:colOff>7620</xdr:colOff>
                    <xdr:row>126</xdr:row>
                    <xdr:rowOff>0</xdr:rowOff>
                  </from>
                  <to>
                    <xdr:col>1</xdr:col>
                    <xdr:colOff>0</xdr:colOff>
                    <xdr:row>127</xdr:row>
                    <xdr:rowOff>0</xdr:rowOff>
                  </to>
                </anchor>
              </controlPr>
            </control>
          </mc:Choice>
        </mc:AlternateContent>
        <mc:AlternateContent xmlns:mc="http://schemas.openxmlformats.org/markup-compatibility/2006">
          <mc:Choice Requires="x14">
            <control shapeId="2402" r:id="rId35" name="Drop Down 354">
              <controlPr defaultSize="0" autoLine="0" autoPict="0">
                <anchor moveWithCells="1">
                  <from>
                    <xdr:col>0</xdr:col>
                    <xdr:colOff>7620</xdr:colOff>
                    <xdr:row>127</xdr:row>
                    <xdr:rowOff>0</xdr:rowOff>
                  </from>
                  <to>
                    <xdr:col>1</xdr:col>
                    <xdr:colOff>0</xdr:colOff>
                    <xdr:row>128</xdr:row>
                    <xdr:rowOff>0</xdr:rowOff>
                  </to>
                </anchor>
              </controlPr>
            </control>
          </mc:Choice>
        </mc:AlternateContent>
        <mc:AlternateContent xmlns:mc="http://schemas.openxmlformats.org/markup-compatibility/2006">
          <mc:Choice Requires="x14">
            <control shapeId="2403" r:id="rId36" name="Drop Down 355">
              <controlPr defaultSize="0" autoLine="0" autoPict="0">
                <anchor moveWithCells="1">
                  <from>
                    <xdr:col>0</xdr:col>
                    <xdr:colOff>7620</xdr:colOff>
                    <xdr:row>128</xdr:row>
                    <xdr:rowOff>0</xdr:rowOff>
                  </from>
                  <to>
                    <xdr:col>1</xdr:col>
                    <xdr:colOff>0</xdr:colOff>
                    <xdr:row>129</xdr:row>
                    <xdr:rowOff>0</xdr:rowOff>
                  </to>
                </anchor>
              </controlPr>
            </control>
          </mc:Choice>
        </mc:AlternateContent>
        <mc:AlternateContent xmlns:mc="http://schemas.openxmlformats.org/markup-compatibility/2006">
          <mc:Choice Requires="x14">
            <control shapeId="2404" r:id="rId37" name="Drop Down 356">
              <controlPr defaultSize="0" autoLine="0" autoPict="0">
                <anchor moveWithCells="1">
                  <from>
                    <xdr:col>0</xdr:col>
                    <xdr:colOff>7620</xdr:colOff>
                    <xdr:row>129</xdr:row>
                    <xdr:rowOff>0</xdr:rowOff>
                  </from>
                  <to>
                    <xdr:col>1</xdr:col>
                    <xdr:colOff>0</xdr:colOff>
                    <xdr:row>130</xdr:row>
                    <xdr:rowOff>0</xdr:rowOff>
                  </to>
                </anchor>
              </controlPr>
            </control>
          </mc:Choice>
        </mc:AlternateContent>
        <mc:AlternateContent xmlns:mc="http://schemas.openxmlformats.org/markup-compatibility/2006">
          <mc:Choice Requires="x14">
            <control shapeId="57789" r:id="rId38" name="Drop Down 2493">
              <controlPr defaultSize="0" autoLine="0" autoPict="0">
                <anchor moveWithCells="1">
                  <from>
                    <xdr:col>5</xdr:col>
                    <xdr:colOff>0</xdr:colOff>
                    <xdr:row>12</xdr:row>
                    <xdr:rowOff>0</xdr:rowOff>
                  </from>
                  <to>
                    <xdr:col>6</xdr:col>
                    <xdr:colOff>403860</xdr:colOff>
                    <xdr:row>13</xdr:row>
                    <xdr:rowOff>0</xdr:rowOff>
                  </to>
                </anchor>
              </controlPr>
            </control>
          </mc:Choice>
        </mc:AlternateContent>
        <mc:AlternateContent xmlns:mc="http://schemas.openxmlformats.org/markup-compatibility/2006">
          <mc:Choice Requires="x14">
            <control shapeId="101805" r:id="rId39" name="Drop Down 6573">
              <controlPr defaultSize="0" autoLine="0" autoPict="0">
                <anchor moveWithCells="1">
                  <from>
                    <xdr:col>0</xdr:col>
                    <xdr:colOff>22860</xdr:colOff>
                    <xdr:row>179</xdr:row>
                    <xdr:rowOff>0</xdr:rowOff>
                  </from>
                  <to>
                    <xdr:col>2</xdr:col>
                    <xdr:colOff>845820</xdr:colOff>
                    <xdr:row>180</xdr:row>
                    <xdr:rowOff>0</xdr:rowOff>
                  </to>
                </anchor>
              </controlPr>
            </control>
          </mc:Choice>
        </mc:AlternateContent>
        <mc:AlternateContent xmlns:mc="http://schemas.openxmlformats.org/markup-compatibility/2006">
          <mc:Choice Requires="x14">
            <control shapeId="101806" r:id="rId40" name="Drop Down 6574">
              <controlPr defaultSize="0" autoLine="0" autoPict="0">
                <anchor moveWithCells="1">
                  <from>
                    <xdr:col>0</xdr:col>
                    <xdr:colOff>22860</xdr:colOff>
                    <xdr:row>180</xdr:row>
                    <xdr:rowOff>0</xdr:rowOff>
                  </from>
                  <to>
                    <xdr:col>2</xdr:col>
                    <xdr:colOff>845820</xdr:colOff>
                    <xdr:row>181</xdr:row>
                    <xdr:rowOff>0</xdr:rowOff>
                  </to>
                </anchor>
              </controlPr>
            </control>
          </mc:Choice>
        </mc:AlternateContent>
        <mc:AlternateContent xmlns:mc="http://schemas.openxmlformats.org/markup-compatibility/2006">
          <mc:Choice Requires="x14">
            <control shapeId="101807" r:id="rId41" name="Drop Down 6575">
              <controlPr defaultSize="0" autoLine="0" autoPict="0">
                <anchor moveWithCells="1">
                  <from>
                    <xdr:col>0</xdr:col>
                    <xdr:colOff>22860</xdr:colOff>
                    <xdr:row>181</xdr:row>
                    <xdr:rowOff>0</xdr:rowOff>
                  </from>
                  <to>
                    <xdr:col>2</xdr:col>
                    <xdr:colOff>845820</xdr:colOff>
                    <xdr:row>182</xdr:row>
                    <xdr:rowOff>0</xdr:rowOff>
                  </to>
                </anchor>
              </controlPr>
            </control>
          </mc:Choice>
        </mc:AlternateContent>
        <mc:AlternateContent xmlns:mc="http://schemas.openxmlformats.org/markup-compatibility/2006">
          <mc:Choice Requires="x14">
            <control shapeId="101852" r:id="rId42" name="Drop Down 6620">
              <controlPr defaultSize="0" autoLine="0" autoPict="0">
                <anchor moveWithCells="1">
                  <from>
                    <xdr:col>0</xdr:col>
                    <xdr:colOff>22860</xdr:colOff>
                    <xdr:row>182</xdr:row>
                    <xdr:rowOff>0</xdr:rowOff>
                  </from>
                  <to>
                    <xdr:col>2</xdr:col>
                    <xdr:colOff>845820</xdr:colOff>
                    <xdr:row>183</xdr:row>
                    <xdr:rowOff>0</xdr:rowOff>
                  </to>
                </anchor>
              </controlPr>
            </control>
          </mc:Choice>
        </mc:AlternateContent>
        <mc:AlternateContent xmlns:mc="http://schemas.openxmlformats.org/markup-compatibility/2006">
          <mc:Choice Requires="x14">
            <control shapeId="101853" r:id="rId43" name="Drop Down 6621">
              <controlPr defaultSize="0" autoLine="0" autoPict="0">
                <anchor moveWithCells="1">
                  <from>
                    <xdr:col>0</xdr:col>
                    <xdr:colOff>22860</xdr:colOff>
                    <xdr:row>183</xdr:row>
                    <xdr:rowOff>0</xdr:rowOff>
                  </from>
                  <to>
                    <xdr:col>2</xdr:col>
                    <xdr:colOff>845820</xdr:colOff>
                    <xdr:row>184</xdr:row>
                    <xdr:rowOff>0</xdr:rowOff>
                  </to>
                </anchor>
              </controlPr>
            </control>
          </mc:Choice>
        </mc:AlternateContent>
        <mc:AlternateContent xmlns:mc="http://schemas.openxmlformats.org/markup-compatibility/2006">
          <mc:Choice Requires="x14">
            <control shapeId="101901" r:id="rId44" name="Drop Down 6669">
              <controlPr defaultSize="0" autoLine="0" autoPict="0">
                <anchor moveWithCells="1">
                  <from>
                    <xdr:col>0</xdr:col>
                    <xdr:colOff>22860</xdr:colOff>
                    <xdr:row>34</xdr:row>
                    <xdr:rowOff>7620</xdr:rowOff>
                  </from>
                  <to>
                    <xdr:col>3</xdr:col>
                    <xdr:colOff>0</xdr:colOff>
                    <xdr:row>35</xdr:row>
                    <xdr:rowOff>7620</xdr:rowOff>
                  </to>
                </anchor>
              </controlPr>
            </control>
          </mc:Choice>
        </mc:AlternateContent>
        <mc:AlternateContent xmlns:mc="http://schemas.openxmlformats.org/markup-compatibility/2006">
          <mc:Choice Requires="x14">
            <control shapeId="101903" r:id="rId45" name="Drop Down 6671">
              <controlPr defaultSize="0" autoLine="0" autoPict="0">
                <anchor moveWithCells="1">
                  <from>
                    <xdr:col>0</xdr:col>
                    <xdr:colOff>22860</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101904" r:id="rId46" name="Drop Down 6672">
              <controlPr defaultSize="0" autoLine="0" autoPict="0">
                <anchor moveWithCells="1">
                  <from>
                    <xdr:col>0</xdr:col>
                    <xdr:colOff>22860</xdr:colOff>
                    <xdr:row>36</xdr:row>
                    <xdr:rowOff>0</xdr:rowOff>
                  </from>
                  <to>
                    <xdr:col>3</xdr:col>
                    <xdr:colOff>0</xdr:colOff>
                    <xdr:row>37</xdr:row>
                    <xdr:rowOff>0</xdr:rowOff>
                  </to>
                </anchor>
              </controlPr>
            </control>
          </mc:Choice>
        </mc:AlternateContent>
        <mc:AlternateContent xmlns:mc="http://schemas.openxmlformats.org/markup-compatibility/2006">
          <mc:Choice Requires="x14">
            <control shapeId="101905" r:id="rId47" name="Drop Down 6673">
              <controlPr defaultSize="0" autoLine="0" autoPict="0">
                <anchor moveWithCells="1">
                  <from>
                    <xdr:col>0</xdr:col>
                    <xdr:colOff>22860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1908" r:id="rId48" name="Drop Down 6676">
              <controlPr defaultSize="0" autoLine="0" autoPict="0">
                <anchor moveWithCells="1">
                  <from>
                    <xdr:col>5</xdr:col>
                    <xdr:colOff>7620</xdr:colOff>
                    <xdr:row>34</xdr:row>
                    <xdr:rowOff>7620</xdr:rowOff>
                  </from>
                  <to>
                    <xdr:col>6</xdr:col>
                    <xdr:colOff>0</xdr:colOff>
                    <xdr:row>34</xdr:row>
                    <xdr:rowOff>190500</xdr:rowOff>
                  </to>
                </anchor>
              </controlPr>
            </control>
          </mc:Choice>
        </mc:AlternateContent>
        <mc:AlternateContent xmlns:mc="http://schemas.openxmlformats.org/markup-compatibility/2006">
          <mc:Choice Requires="x14">
            <control shapeId="101909" r:id="rId49" name="Drop Down 6677">
              <controlPr defaultSize="0" autoLine="0" autoPict="0">
                <anchor moveWithCells="1">
                  <from>
                    <xdr:col>5</xdr:col>
                    <xdr:colOff>7620</xdr:colOff>
                    <xdr:row>35</xdr:row>
                    <xdr:rowOff>7620</xdr:rowOff>
                  </from>
                  <to>
                    <xdr:col>6</xdr:col>
                    <xdr:colOff>0</xdr:colOff>
                    <xdr:row>35</xdr:row>
                    <xdr:rowOff>190500</xdr:rowOff>
                  </to>
                </anchor>
              </controlPr>
            </control>
          </mc:Choice>
        </mc:AlternateContent>
        <mc:AlternateContent xmlns:mc="http://schemas.openxmlformats.org/markup-compatibility/2006">
          <mc:Choice Requires="x14">
            <control shapeId="101910" r:id="rId50" name="Drop Down 6678">
              <controlPr defaultSize="0" autoLine="0" autoPict="0">
                <anchor moveWithCells="1">
                  <from>
                    <xdr:col>5</xdr:col>
                    <xdr:colOff>7620</xdr:colOff>
                    <xdr:row>36</xdr:row>
                    <xdr:rowOff>7620</xdr:rowOff>
                  </from>
                  <to>
                    <xdr:col>6</xdr:col>
                    <xdr:colOff>0</xdr:colOff>
                    <xdr:row>36</xdr:row>
                    <xdr:rowOff>190500</xdr:rowOff>
                  </to>
                </anchor>
              </controlPr>
            </control>
          </mc:Choice>
        </mc:AlternateContent>
        <mc:AlternateContent xmlns:mc="http://schemas.openxmlformats.org/markup-compatibility/2006">
          <mc:Choice Requires="x14">
            <control shapeId="101911" r:id="rId51" name="Drop Down 6679">
              <controlPr defaultSize="0" autoLine="0" autoPict="0">
                <anchor moveWithCells="1">
                  <from>
                    <xdr:col>5</xdr:col>
                    <xdr:colOff>7620</xdr:colOff>
                    <xdr:row>37</xdr:row>
                    <xdr:rowOff>7620</xdr:rowOff>
                  </from>
                  <to>
                    <xdr:col>6</xdr:col>
                    <xdr:colOff>0</xdr:colOff>
                    <xdr:row>37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34FD7EDD-8C0A-405D-A525-FAF2EB9A61DD}">
            <xm:f>NOT(ISERROR(SEARCH("nein",J146)))</xm:f>
            <xm:f>"nein"</xm:f>
            <x14:dxf>
              <font>
                <color rgb="FF9C0006"/>
              </font>
              <fill>
                <patternFill>
                  <bgColor rgb="FFFFC7CE"/>
                </patternFill>
              </fill>
            </x14:dxf>
          </x14:cfRule>
          <xm:sqref>J146</xm:sqref>
        </x14:conditionalFormatting>
        <x14:conditionalFormatting xmlns:xm="http://schemas.microsoft.com/office/excel/2006/main">
          <x14:cfRule type="containsText" priority="6" operator="containsText" id="{6BEBF45F-F19B-4DCD-9F02-7ABAD624842D}">
            <xm:f>NOT(ISERROR(SEARCH("nein",G208)))</xm:f>
            <xm:f>"nein"</xm:f>
            <x14:dxf>
              <font>
                <color rgb="FF9C0006"/>
              </font>
              <fill>
                <patternFill>
                  <bgColor rgb="FFFFC7CE"/>
                </patternFill>
              </fill>
            </x14:dxf>
          </x14:cfRule>
          <xm:sqref>G208:J208</xm:sqref>
        </x14:conditionalFormatting>
        <x14:conditionalFormatting xmlns:xm="http://schemas.microsoft.com/office/excel/2006/main">
          <x14:cfRule type="containsText" priority="7" operator="containsText" id="{3E9175A5-FEF1-4D06-9F8D-DF1F4F2E8C80}">
            <xm:f>NOT(ISERROR(SEARCH("nein",I146)))</xm:f>
            <xm:f>"nein"</xm:f>
            <x14:dxf>
              <font>
                <color rgb="FF9C0006"/>
              </font>
              <fill>
                <patternFill>
                  <bgColor rgb="FFFFC7CE"/>
                </patternFill>
              </fill>
            </x14:dxf>
          </x14:cfRule>
          <xm:sqref>I146</xm:sqref>
        </x14:conditionalFormatting>
        <x14:conditionalFormatting xmlns:xm="http://schemas.microsoft.com/office/excel/2006/main">
          <x14:cfRule type="containsText" priority="2" operator="containsText" id="{268C4FB0-D186-43D0-9EE3-52F273162152}">
            <xm:f>NOT(ISERROR(SEARCH("nein",AB208)))</xm:f>
            <xm:f>"nein"</xm:f>
            <x14:dxf>
              <font>
                <color rgb="FF9C0006"/>
              </font>
              <fill>
                <patternFill>
                  <bgColor rgb="FFFFC7CE"/>
                </patternFill>
              </fill>
            </x14:dxf>
          </x14:cfRule>
          <xm:sqref>AB208:AE208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E64"/>
  <sheetViews>
    <sheetView showGridLines="0" zoomScaleNormal="100" zoomScaleSheetLayoutView="100" workbookViewId="0">
      <selection activeCell="B5" sqref="B5"/>
    </sheetView>
  </sheetViews>
  <sheetFormatPr baseColWidth="10" defaultRowHeight="15.75" customHeight="1" x14ac:dyDescent="0.25"/>
  <cols>
    <col min="1" max="1" width="14.6640625" customWidth="1"/>
    <col min="2" max="2" width="20.6640625" customWidth="1"/>
    <col min="3" max="3" width="5" customWidth="1"/>
    <col min="4" max="6" width="5.44140625" style="113" customWidth="1"/>
    <col min="7" max="11" width="6.88671875" customWidth="1"/>
    <col min="12" max="14" width="6.88671875" style="113" customWidth="1"/>
    <col min="15" max="16" width="6.88671875" style="668" customWidth="1"/>
    <col min="17" max="19" width="7" customWidth="1"/>
    <col min="20" max="20" width="0.33203125" customWidth="1"/>
    <col min="21" max="26" width="11.44140625" style="356" hidden="1" customWidth="1"/>
    <col min="27" max="32" width="11.44140625" style="357" hidden="1" customWidth="1"/>
    <col min="33" max="35" width="11.44140625" style="357" customWidth="1"/>
    <col min="36" max="64" width="11.44140625" customWidth="1"/>
  </cols>
  <sheetData>
    <row r="1" spans="1:57" ht="15.75" customHeight="1" x14ac:dyDescent="0.3">
      <c r="A1" s="1467" t="s">
        <v>347</v>
      </c>
      <c r="B1" s="1467"/>
      <c r="C1" s="1467"/>
      <c r="D1" s="1467"/>
      <c r="E1" s="1467"/>
      <c r="F1" s="1467"/>
      <c r="J1" s="200"/>
      <c r="K1" s="200"/>
      <c r="L1" s="201"/>
      <c r="M1" s="201"/>
    </row>
    <row r="2" spans="1:57" ht="51.75" customHeight="1" x14ac:dyDescent="0.25">
      <c r="A2" s="1485" t="s">
        <v>7952</v>
      </c>
      <c r="B2" s="1485"/>
      <c r="C2" s="1485"/>
      <c r="D2" s="1485"/>
      <c r="E2" s="1485"/>
      <c r="F2" s="1485"/>
      <c r="G2" s="1485"/>
      <c r="H2" s="1485"/>
      <c r="I2" s="1485"/>
      <c r="J2" s="1485"/>
      <c r="K2" s="1485"/>
      <c r="L2" s="1485"/>
      <c r="M2" s="1485"/>
      <c r="N2" s="1485"/>
      <c r="O2" s="1485"/>
      <c r="P2" s="1485"/>
    </row>
    <row r="3" spans="1:57" s="117" customFormat="1" ht="19.5" customHeight="1" thickBot="1" x14ac:dyDescent="0.35">
      <c r="A3" s="1045" t="s">
        <v>7922</v>
      </c>
      <c r="B3"/>
      <c r="C3"/>
      <c r="D3" s="113"/>
      <c r="E3" s="113"/>
      <c r="F3" s="113"/>
      <c r="G3"/>
      <c r="H3"/>
      <c r="I3"/>
      <c r="J3"/>
      <c r="K3" s="357"/>
      <c r="L3" s="659"/>
      <c r="M3" s="659"/>
      <c r="N3" s="659"/>
      <c r="O3" s="659"/>
      <c r="P3" s="659"/>
      <c r="Q3" s="357"/>
      <c r="R3" s="357"/>
      <c r="U3" s="358"/>
      <c r="V3" s="358"/>
      <c r="W3" s="358"/>
      <c r="X3" s="358"/>
      <c r="Y3" s="358"/>
      <c r="Z3" s="358"/>
      <c r="AA3" s="359"/>
      <c r="AB3" s="359"/>
      <c r="AC3" s="359"/>
      <c r="AD3" s="359"/>
      <c r="AE3" s="359"/>
      <c r="AF3" s="359"/>
      <c r="AG3" s="359"/>
      <c r="AH3" s="359"/>
      <c r="AI3" s="359"/>
    </row>
    <row r="4" spans="1:57" ht="24.75" customHeight="1" x14ac:dyDescent="0.25">
      <c r="A4" s="839" t="s">
        <v>7811</v>
      </c>
      <c r="B4" s="835" t="s">
        <v>254</v>
      </c>
      <c r="C4" s="1473" t="s">
        <v>251</v>
      </c>
      <c r="D4" s="1474"/>
      <c r="E4" s="1475"/>
      <c r="F4" s="1473" t="s">
        <v>7642</v>
      </c>
      <c r="G4" s="1474"/>
      <c r="H4" s="1474"/>
      <c r="I4" s="1475"/>
      <c r="J4" s="1468" t="s">
        <v>7657</v>
      </c>
      <c r="K4" s="1468"/>
      <c r="L4" s="1468"/>
      <c r="M4" s="1469" t="s">
        <v>7658</v>
      </c>
      <c r="N4" s="1469"/>
      <c r="O4" s="1469"/>
      <c r="P4" s="1469" t="s">
        <v>7659</v>
      </c>
      <c r="Q4" s="1469"/>
      <c r="R4" s="1498"/>
      <c r="S4" s="1563" t="s">
        <v>7918</v>
      </c>
      <c r="U4" s="430" t="s">
        <v>7764</v>
      </c>
      <c r="V4" s="430" t="s">
        <v>7765</v>
      </c>
      <c r="W4" s="430" t="s">
        <v>7766</v>
      </c>
      <c r="X4" s="430" t="s">
        <v>7767</v>
      </c>
    </row>
    <row r="5" spans="1:57" ht="15.75" customHeight="1" x14ac:dyDescent="0.25">
      <c r="A5" s="840">
        <v>1</v>
      </c>
      <c r="B5" s="841"/>
      <c r="C5" s="1476"/>
      <c r="D5" s="1477"/>
      <c r="E5" s="1478"/>
      <c r="F5" s="1476"/>
      <c r="G5" s="1477"/>
      <c r="H5" s="1477"/>
      <c r="I5" s="1478"/>
      <c r="J5" s="1503"/>
      <c r="K5" s="1503"/>
      <c r="L5" s="1503"/>
      <c r="M5" s="1503"/>
      <c r="N5" s="1503"/>
      <c r="O5" s="1503"/>
      <c r="P5" s="1503"/>
      <c r="Q5" s="1503"/>
      <c r="R5" s="1504"/>
      <c r="S5" s="1564"/>
      <c r="U5" s="356">
        <f>IF(C5=$Y$13,20,8)</f>
        <v>8</v>
      </c>
      <c r="V5" s="356">
        <f>IF(C5=$Y$14,35,150)</f>
        <v>150</v>
      </c>
      <c r="W5" s="357">
        <f>IF(AND('Abweichende Werte'!C5='Abweichende Werte'!$Y$13,COUNTBLANK('Abweichende Werte'!C5:R5)=11,'Abweichende Werte'!J5&gt;19,'Abweichende Werte'!M5&lt;151,'Abweichende Werte'!J5&lt;'Abweichende Werte'!M5,F5&lt;&gt;"--"),1,0)</f>
        <v>0</v>
      </c>
      <c r="X5" s="731">
        <f>IF(AND('Abweichende Werte'!C5='Abweichende Werte'!$Y$14,COUNTBLANK('Abweichende Werte'!C5:R5)=11,'Abweichende Werte'!J5&gt;7,'Abweichende Werte'!M5&lt;36,'Abweichende Werte'!J5&lt;'Abweichende Werte'!M5,F5&lt;&gt;"--"),1,0)</f>
        <v>0</v>
      </c>
      <c r="Y5" s="519"/>
      <c r="Z5" s="520"/>
      <c r="AB5" s="357" t="str">
        <f>IF(W5+X5=1,IF(C5=$Y$13,CONCATENATE(B20,", ",$Z$13,", ",VLOOKUP(F5,$Y$7:$Z$11,2,FALSE),IF(OR(F5=$Y$10,F5=$Y$11),"*","")),CONCATENATE(B20,", ",$Z$14,", ",VLOOKUP(F5,$Y$7:$Z$11,2,FALSE),IF(OR(F5=$Y$10,F5=$Y$11),"*",""))),"--")</f>
        <v>--</v>
      </c>
    </row>
    <row r="6" spans="1:57" ht="15.75" customHeight="1" x14ac:dyDescent="0.25">
      <c r="A6" s="842">
        <v>2</v>
      </c>
      <c r="B6" s="843"/>
      <c r="C6" s="1479"/>
      <c r="D6" s="1480"/>
      <c r="E6" s="1481"/>
      <c r="F6" s="1482"/>
      <c r="G6" s="1483"/>
      <c r="H6" s="1483"/>
      <c r="I6" s="1484"/>
      <c r="J6" s="1505"/>
      <c r="K6" s="1505"/>
      <c r="L6" s="1505"/>
      <c r="M6" s="1479"/>
      <c r="N6" s="1480"/>
      <c r="O6" s="1481"/>
      <c r="P6" s="1505"/>
      <c r="Q6" s="1505"/>
      <c r="R6" s="1506"/>
      <c r="S6" s="1564"/>
      <c r="U6" s="356">
        <f>IF(C6=$Y$13,20,8)</f>
        <v>8</v>
      </c>
      <c r="V6" s="356">
        <f>IF(C6=$Y$14,35,150)</f>
        <v>150</v>
      </c>
      <c r="W6" s="357">
        <f>IF(AND('Abweichende Werte'!C6='Abweichende Werte'!$Y$13,COUNTBLANK('Abweichende Werte'!C6:R6)=11,'Abweichende Werte'!J6&gt;19,'Abweichende Werte'!M6&lt;151,'Abweichende Werte'!J6&lt;'Abweichende Werte'!M6,F6&lt;&gt;"--"),1,0)</f>
        <v>0</v>
      </c>
      <c r="X6" s="731">
        <f>IF(AND('Abweichende Werte'!C6='Abweichende Werte'!$Y$14,COUNTBLANK('Abweichende Werte'!C6:R6)=11,'Abweichende Werte'!J6&gt;7,'Abweichende Werte'!M6&lt;36,'Abweichende Werte'!J6&lt;'Abweichende Werte'!M6,F6&lt;&gt;"--"),1,0)</f>
        <v>0</v>
      </c>
      <c r="Y6" s="430" t="s">
        <v>7728</v>
      </c>
      <c r="Z6" s="667"/>
      <c r="AB6" s="357" t="str">
        <f>IF(W6+X6=1,IF(C6=$Y$13,CONCATENATE(B21,", ",$Z$13,", ",VLOOKUP(F6,$Y$7:$Z$11,2,FALSE),IF(OR(F6=$Y$10,F6=$Y$11),"*","")),CONCATENATE(B21,", ",$Z$14,", ",VLOOKUP(F6,$Y$7:$Z$11,2,FALSE),IF(OR(F6=$Y$10,F6=$Y$11),"*",""))),"--")</f>
        <v>--</v>
      </c>
    </row>
    <row r="7" spans="1:57" ht="15.75" customHeight="1" x14ac:dyDescent="0.3">
      <c r="A7" s="844">
        <v>3</v>
      </c>
      <c r="B7" s="1086"/>
      <c r="C7" s="1479"/>
      <c r="D7" s="1480"/>
      <c r="E7" s="1481"/>
      <c r="F7" s="1482"/>
      <c r="G7" s="1483"/>
      <c r="H7" s="1483"/>
      <c r="I7" s="1484"/>
      <c r="J7" s="1499"/>
      <c r="K7" s="1499"/>
      <c r="L7" s="1499"/>
      <c r="M7" s="1479"/>
      <c r="N7" s="1480"/>
      <c r="O7" s="1481"/>
      <c r="P7" s="1499"/>
      <c r="Q7" s="1499"/>
      <c r="R7" s="1500"/>
      <c r="S7" s="1564"/>
      <c r="U7" s="356">
        <f>IF(C7=$Y$13,20,8)</f>
        <v>8</v>
      </c>
      <c r="V7" s="356">
        <f>IF(C7=$Y$14,35,150)</f>
        <v>150</v>
      </c>
      <c r="W7" s="357">
        <f>IF(AND('Abweichende Werte'!C7='Abweichende Werte'!$Y$13,COUNTBLANK('Abweichende Werte'!C7:R7)=11,'Abweichende Werte'!J7&gt;19,'Abweichende Werte'!M7&lt;151,'Abweichende Werte'!J7&lt;'Abweichende Werte'!M7,F7&lt;&gt;"--"),1,0)</f>
        <v>0</v>
      </c>
      <c r="X7" s="731">
        <f>IF(AND('Abweichende Werte'!C7='Abweichende Werte'!$Y$14,COUNTBLANK('Abweichende Werte'!C7:R7)=11,'Abweichende Werte'!J7&gt;7,'Abweichende Werte'!M7&lt;36,'Abweichende Werte'!J7&lt;'Abweichende Werte'!M7,F7&lt;&gt;"--"),1,0)</f>
        <v>0</v>
      </c>
      <c r="Y7" s="704" t="str">
        <f>+'abweichende Schweine'!A4</f>
        <v>--</v>
      </c>
      <c r="AB7" s="357" t="str">
        <f>IF(W7+X7=1,IF(C7=$Y$13,CONCATENATE(B22,", ",$Z$13,", ",VLOOKUP(F7,$Y$7:$Z$11,2,FALSE),IF(OR(F7=$Y$10,F7=$Y$11),"*","")),CONCATENATE(B22,", ",$Z$14,", ",VLOOKUP(F7,$Y$7:$Z$11,2,FALSE),IF(OR(F7=$Y$10,F7=$Y$11),"*",""))),"--")</f>
        <v>--</v>
      </c>
    </row>
    <row r="8" spans="1:57" ht="15.75" customHeight="1" x14ac:dyDescent="0.3">
      <c r="A8" s="845">
        <v>4</v>
      </c>
      <c r="B8" s="846"/>
      <c r="C8" s="1479"/>
      <c r="D8" s="1480"/>
      <c r="E8" s="1481"/>
      <c r="F8" s="1482"/>
      <c r="G8" s="1483"/>
      <c r="H8" s="1483"/>
      <c r="I8" s="1484"/>
      <c r="J8" s="1501"/>
      <c r="K8" s="1501"/>
      <c r="L8" s="1501"/>
      <c r="M8" s="1479"/>
      <c r="N8" s="1480"/>
      <c r="O8" s="1481"/>
      <c r="P8" s="1501"/>
      <c r="Q8" s="1501"/>
      <c r="R8" s="1502"/>
      <c r="S8" s="1564"/>
      <c r="T8" s="202"/>
      <c r="U8" s="356">
        <f>IF(C8=$Y$13,20,8)</f>
        <v>8</v>
      </c>
      <c r="V8" s="356">
        <f>IF(C8=$Y$14,35,150)</f>
        <v>150</v>
      </c>
      <c r="W8" s="357">
        <f>IF(AND('Abweichende Werte'!C8='Abweichende Werte'!$Y$13,COUNTBLANK('Abweichende Werte'!C8:R8)=11,'Abweichende Werte'!J8&gt;19,'Abweichende Werte'!M8&lt;151,'Abweichende Werte'!J8&lt;'Abweichende Werte'!M8,F8&lt;&gt;"--"),1,0)</f>
        <v>0</v>
      </c>
      <c r="X8" s="731">
        <f>IF(AND('Abweichende Werte'!C8='Abweichende Werte'!$Y$14,COUNTBLANK('Abweichende Werte'!C8:R8)=11,'Abweichende Werte'!J8&gt;7,'Abweichende Werte'!M8&lt;36,'Abweichende Werte'!J8&lt;'Abweichende Werte'!M8,F8&lt;&gt;"--"),1,0)</f>
        <v>0</v>
      </c>
      <c r="Y8" s="704" t="str">
        <f>+'abweichende Schweine'!A5</f>
        <v>Universalfutter</v>
      </c>
      <c r="Z8" s="356" t="s">
        <v>7881</v>
      </c>
      <c r="AB8" s="357" t="str">
        <f>IF(W8+X8=1,IF(C8=$Y$13,CONCATENATE(B23,", ",$Z$13,", ",VLOOKUP(F8,$Y$7:$Z$11,2,FALSE),IF(OR(F8=$Y$10,F8=$Y$11),"*","")),CONCATENATE(B23,", ",$Z$14,", ",VLOOKUP(F8,$Y$7:$Z$11,2,FALSE),IF(OR(F8=$Y$10,F8=$Y$11),"*",""))),"--")</f>
        <v>--</v>
      </c>
    </row>
    <row r="9" spans="1:57" ht="15.75" customHeight="1" thickBot="1" x14ac:dyDescent="0.35">
      <c r="A9" s="847">
        <v>5</v>
      </c>
      <c r="B9" s="836"/>
      <c r="C9" s="1470"/>
      <c r="D9" s="1471"/>
      <c r="E9" s="1472"/>
      <c r="F9" s="1470"/>
      <c r="G9" s="1471"/>
      <c r="H9" s="1471"/>
      <c r="I9" s="1472"/>
      <c r="J9" s="1507"/>
      <c r="K9" s="1507"/>
      <c r="L9" s="1507"/>
      <c r="M9" s="1470"/>
      <c r="N9" s="1471"/>
      <c r="O9" s="1472"/>
      <c r="P9" s="1507"/>
      <c r="Q9" s="1507"/>
      <c r="R9" s="1508"/>
      <c r="S9" s="1564"/>
      <c r="T9" s="16"/>
      <c r="U9" s="356">
        <f>IF(C9=$Y$13,20,8)</f>
        <v>8</v>
      </c>
      <c r="V9" s="356">
        <f>IF(C9=$Y$14,35,150)</f>
        <v>150</v>
      </c>
      <c r="W9" s="357">
        <f>IF(AND('Abweichende Werte'!C9='Abweichende Werte'!$Y$13,COUNTBLANK('Abweichende Werte'!C9:R9)=11,'Abweichende Werte'!J9&gt;19,'Abweichende Werte'!M9&lt;151,'Abweichende Werte'!J9&lt;'Abweichende Werte'!M9,F9&lt;&gt;"--"),1,0)</f>
        <v>0</v>
      </c>
      <c r="X9" s="731">
        <f>IF(AND('Abweichende Werte'!C9='Abweichende Werte'!$Y$14,COUNTBLANK('Abweichende Werte'!C9:R9)=11,'Abweichende Werte'!J9&gt;7,'Abweichende Werte'!M9&lt;36,'Abweichende Werte'!J9&lt;'Abweichende Werte'!M9,F9&lt;&gt;"--"),1,0)</f>
        <v>0</v>
      </c>
      <c r="Y9" s="704" t="str">
        <f>+'abweichende Schweine'!A6</f>
        <v>N- und P- reduziert</v>
      </c>
      <c r="Z9" s="356" t="s">
        <v>7882</v>
      </c>
      <c r="AB9" s="357" t="str">
        <f>IF(W9+X9=1,IF(C9=$Y$13,CONCATENATE(B24,", ",$Z$13,", ",VLOOKUP(F9,$Y$7:$Z$11,2,FALSE),IF(OR(F9=$Y$10,F9=$Y$11),"*","")),CONCATENATE(B24,", ",$Z$14,", ",VLOOKUP(F9,$Y$7:$Z$11,2,FALSE),IF(OR(F9=$Y$10,F9=$Y$11),"*",""))),"--")</f>
        <v>--</v>
      </c>
      <c r="BE9" s="129"/>
    </row>
    <row r="10" spans="1:57" ht="29.4" customHeight="1" x14ac:dyDescent="0.3">
      <c r="A10" s="674" t="s">
        <v>7656</v>
      </c>
      <c r="B10" s="1171" t="s">
        <v>254</v>
      </c>
      <c r="C10" s="1509"/>
      <c r="D10" s="1510"/>
      <c r="E10" s="1511"/>
      <c r="F10" s="1473" t="s">
        <v>7642</v>
      </c>
      <c r="G10" s="1474"/>
      <c r="H10" s="1474"/>
      <c r="I10" s="1475"/>
      <c r="J10" s="1468" t="s">
        <v>7948</v>
      </c>
      <c r="K10" s="1468"/>
      <c r="L10" s="1468"/>
      <c r="M10" s="1561" t="s">
        <v>7950</v>
      </c>
      <c r="N10" s="1561"/>
      <c r="O10" s="1562"/>
      <c r="P10" s="671"/>
      <c r="Q10" s="118"/>
      <c r="R10" s="727"/>
      <c r="S10" s="1564"/>
      <c r="T10" s="202"/>
      <c r="W10" s="658" t="s">
        <v>7768</v>
      </c>
      <c r="Y10" s="704" t="str">
        <f>+'abweichende Schweine'!A7</f>
        <v>stark N- und P-reduziert</v>
      </c>
      <c r="Z10" s="356" t="s">
        <v>7883</v>
      </c>
    </row>
    <row r="11" spans="1:57" ht="15.75" customHeight="1" x14ac:dyDescent="0.3">
      <c r="A11" s="837">
        <v>6</v>
      </c>
      <c r="B11" s="1085"/>
      <c r="C11" s="1512" t="s">
        <v>7656</v>
      </c>
      <c r="D11" s="1513"/>
      <c r="E11" s="1514"/>
      <c r="F11" s="1476"/>
      <c r="G11" s="1477"/>
      <c r="H11" s="1477"/>
      <c r="I11" s="1478"/>
      <c r="J11" s="1503"/>
      <c r="K11" s="1503"/>
      <c r="L11" s="1503"/>
      <c r="M11" s="1503"/>
      <c r="N11" s="1503"/>
      <c r="O11" s="1560"/>
      <c r="P11" s="672"/>
      <c r="Q11" s="118"/>
      <c r="R11" s="727"/>
      <c r="S11" s="1564"/>
      <c r="W11" s="357">
        <f>IF(AND(COUNTBLANK('Abweichende Werte'!F11:O11)=7,F11&lt;&gt;"--"),1,0)</f>
        <v>0</v>
      </c>
      <c r="Y11" s="704" t="str">
        <f>+'abweichende Schweine'!A8</f>
        <v>sehr stark N- und P-reduziert</v>
      </c>
      <c r="Z11" s="356" t="s">
        <v>7884</v>
      </c>
      <c r="AB11" s="357" t="str">
        <f>IF(W11+X11=1,CONCATENATE(B25,", ",$Z$15,", ",VLOOKUP(F11,$Y$7:$Z$11,2,FALSE),IF(OR(F11=$Y$10,F11=$Y$11),"*","")),"--")</f>
        <v>--</v>
      </c>
    </row>
    <row r="12" spans="1:57" ht="15.75" customHeight="1" thickBot="1" x14ac:dyDescent="0.3">
      <c r="A12" s="838">
        <v>7</v>
      </c>
      <c r="B12" s="1084"/>
      <c r="C12" s="1581" t="s">
        <v>7656</v>
      </c>
      <c r="D12" s="1582"/>
      <c r="E12" s="1583"/>
      <c r="F12" s="1470"/>
      <c r="G12" s="1471"/>
      <c r="H12" s="1471"/>
      <c r="I12" s="1472"/>
      <c r="J12" s="1507"/>
      <c r="K12" s="1507"/>
      <c r="L12" s="1507"/>
      <c r="M12" s="1507"/>
      <c r="N12" s="1507"/>
      <c r="O12" s="1540"/>
      <c r="P12" s="673"/>
      <c r="Q12" s="728"/>
      <c r="R12" s="729"/>
      <c r="S12" s="1564"/>
      <c r="W12" s="357">
        <f>IF(AND(COUNTBLANK('Abweichende Werte'!F12:O12)=7,F12&lt;&gt;"--"),1,0)</f>
        <v>0</v>
      </c>
      <c r="Z12" s="430"/>
      <c r="AB12" s="357" t="str">
        <f>IF(W12+X12=1,CONCATENATE(B26,", ",$Z$15,", ",VLOOKUP(F12,$Y$7:$Z$11,2,FALSE),IF(OR(F12=$Y$10,F12=$Y$11),"*","")),"--")</f>
        <v>--</v>
      </c>
    </row>
    <row r="13" spans="1:57" ht="15.75" customHeight="1" x14ac:dyDescent="0.25">
      <c r="W13" s="357"/>
      <c r="Y13" s="356" t="s">
        <v>7686</v>
      </c>
      <c r="Z13" s="356" t="s">
        <v>7885</v>
      </c>
    </row>
    <row r="14" spans="1:57" ht="15.75" customHeight="1" thickBot="1" x14ac:dyDescent="0.3">
      <c r="A14" s="1045" t="s">
        <v>7924</v>
      </c>
      <c r="D14" s="1087"/>
      <c r="E14" s="1087"/>
      <c r="F14" s="1087"/>
      <c r="L14" s="1087"/>
      <c r="M14" s="1087"/>
      <c r="N14" s="1087"/>
      <c r="O14" s="1087"/>
      <c r="P14" s="1087"/>
      <c r="W14" s="357"/>
      <c r="Y14" s="356" t="s">
        <v>7655</v>
      </c>
      <c r="Z14" s="356" t="s">
        <v>7655</v>
      </c>
    </row>
    <row r="15" spans="1:57" ht="15.75" customHeight="1" thickBot="1" x14ac:dyDescent="0.35">
      <c r="A15" s="117"/>
      <c r="B15" s="116"/>
      <c r="C15" s="1565" t="s">
        <v>7917</v>
      </c>
      <c r="D15" s="1566"/>
      <c r="E15" s="1566"/>
      <c r="F15" s="1566"/>
      <c r="G15" s="1566"/>
      <c r="H15" s="1566"/>
      <c r="I15" s="1566"/>
      <c r="J15" s="1566"/>
      <c r="K15" s="1567"/>
      <c r="L15" s="131"/>
      <c r="M15" s="131"/>
      <c r="N15" s="131"/>
      <c r="O15" s="131"/>
      <c r="P15" s="131"/>
      <c r="Q15" s="118"/>
      <c r="R15" s="118"/>
      <c r="S15" s="118"/>
      <c r="Z15" s="356" t="s">
        <v>7886</v>
      </c>
    </row>
    <row r="16" spans="1:57" ht="15.75" customHeight="1" thickBot="1" x14ac:dyDescent="0.3">
      <c r="A16" s="126"/>
      <c r="B16" s="126"/>
      <c r="C16" s="1574" t="s">
        <v>196</v>
      </c>
      <c r="D16" s="1568" t="s">
        <v>7636</v>
      </c>
      <c r="E16" s="1569"/>
      <c r="F16" s="1570"/>
      <c r="G16" s="1493" t="s">
        <v>241</v>
      </c>
      <c r="H16" s="1494"/>
      <c r="I16" s="1494"/>
      <c r="J16" s="1494"/>
      <c r="K16" s="1495"/>
      <c r="L16" s="1493" t="s">
        <v>348</v>
      </c>
      <c r="M16" s="1494"/>
      <c r="N16" s="1494"/>
      <c r="O16" s="1494"/>
      <c r="P16" s="1495"/>
      <c r="Q16" s="1515" t="s">
        <v>225</v>
      </c>
      <c r="R16" s="1516"/>
      <c r="S16" s="1517"/>
    </row>
    <row r="17" spans="1:24" ht="15.75" customHeight="1" x14ac:dyDescent="0.25">
      <c r="A17" s="1571" t="s">
        <v>251</v>
      </c>
      <c r="B17" s="1574" t="s">
        <v>254</v>
      </c>
      <c r="C17" s="1575"/>
      <c r="D17" s="1538" t="s">
        <v>4</v>
      </c>
      <c r="E17" s="1585" t="s">
        <v>231</v>
      </c>
      <c r="F17" s="1587" t="s">
        <v>232</v>
      </c>
      <c r="G17" s="1538" t="s">
        <v>0</v>
      </c>
      <c r="H17" s="1589" t="s">
        <v>8</v>
      </c>
      <c r="I17" s="1490" t="s">
        <v>10</v>
      </c>
      <c r="J17" s="1491"/>
      <c r="K17" s="1492"/>
      <c r="L17" s="1538" t="s">
        <v>0</v>
      </c>
      <c r="M17" s="1604" t="s">
        <v>8</v>
      </c>
      <c r="N17" s="1490" t="s">
        <v>10</v>
      </c>
      <c r="O17" s="1491"/>
      <c r="P17" s="1492"/>
      <c r="Q17" s="1518"/>
      <c r="R17" s="1186"/>
      <c r="S17" s="1519"/>
    </row>
    <row r="18" spans="1:24" ht="15.75" customHeight="1" thickBot="1" x14ac:dyDescent="0.3">
      <c r="A18" s="1572"/>
      <c r="B18" s="1575"/>
      <c r="C18" s="1575"/>
      <c r="D18" s="1539"/>
      <c r="E18" s="1586"/>
      <c r="F18" s="1588"/>
      <c r="G18" s="1539"/>
      <c r="H18" s="1590"/>
      <c r="I18" s="749" t="s">
        <v>39</v>
      </c>
      <c r="J18" s="196" t="s">
        <v>40</v>
      </c>
      <c r="K18" s="733" t="s">
        <v>41</v>
      </c>
      <c r="L18" s="1539"/>
      <c r="M18" s="1605"/>
      <c r="N18" s="753" t="s">
        <v>39</v>
      </c>
      <c r="O18" s="196" t="s">
        <v>40</v>
      </c>
      <c r="P18" s="195" t="s">
        <v>41</v>
      </c>
      <c r="Q18" s="754" t="s">
        <v>39</v>
      </c>
      <c r="R18" s="755" t="s">
        <v>40</v>
      </c>
      <c r="S18" s="756" t="s">
        <v>41</v>
      </c>
    </row>
    <row r="19" spans="1:24" ht="15.75" customHeight="1" thickBot="1" x14ac:dyDescent="0.3">
      <c r="A19" s="1573"/>
      <c r="B19" s="1576"/>
      <c r="C19" s="1576"/>
      <c r="D19" s="1489" t="s">
        <v>266</v>
      </c>
      <c r="E19" s="1487"/>
      <c r="F19" s="1488"/>
      <c r="G19" s="1489" t="s">
        <v>1</v>
      </c>
      <c r="H19" s="1487"/>
      <c r="I19" s="1584" t="s">
        <v>42</v>
      </c>
      <c r="J19" s="1487"/>
      <c r="K19" s="1487"/>
      <c r="L19" s="1496" t="s">
        <v>2</v>
      </c>
      <c r="M19" s="1497"/>
      <c r="N19" s="1497"/>
      <c r="O19" s="1497"/>
      <c r="P19" s="1497"/>
      <c r="Q19" s="1486" t="s">
        <v>7769</v>
      </c>
      <c r="R19" s="1487"/>
      <c r="S19" s="1488"/>
    </row>
    <row r="20" spans="1:24" ht="15.75" customHeight="1" x14ac:dyDescent="0.25">
      <c r="A20" s="711" t="str">
        <f>IF(W5+X5=1,C5,"")</f>
        <v/>
      </c>
      <c r="B20" s="708" t="str">
        <f>IF(W5+X5=1,CONCATENATE(A5,"-",B5),"--")</f>
        <v>--</v>
      </c>
      <c r="C20" s="1036" t="str">
        <f>IF($W5=1,'abweichende Schweine'!F12,IF($X5=1,'abweichende Schweine'!F74,""))</f>
        <v/>
      </c>
      <c r="D20" s="758" t="str">
        <f>IF($W5=1,'abweichende Schweine'!G12,IF($X5=1,'abweichende Schweine'!G74,""))</f>
        <v/>
      </c>
      <c r="E20" s="759" t="str">
        <f>IF($W5=1,'abweichende Schweine'!H12,IF($X5=1,'abweichende Schweine'!H74,""))</f>
        <v/>
      </c>
      <c r="F20" s="760" t="str">
        <f>IF($W5=1,'abweichende Schweine'!I12,IF($X5=1,'abweichende Schweine'!I74,""))</f>
        <v/>
      </c>
      <c r="G20" s="1037" t="str">
        <f>IF($W5=1,'abweichende Schweine'!J12,IF($X5=1,'abweichende Schweine'!J74,""))</f>
        <v/>
      </c>
      <c r="H20" s="1038" t="str">
        <f>IF($W5=1,'abweichende Schweine'!K12,IF($X5=1,'abweichende Schweine'!K74,""))</f>
        <v/>
      </c>
      <c r="I20" s="759" t="str">
        <f>IF($W5=1,'abweichende Schweine'!L12,IF($X5=1,'abweichende Schweine'!L74,""))</f>
        <v/>
      </c>
      <c r="J20" s="759" t="str">
        <f>IF($W5=1,'abweichende Schweine'!M12,IF($X5=1,'abweichende Schweine'!M74,""))</f>
        <v/>
      </c>
      <c r="K20" s="760" t="str">
        <f>IF($W5=1,'abweichende Schweine'!N12,IF($X5=1,'abweichende Schweine'!N74,""))</f>
        <v/>
      </c>
      <c r="L20" s="1037" t="str">
        <f>IF($W5=1,'abweichende Schweine'!O12,IF($X5=1,'abweichende Schweine'!O74,""))</f>
        <v/>
      </c>
      <c r="M20" s="759" t="str">
        <f>IF($W5=1,'abweichende Schweine'!P12,IF($X5=1,'abweichende Schweine'!P74,""))</f>
        <v/>
      </c>
      <c r="N20" s="759" t="str">
        <f>IF($W5=1,'abweichende Schweine'!W12,IF($X5=1,'abweichende Schweine'!W74,""))</f>
        <v/>
      </c>
      <c r="O20" s="759" t="str">
        <f>IF($W5=1,'abweichende Schweine'!X12,IF($X5=1,'abweichende Schweine'!X74,""))</f>
        <v/>
      </c>
      <c r="P20" s="1038" t="str">
        <f>IF($W5=1,'abweichende Schweine'!Y12,IF($X5=1,'abweichende Schweine'!Y74,""))</f>
        <v/>
      </c>
      <c r="Q20" s="758" t="str">
        <f>IF($W5=1,'abweichende Schweine'!Q12,IF($X5=1,'abweichende Schweine'!Q74,""))</f>
        <v/>
      </c>
      <c r="R20" s="759" t="str">
        <f>IF($W5=1,'abweichende Schweine'!R12,IF($X5=1,'abweichende Schweine'!R74,""))</f>
        <v/>
      </c>
      <c r="S20" s="760" t="str">
        <f>IF($W5=1,'abweichende Schweine'!S12,IF($X5=1,'abweichende Schweine'!S74,""))</f>
        <v/>
      </c>
    </row>
    <row r="21" spans="1:24" ht="15.75" customHeight="1" x14ac:dyDescent="0.25">
      <c r="A21" s="712" t="str">
        <f t="shared" ref="A21:A24" si="0">IF(W6+X6=1,C6,"")</f>
        <v/>
      </c>
      <c r="B21" s="709" t="str">
        <f t="shared" ref="B21:B24" si="1">IF(W6+X6=1,CONCATENATE(A6,"-",B6),"--")</f>
        <v>--</v>
      </c>
      <c r="C21" s="764" t="str">
        <f>IF($W6=1,'abweichende Schweine'!F24,IF($X6=1,'abweichende Schweine'!F83,""))</f>
        <v/>
      </c>
      <c r="D21" s="765" t="str">
        <f>IF($W6=1,'abweichende Schweine'!G24,IF($X6=1,'abweichende Schweine'!G83,""))</f>
        <v/>
      </c>
      <c r="E21" s="766" t="str">
        <f>IF($W6=1,'abweichende Schweine'!H24,IF($X6=1,'abweichende Schweine'!H83,""))</f>
        <v/>
      </c>
      <c r="F21" s="767" t="str">
        <f>IF($W6=1,'abweichende Schweine'!I24,IF($X6=1,'abweichende Schweine'!I83,""))</f>
        <v/>
      </c>
      <c r="G21" s="768" t="str">
        <f>IF($W6=1,'abweichende Schweine'!J24,IF($X6=1,'abweichende Schweine'!J83,""))</f>
        <v/>
      </c>
      <c r="H21" s="769" t="str">
        <f>IF($W6=1,'abweichende Schweine'!K24,IF($X6=1,'abweichende Schweine'!K83,""))</f>
        <v/>
      </c>
      <c r="I21" s="766" t="str">
        <f>IF($W6=1,'abweichende Schweine'!L24,IF($X6=1,'abweichende Schweine'!L83,""))</f>
        <v/>
      </c>
      <c r="J21" s="766" t="str">
        <f>IF($W6=1,'abweichende Schweine'!M24,IF($X6=1,'abweichende Schweine'!M83,""))</f>
        <v/>
      </c>
      <c r="K21" s="767" t="str">
        <f>IF($W6=1,'abweichende Schweine'!N24,IF($X6=1,'abweichende Schweine'!N83,""))</f>
        <v/>
      </c>
      <c r="L21" s="768" t="str">
        <f>IF($W6=1,'abweichende Schweine'!O24,IF($X6=1,'abweichende Schweine'!O83,""))</f>
        <v/>
      </c>
      <c r="M21" s="766" t="str">
        <f>IF($W6=1,'abweichende Schweine'!P24,IF($X6=1,'abweichende Schweine'!P83,""))</f>
        <v/>
      </c>
      <c r="N21" s="766" t="str">
        <f>IF($W6=1,'abweichende Schweine'!W24,IF($X6=1,'abweichende Schweine'!W83,""))</f>
        <v/>
      </c>
      <c r="O21" s="766" t="str">
        <f>IF($W6=1,'abweichende Schweine'!X24,IF($X6=1,'abweichende Schweine'!X83,""))</f>
        <v/>
      </c>
      <c r="P21" s="769" t="str">
        <f>IF($W6=1,'abweichende Schweine'!Y24,IF($X6=1,'abweichende Schweine'!Y83,""))</f>
        <v/>
      </c>
      <c r="Q21" s="765" t="str">
        <f>IF($W6=1,'abweichende Schweine'!Q24,IF($X6=1,'abweichende Schweine'!Q83,""))</f>
        <v/>
      </c>
      <c r="R21" s="766" t="str">
        <f>IF($W6=1,'abweichende Schweine'!R24,IF($X6=1,'abweichende Schweine'!R83,""))</f>
        <v/>
      </c>
      <c r="S21" s="767" t="str">
        <f>IF($W6=1,'abweichende Schweine'!S24,IF($X6=1,'abweichende Schweine'!S83,""))</f>
        <v/>
      </c>
    </row>
    <row r="22" spans="1:24" ht="15.75" customHeight="1" x14ac:dyDescent="0.25">
      <c r="A22" s="712" t="str">
        <f t="shared" si="0"/>
        <v/>
      </c>
      <c r="B22" s="709" t="str">
        <f t="shared" si="1"/>
        <v>--</v>
      </c>
      <c r="C22" s="764" t="str">
        <f>IF($W7=1,'abweichende Schweine'!F36,IF($X7=1,'abweichende Schweine'!F92,""))</f>
        <v/>
      </c>
      <c r="D22" s="765" t="str">
        <f>IF($W7=1,'abweichende Schweine'!G36,IF($X7=1,'abweichende Schweine'!G92,""))</f>
        <v/>
      </c>
      <c r="E22" s="766" t="str">
        <f>IF($W7=1,'abweichende Schweine'!H36,IF($X7=1,'abweichende Schweine'!H92,""))</f>
        <v/>
      </c>
      <c r="F22" s="767" t="str">
        <f>IF($W7=1,'abweichende Schweine'!I36,IF($X7=1,'abweichende Schweine'!I92,""))</f>
        <v/>
      </c>
      <c r="G22" s="768" t="str">
        <f>IF($W7=1,'abweichende Schweine'!J36,IF($X7=1,'abweichende Schweine'!J92,""))</f>
        <v/>
      </c>
      <c r="H22" s="769" t="str">
        <f>IF($W7=1,'abweichende Schweine'!K36,IF($X7=1,'abweichende Schweine'!K92,""))</f>
        <v/>
      </c>
      <c r="I22" s="766" t="str">
        <f>IF($W7=1,'abweichende Schweine'!L36,IF($X7=1,'abweichende Schweine'!L92,""))</f>
        <v/>
      </c>
      <c r="J22" s="766" t="str">
        <f>IF($W7=1,'abweichende Schweine'!M36,IF($X7=1,'abweichende Schweine'!M92,""))</f>
        <v/>
      </c>
      <c r="K22" s="767" t="str">
        <f>IF($W7=1,'abweichende Schweine'!N36,IF($X7=1,'abweichende Schweine'!N92,""))</f>
        <v/>
      </c>
      <c r="L22" s="768" t="str">
        <f>IF($W7=1,'abweichende Schweine'!O36,IF($X7=1,'abweichende Schweine'!O92,""))</f>
        <v/>
      </c>
      <c r="M22" s="766" t="str">
        <f>IF($W7=1,'abweichende Schweine'!P36,IF($X7=1,'abweichende Schweine'!P92,""))</f>
        <v/>
      </c>
      <c r="N22" s="766" t="str">
        <f>IF($W7=1,'abweichende Schweine'!W36,IF($X7=1,'abweichende Schweine'!W92,""))</f>
        <v/>
      </c>
      <c r="O22" s="766" t="str">
        <f>IF($W7=1,'abweichende Schweine'!X36,IF($X7=1,'abweichende Schweine'!X92,""))</f>
        <v/>
      </c>
      <c r="P22" s="769" t="str">
        <f>IF($W7=1,'abweichende Schweine'!Y36,IF($X7=1,'abweichende Schweine'!Y92,""))</f>
        <v/>
      </c>
      <c r="Q22" s="765" t="str">
        <f>IF($W7=1,'abweichende Schweine'!Q36,IF($X7=1,'abweichende Schweine'!Q92,""))</f>
        <v/>
      </c>
      <c r="R22" s="766" t="str">
        <f>IF($W7=1,'abweichende Schweine'!R36,IF($X7=1,'abweichende Schweine'!R92,""))</f>
        <v/>
      </c>
      <c r="S22" s="767" t="str">
        <f>IF($W7=1,'abweichende Schweine'!S36,IF($X7=1,'abweichende Schweine'!S92,""))</f>
        <v/>
      </c>
    </row>
    <row r="23" spans="1:24" ht="15.75" customHeight="1" x14ac:dyDescent="0.25">
      <c r="A23" s="712" t="str">
        <f t="shared" si="0"/>
        <v/>
      </c>
      <c r="B23" s="709" t="str">
        <f t="shared" si="1"/>
        <v>--</v>
      </c>
      <c r="C23" s="764" t="str">
        <f>IF($W8=1,'abweichende Schweine'!F48,IF($X8=1,'abweichende Schweine'!F101,""))</f>
        <v/>
      </c>
      <c r="D23" s="765" t="str">
        <f>IF($W8=1,'abweichende Schweine'!G48,IF($X8=1,'abweichende Schweine'!G101,""))</f>
        <v/>
      </c>
      <c r="E23" s="766" t="str">
        <f>IF($W8=1,'abweichende Schweine'!H48,IF($X8=1,'abweichende Schweine'!H101,""))</f>
        <v/>
      </c>
      <c r="F23" s="767" t="str">
        <f>IF($W8=1,'abweichende Schweine'!I48,IF($X8=1,'abweichende Schweine'!I101,""))</f>
        <v/>
      </c>
      <c r="G23" s="768" t="str">
        <f>IF($W8=1,'abweichende Schweine'!J48,IF($X8=1,'abweichende Schweine'!J101,""))</f>
        <v/>
      </c>
      <c r="H23" s="769" t="str">
        <f>IF($W8=1,'abweichende Schweine'!K48,IF($X8=1,'abweichende Schweine'!K101,""))</f>
        <v/>
      </c>
      <c r="I23" s="766" t="str">
        <f>IF($W8=1,'abweichende Schweine'!L48,IF($X8=1,'abweichende Schweine'!L101,""))</f>
        <v/>
      </c>
      <c r="J23" s="766" t="str">
        <f>IF($W8=1,'abweichende Schweine'!M48,IF($X8=1,'abweichende Schweine'!M101,""))</f>
        <v/>
      </c>
      <c r="K23" s="767" t="str">
        <f>IF($W8=1,'abweichende Schweine'!N48,IF($X8=1,'abweichende Schweine'!N101,""))</f>
        <v/>
      </c>
      <c r="L23" s="768" t="str">
        <f>IF($W8=1,'abweichende Schweine'!O48,IF($X8=1,'abweichende Schweine'!O101,""))</f>
        <v/>
      </c>
      <c r="M23" s="766" t="str">
        <f>IF($W8=1,'abweichende Schweine'!P48,IF($X8=1,'abweichende Schweine'!P101,""))</f>
        <v/>
      </c>
      <c r="N23" s="766" t="str">
        <f>IF($W8=1,'abweichende Schweine'!W48,IF($X8=1,'abweichende Schweine'!W101,""))</f>
        <v/>
      </c>
      <c r="O23" s="766" t="str">
        <f>IF($W8=1,'abweichende Schweine'!X48,IF($X8=1,'abweichende Schweine'!X101,""))</f>
        <v/>
      </c>
      <c r="P23" s="769" t="str">
        <f>IF($W8=1,'abweichende Schweine'!Y48,IF($X8=1,'abweichende Schweine'!Y101,""))</f>
        <v/>
      </c>
      <c r="Q23" s="765" t="str">
        <f>IF($W8=1,'abweichende Schweine'!Q48,IF($X8=1,'abweichende Schweine'!Q101,""))</f>
        <v/>
      </c>
      <c r="R23" s="766" t="str">
        <f>IF($W8=1,'abweichende Schweine'!R48,IF($X8=1,'abweichende Schweine'!R101,""))</f>
        <v/>
      </c>
      <c r="S23" s="767" t="str">
        <f>IF($W8=1,'abweichende Schweine'!S48,IF($X8=1,'abweichende Schweine'!S101,""))</f>
        <v/>
      </c>
    </row>
    <row r="24" spans="1:24" ht="15.75" customHeight="1" x14ac:dyDescent="0.25">
      <c r="A24" s="1073" t="str">
        <f t="shared" si="0"/>
        <v/>
      </c>
      <c r="B24" s="1029" t="str">
        <f t="shared" si="1"/>
        <v>--</v>
      </c>
      <c r="C24" s="1030" t="str">
        <f>IF($W9=1,'abweichende Schweine'!F60,IF($X9=1,'abweichende Schweine'!F110,""))</f>
        <v/>
      </c>
      <c r="D24" s="1031" t="str">
        <f>IF($W9=1,'abweichende Schweine'!G60,IF($X9=1,'abweichende Schweine'!G110,""))</f>
        <v/>
      </c>
      <c r="E24" s="1032" t="str">
        <f>IF($W9=1,'abweichende Schweine'!H60,IF($X9=1,'abweichende Schweine'!H110,""))</f>
        <v/>
      </c>
      <c r="F24" s="1033" t="str">
        <f>IF($W9=1,'abweichende Schweine'!I60,IF($X9=1,'abweichende Schweine'!I110,""))</f>
        <v/>
      </c>
      <c r="G24" s="1034" t="str">
        <f>IF($W9=1,'abweichende Schweine'!J60,IF($X9=1,'abweichende Schweine'!J110,""))</f>
        <v/>
      </c>
      <c r="H24" s="1035" t="str">
        <f>IF($W9=1,'abweichende Schweine'!K60,IF($X9=1,'abweichende Schweine'!K110,""))</f>
        <v/>
      </c>
      <c r="I24" s="1032" t="str">
        <f>IF($W9=1,'abweichende Schweine'!L60,IF($X9=1,'abweichende Schweine'!L110,""))</f>
        <v/>
      </c>
      <c r="J24" s="1032" t="str">
        <f>IF($W9=1,'abweichende Schweine'!M60,IF($X9=1,'abweichende Schweine'!M110,""))</f>
        <v/>
      </c>
      <c r="K24" s="1033" t="str">
        <f>IF($W9=1,'abweichende Schweine'!N60,IF($X9=1,'abweichende Schweine'!N110,""))</f>
        <v/>
      </c>
      <c r="L24" s="1034" t="str">
        <f>IF($W9=1,'abweichende Schweine'!O60,IF($X9=1,'abweichende Schweine'!O110,""))</f>
        <v/>
      </c>
      <c r="M24" s="1032" t="str">
        <f>IF($W9=1,'abweichende Schweine'!P60,IF($X9=1,'abweichende Schweine'!P110,""))</f>
        <v/>
      </c>
      <c r="N24" s="1032" t="str">
        <f>IF($W9=1,'abweichende Schweine'!W60,IF($X9=1,'abweichende Schweine'!W110,""))</f>
        <v/>
      </c>
      <c r="O24" s="1032" t="str">
        <f>IF($W9=1,'abweichende Schweine'!X60,IF($X9=1,'abweichende Schweine'!X110,""))</f>
        <v/>
      </c>
      <c r="P24" s="1035" t="str">
        <f>IF($W9=1,'abweichende Schweine'!Y60,IF($X9=1,'abweichende Schweine'!Y110,""))</f>
        <v/>
      </c>
      <c r="Q24" s="1031" t="str">
        <f>IF($W9=1,'abweichende Schweine'!Q60,IF($X9=1,'abweichende Schweine'!Q110,""))</f>
        <v/>
      </c>
      <c r="R24" s="1032" t="str">
        <f>IF($W9=1,'abweichende Schweine'!R60,IF($X9=1,'abweichende Schweine'!R110,""))</f>
        <v/>
      </c>
      <c r="S24" s="1033" t="str">
        <f>IF($W9=1,'abweichende Schweine'!S60,IF($X9=1,'abweichende Schweine'!S110,""))</f>
        <v/>
      </c>
    </row>
    <row r="25" spans="1:24" ht="15.75" customHeight="1" x14ac:dyDescent="0.25">
      <c r="A25" s="712" t="s">
        <v>7656</v>
      </c>
      <c r="B25" s="709" t="str">
        <f>IF(W11=1,CONCATENATE(A11,"-",B11),"--")</f>
        <v>--</v>
      </c>
      <c r="C25" s="757" t="str">
        <f>IF($W11=1,'abweichende Schweine'!F127,"")</f>
        <v/>
      </c>
      <c r="D25" s="1027" t="str">
        <f>IF($W11=1,'abweichende Schweine'!G127,"")</f>
        <v/>
      </c>
      <c r="E25" s="763" t="str">
        <f>IF($W11=1,'abweichende Schweine'!H127,"")</f>
        <v/>
      </c>
      <c r="F25" s="1028" t="str">
        <f>IF($W11=1,'abweichende Schweine'!I127,"")</f>
        <v/>
      </c>
      <c r="G25" s="761" t="str">
        <f>IF($W11=1,'abweichende Schweine'!J127,"")</f>
        <v/>
      </c>
      <c r="H25" s="762" t="str">
        <f>IF($W11=1,'abweichende Schweine'!K127,"")</f>
        <v/>
      </c>
      <c r="I25" s="763" t="str">
        <f>IF($W11=1,'abweichende Schweine'!L127,"")</f>
        <v/>
      </c>
      <c r="J25" s="763" t="str">
        <f>IF($W11=1,'abweichende Schweine'!M127,"")</f>
        <v/>
      </c>
      <c r="K25" s="1028" t="str">
        <f>IF($W11=1,'abweichende Schweine'!N127,"")</f>
        <v/>
      </c>
      <c r="L25" s="761" t="str">
        <f>IF($W11=1,'abweichende Schweine'!O127,"")</f>
        <v/>
      </c>
      <c r="M25" s="763" t="str">
        <f>IF($W11=1,'abweichende Schweine'!P127,"")</f>
        <v/>
      </c>
      <c r="N25" s="763" t="str">
        <f>IF($W11=1,'abweichende Schweine'!W127,"")</f>
        <v/>
      </c>
      <c r="O25" s="763" t="str">
        <f>IF($W11=1,'abweichende Schweine'!X127,"")</f>
        <v/>
      </c>
      <c r="P25" s="762" t="str">
        <f>IF($W11=1,'abweichende Schweine'!Y127,"")</f>
        <v/>
      </c>
      <c r="Q25" s="1027" t="str">
        <f>IF($W11=1,'abweichende Schweine'!Q127,"")</f>
        <v/>
      </c>
      <c r="R25" s="763" t="str">
        <f>IF($W11=1,'abweichende Schweine'!R127,"")</f>
        <v/>
      </c>
      <c r="S25" s="1028" t="str">
        <f>IF($W11=1,'abweichende Schweine'!S127,"")</f>
        <v/>
      </c>
    </row>
    <row r="26" spans="1:24" ht="15.75" customHeight="1" thickBot="1" x14ac:dyDescent="0.3">
      <c r="A26" s="713" t="s">
        <v>7656</v>
      </c>
      <c r="B26" s="710" t="str">
        <f>IF(W12=1,CONCATENATE(A12,"-",B12),"--")</f>
        <v>--</v>
      </c>
      <c r="C26" s="764" t="str">
        <f>IF($W12=1,'abweichende Schweine'!F145,"")</f>
        <v/>
      </c>
      <c r="D26" s="765" t="str">
        <f>IF($W12=1,'abweichende Schweine'!G145,"")</f>
        <v/>
      </c>
      <c r="E26" s="766" t="str">
        <f>IF($W12=1,'abweichende Schweine'!H145,"")</f>
        <v/>
      </c>
      <c r="F26" s="767" t="str">
        <f>IF($W12=1,'abweichende Schweine'!I145,"")</f>
        <v/>
      </c>
      <c r="G26" s="768" t="str">
        <f>IF($W12=1,'abweichende Schweine'!J145,"")</f>
        <v/>
      </c>
      <c r="H26" s="769" t="str">
        <f>IF($W12=1,'abweichende Schweine'!K145,"")</f>
        <v/>
      </c>
      <c r="I26" s="766" t="str">
        <f>IF($W12=1,'abweichende Schweine'!L145,"")</f>
        <v/>
      </c>
      <c r="J26" s="766" t="str">
        <f>IF($W12=1,'abweichende Schweine'!M145,"")</f>
        <v/>
      </c>
      <c r="K26" s="767" t="str">
        <f>IF($W12=1,'abweichende Schweine'!N145,"")</f>
        <v/>
      </c>
      <c r="L26" s="768" t="str">
        <f>IF($W12=1,'abweichende Schweine'!O145,"")</f>
        <v/>
      </c>
      <c r="M26" s="766" t="str">
        <f>IF($W12=1,'abweichende Schweine'!P145,"")</f>
        <v/>
      </c>
      <c r="N26" s="766" t="str">
        <f>IF($W12=1,'abweichende Schweine'!W145,"")</f>
        <v/>
      </c>
      <c r="O26" s="766" t="str">
        <f>IF($W12=1,'abweichende Schweine'!X145,"")</f>
        <v/>
      </c>
      <c r="P26" s="769" t="str">
        <f>IF($W12=1,'abweichende Schweine'!Y145,"")</f>
        <v/>
      </c>
      <c r="Q26" s="765" t="str">
        <f>IF($W12=1,'abweichende Schweine'!Q145,"")</f>
        <v/>
      </c>
      <c r="R26" s="766" t="str">
        <f>IF($W12=1,'abweichende Schweine'!R145,"")</f>
        <v/>
      </c>
      <c r="S26" s="767" t="str">
        <f>IF($W12=1,'abweichende Schweine'!S145,"")</f>
        <v/>
      </c>
      <c r="U26" s="360"/>
      <c r="V26" s="356" t="s">
        <v>7752</v>
      </c>
    </row>
    <row r="27" spans="1:24" ht="15.75" customHeight="1" x14ac:dyDescent="0.25">
      <c r="A27" s="123"/>
      <c r="B27" s="681"/>
      <c r="C27" s="682"/>
      <c r="D27" s="683"/>
      <c r="E27" s="683"/>
      <c r="F27" s="684"/>
      <c r="G27" s="685"/>
      <c r="H27" s="688"/>
      <c r="I27" s="750"/>
      <c r="J27" s="687"/>
      <c r="K27" s="688"/>
      <c r="L27" s="685"/>
      <c r="M27" s="687"/>
      <c r="N27" s="687"/>
      <c r="O27" s="687"/>
      <c r="P27" s="686"/>
      <c r="Q27" s="685"/>
      <c r="R27" s="687"/>
      <c r="S27" s="686"/>
      <c r="U27" s="356">
        <v>1</v>
      </c>
      <c r="V27" s="356">
        <f>IF(U27=1,1,U27-1)</f>
        <v>1</v>
      </c>
      <c r="W27" s="356" t="str">
        <f>INDEX(Tiere!$E$117:$E$121,U27)</f>
        <v xml:space="preserve"> --</v>
      </c>
      <c r="X27" s="356" t="str">
        <f>+CONCATENATE(W27," - ",+B27)</f>
        <v xml:space="preserve"> -- - </v>
      </c>
    </row>
    <row r="28" spans="1:24" ht="15.75" customHeight="1" x14ac:dyDescent="0.25">
      <c r="A28" s="115"/>
      <c r="B28" s="771"/>
      <c r="C28" s="689"/>
      <c r="D28" s="690"/>
      <c r="E28" s="690"/>
      <c r="F28" s="691"/>
      <c r="G28" s="692"/>
      <c r="H28" s="748"/>
      <c r="I28" s="751"/>
      <c r="J28" s="693"/>
      <c r="K28" s="694"/>
      <c r="L28" s="692"/>
      <c r="M28" s="693"/>
      <c r="N28" s="693"/>
      <c r="O28" s="693"/>
      <c r="P28" s="695"/>
      <c r="Q28" s="692"/>
      <c r="R28" s="693"/>
      <c r="S28" s="695"/>
      <c r="U28" s="356">
        <v>1</v>
      </c>
      <c r="V28" s="356">
        <f t="shared" ref="V28:V29" si="2">IF(U28=1,1,U28-1)</f>
        <v>1</v>
      </c>
      <c r="W28" s="356" t="str">
        <f>INDEX(Tiere!$E$117:$E$121,U28)</f>
        <v xml:space="preserve"> --</v>
      </c>
      <c r="X28" s="356" t="str">
        <f>+CONCATENATE(W28," - ",+B28)</f>
        <v xml:space="preserve"> -- - </v>
      </c>
    </row>
    <row r="29" spans="1:24" ht="15.75" customHeight="1" thickBot="1" x14ac:dyDescent="0.3">
      <c r="A29" s="114"/>
      <c r="B29" s="696"/>
      <c r="C29" s="697"/>
      <c r="D29" s="698"/>
      <c r="E29" s="698"/>
      <c r="F29" s="699"/>
      <c r="G29" s="700"/>
      <c r="H29" s="703"/>
      <c r="I29" s="752"/>
      <c r="J29" s="702"/>
      <c r="K29" s="703"/>
      <c r="L29" s="700"/>
      <c r="M29" s="702"/>
      <c r="N29" s="702"/>
      <c r="O29" s="702"/>
      <c r="P29" s="701"/>
      <c r="Q29" s="700"/>
      <c r="R29" s="702"/>
      <c r="S29" s="701"/>
      <c r="U29" s="356">
        <v>1</v>
      </c>
      <c r="V29" s="356">
        <f t="shared" si="2"/>
        <v>1</v>
      </c>
      <c r="W29" s="356" t="str">
        <f>INDEX(Tiere!$E$117:$E$121,U29)</f>
        <v xml:space="preserve"> --</v>
      </c>
      <c r="X29" s="356" t="str">
        <f>+CONCATENATE(W29," - ",+B29)</f>
        <v xml:space="preserve"> -- - </v>
      </c>
    </row>
    <row r="30" spans="1:24" ht="15.75" customHeight="1" x14ac:dyDescent="0.25">
      <c r="A30" s="658" t="s">
        <v>561</v>
      </c>
      <c r="S30" s="357"/>
    </row>
    <row r="31" spans="1:24" ht="15.75" customHeight="1" x14ac:dyDescent="0.25">
      <c r="A31" s="391" t="s">
        <v>7753</v>
      </c>
      <c r="S31" s="357"/>
    </row>
    <row r="32" spans="1:24" ht="6.75" customHeight="1" x14ac:dyDescent="0.25">
      <c r="A32" s="391"/>
    </row>
    <row r="33" spans="1:25" ht="15.75" customHeight="1" x14ac:dyDescent="0.25">
      <c r="A33" s="819"/>
      <c r="B33" s="819"/>
      <c r="C33" s="819"/>
      <c r="D33" s="819"/>
      <c r="E33" s="819"/>
      <c r="F33" s="819"/>
      <c r="G33" s="819"/>
      <c r="H33" s="819"/>
      <c r="I33" s="819"/>
      <c r="J33" s="819"/>
    </row>
    <row r="35" spans="1:25" ht="15.75" customHeight="1" thickBot="1" x14ac:dyDescent="0.3">
      <c r="A35" s="1045" t="s">
        <v>7923</v>
      </c>
      <c r="B35" s="391"/>
      <c r="C35" s="391"/>
      <c r="D35" s="820"/>
      <c r="E35" s="820"/>
      <c r="F35" s="820"/>
      <c r="G35" s="391"/>
      <c r="H35" s="391"/>
      <c r="I35" s="391"/>
      <c r="J35" s="391"/>
      <c r="K35" s="391"/>
      <c r="L35" s="820"/>
      <c r="M35" s="820"/>
      <c r="N35" s="820"/>
      <c r="O35" s="820"/>
      <c r="P35" s="820"/>
      <c r="Q35" s="391"/>
      <c r="R35" s="391"/>
      <c r="S35" s="391"/>
    </row>
    <row r="36" spans="1:25" ht="15.75" customHeight="1" x14ac:dyDescent="0.25">
      <c r="A36" s="1571" t="s">
        <v>251</v>
      </c>
      <c r="B36" s="1574" t="s">
        <v>254</v>
      </c>
      <c r="C36" s="1591" t="s">
        <v>7915</v>
      </c>
      <c r="D36" s="1592"/>
      <c r="E36" s="1592"/>
      <c r="F36" s="1593"/>
      <c r="G36" s="1601" t="s">
        <v>7930</v>
      </c>
      <c r="H36" s="1606" t="s">
        <v>7812</v>
      </c>
      <c r="I36" s="1606"/>
      <c r="J36" s="1606"/>
      <c r="K36" s="1606"/>
      <c r="L36" s="1606"/>
      <c r="M36" s="1606"/>
      <c r="N36" s="1606"/>
      <c r="O36" s="1606"/>
      <c r="P36" s="1606"/>
      <c r="Q36" s="1606"/>
      <c r="R36" s="1606"/>
      <c r="S36" s="1607"/>
    </row>
    <row r="37" spans="1:25" ht="15.75" customHeight="1" x14ac:dyDescent="0.25">
      <c r="A37" s="1572"/>
      <c r="B37" s="1575"/>
      <c r="C37" s="1594"/>
      <c r="D37" s="1595"/>
      <c r="E37" s="1595"/>
      <c r="F37" s="1596"/>
      <c r="G37" s="1602"/>
      <c r="H37" s="1577" t="s">
        <v>7815</v>
      </c>
      <c r="I37" s="1577"/>
      <c r="J37" s="1578" t="s">
        <v>7800</v>
      </c>
      <c r="K37" s="1579"/>
      <c r="L37" s="1578" t="s">
        <v>7801</v>
      </c>
      <c r="M37" s="1580"/>
      <c r="N37" s="1577" t="s">
        <v>7815</v>
      </c>
      <c r="O37" s="1577"/>
      <c r="P37" s="1578" t="s">
        <v>7800</v>
      </c>
      <c r="Q37" s="1577"/>
      <c r="R37" s="1578" t="s">
        <v>7801</v>
      </c>
      <c r="S37" s="1580"/>
    </row>
    <row r="38" spans="1:25" ht="15.75" customHeight="1" thickBot="1" x14ac:dyDescent="0.4">
      <c r="A38" s="1573"/>
      <c r="B38" s="1576"/>
      <c r="C38" s="1597" t="s">
        <v>7916</v>
      </c>
      <c r="D38" s="1598"/>
      <c r="E38" s="1599" t="s">
        <v>7943</v>
      </c>
      <c r="F38" s="1600"/>
      <c r="G38" s="1603"/>
      <c r="H38" s="821" t="s">
        <v>4</v>
      </c>
      <c r="I38" s="825" t="s">
        <v>7813</v>
      </c>
      <c r="J38" s="824" t="s">
        <v>4</v>
      </c>
      <c r="K38" s="825" t="s">
        <v>7813</v>
      </c>
      <c r="L38" s="824" t="s">
        <v>4</v>
      </c>
      <c r="M38" s="826" t="s">
        <v>7813</v>
      </c>
      <c r="N38" s="822" t="s">
        <v>231</v>
      </c>
      <c r="O38" s="827" t="s">
        <v>526</v>
      </c>
      <c r="P38" s="823" t="s">
        <v>231</v>
      </c>
      <c r="Q38" s="827" t="s">
        <v>526</v>
      </c>
      <c r="R38" s="823" t="s">
        <v>231</v>
      </c>
      <c r="S38" s="828" t="s">
        <v>526</v>
      </c>
    </row>
    <row r="39" spans="1:25" ht="15.75" customHeight="1" x14ac:dyDescent="0.25">
      <c r="A39" s="1070" t="str">
        <f>IF(W5+X5=1,C5,"")</f>
        <v/>
      </c>
      <c r="B39" s="1050" t="str">
        <f>IF(W5+X5=1,CONCATENATE(A5,"-",B5),"--")</f>
        <v>--</v>
      </c>
      <c r="C39" s="1608" t="str">
        <f>IF($W5=1,'abweichende Schweine'!AG12,IF($X5=1,'abweichende Schweine'!AG74,""))</f>
        <v/>
      </c>
      <c r="D39" s="1609"/>
      <c r="E39" s="1614" t="str">
        <f>IF($W5=1,'abweichende Schweine'!AH12,IF($X5=1,'abweichende Schweine'!AH74,""))</f>
        <v/>
      </c>
      <c r="F39" s="1615"/>
      <c r="G39" s="1051" t="str">
        <f>IF($W5=1,'abweichende Schweine'!AI12,IF($X5=1,'abweichende Schweine'!AI74,""))</f>
        <v/>
      </c>
      <c r="H39" s="1051" t="str">
        <f>IF($W5=1,'abweichende Schweine'!Z12,IF($X5=1,'abweichende Schweine'!Z74,""))</f>
        <v/>
      </c>
      <c r="I39" s="1052" t="str">
        <f>IF($W5=1,'abweichende Schweine'!AA12,IF($X5=1,'abweichende Schweine'!AA74,""))</f>
        <v/>
      </c>
      <c r="J39" s="1053" t="str">
        <f>IF($W5=1,'abweichende Schweine'!AB12,IF($X5=1,'abweichende Schweine'!AB74,""))</f>
        <v/>
      </c>
      <c r="K39" s="1052" t="str">
        <f>IF($W5=1,'abweichende Schweine'!AC12,IF($X5=1,'abweichende Schweine'!AC74,""))</f>
        <v/>
      </c>
      <c r="L39" s="1053" t="str">
        <f>IF($W5=1,'abweichende Schweine'!AD12,IF($X5=1,'abweichende Schweine'!AD74,""))</f>
        <v/>
      </c>
      <c r="M39" s="1054" t="str">
        <f>IF($W5=1,'abweichende Schweine'!AE12,IF($X5=1,'abweichende Schweine'!AE74,""))</f>
        <v/>
      </c>
      <c r="N39" s="1051" t="str">
        <f>IF($W5=1,'abweichende Schweine'!AJ12,IF($X5=1,'abweichende Schweine'!AJ74,""))</f>
        <v/>
      </c>
      <c r="O39" s="1055" t="str">
        <f>IF($W5=1,'abweichende Schweine'!AK12,IF($X5=1,'abweichende Schweine'!AK74,""))</f>
        <v/>
      </c>
      <c r="P39" s="1053" t="str">
        <f>IF($W5=1,'abweichende Schweine'!AL12,IF($X5=1,'abweichende Schweine'!AL74,""))</f>
        <v/>
      </c>
      <c r="Q39" s="1055" t="str">
        <f>IF($W5=1,'abweichende Schweine'!AM12,IF($X5=1,'abweichende Schweine'!AM74,""))</f>
        <v/>
      </c>
      <c r="R39" s="1053" t="str">
        <f>IF($W5=1,'abweichende Schweine'!AN12,IF($X5=1,'abweichende Schweine'!AN74,""))</f>
        <v/>
      </c>
      <c r="S39" s="1054" t="str">
        <f>IF($W5=1,'abweichende Schweine'!AO12,IF($X5=1,'abweichende Schweine'!AO74,""))</f>
        <v/>
      </c>
      <c r="V39" s="829" t="str">
        <f>IF($W5=1,'abweichende Schweine'!BB12,IF($X5=1,'abweichende Schweine'!BB74,""))</f>
        <v/>
      </c>
      <c r="W39" s="830"/>
      <c r="X39" s="830"/>
      <c r="Y39" s="831"/>
    </row>
    <row r="40" spans="1:25" ht="15.75" customHeight="1" x14ac:dyDescent="0.25">
      <c r="A40" s="1071" t="str">
        <f t="shared" ref="A40:A43" si="3">IF(W6+X6=1,C6,"")</f>
        <v/>
      </c>
      <c r="B40" s="1056" t="str">
        <f t="shared" ref="B40:B43" si="4">IF(W6+X6=1,CONCATENATE(A6,"-",B6),"--")</f>
        <v>--</v>
      </c>
      <c r="C40" s="1610" t="str">
        <f>IF($W6=1,'abweichende Schweine'!AG24,IF($X6=1,'abweichende Schweine'!AG83,""))</f>
        <v/>
      </c>
      <c r="D40" s="1611"/>
      <c r="E40" s="1616" t="str">
        <f>IF($W6=1,'abweichende Schweine'!AH24,IF($X6=1,'abweichende Schweine'!AH83,""))</f>
        <v/>
      </c>
      <c r="F40" s="1617"/>
      <c r="G40" s="1057" t="str">
        <f>IF($W6=1,'abweichende Schweine'!AI24,IF($X6=1,'abweichende Schweine'!AI83,""))</f>
        <v/>
      </c>
      <c r="H40" s="1057" t="str">
        <f>IF($W6=1,'abweichende Schweine'!Z24,IF($X6=1,'abweichende Schweine'!Z83,""))</f>
        <v/>
      </c>
      <c r="I40" s="1058" t="str">
        <f>IF($W6=1,'abweichende Schweine'!AA24,IF($X6=1,'abweichende Schweine'!AA83,""))</f>
        <v/>
      </c>
      <c r="J40" s="1059" t="str">
        <f>IF($W6=1,'abweichende Schweine'!AB24,IF($X6=1,'abweichende Schweine'!AB83,""))</f>
        <v/>
      </c>
      <c r="K40" s="1058" t="str">
        <f>IF($W6=1,'abweichende Schweine'!AC24,IF($X6=1,'abweichende Schweine'!AC83,""))</f>
        <v/>
      </c>
      <c r="L40" s="1059" t="str">
        <f>IF($W6=1,'abweichende Schweine'!AD24,IF($X6=1,'abweichende Schweine'!AD83,""))</f>
        <v/>
      </c>
      <c r="M40" s="1060" t="str">
        <f>IF($W6=1,'abweichende Schweine'!AE24,IF($X6=1,'abweichende Schweine'!AE83,""))</f>
        <v/>
      </c>
      <c r="N40" s="1061" t="str">
        <f>IF($W6=1,'abweichende Schweine'!AJ24,IF($X6=1,'abweichende Schweine'!AJ83,""))</f>
        <v/>
      </c>
      <c r="O40" s="1062" t="str">
        <f>IF($W6=1,'abweichende Schweine'!AK24,IF($X6=1,'abweichende Schweine'!AK83,""))</f>
        <v/>
      </c>
      <c r="P40" s="1059" t="str">
        <f>IF($W6=1,'abweichende Schweine'!AL24,IF($X6=1,'abweichende Schweine'!AL83,""))</f>
        <v/>
      </c>
      <c r="Q40" s="1062" t="str">
        <f>IF($W6=1,'abweichende Schweine'!AM24,IF($X6=1,'abweichende Schweine'!AM83,""))</f>
        <v/>
      </c>
      <c r="R40" s="1059" t="str">
        <f>IF($W6=1,'abweichende Schweine'!AN24,IF($X6=1,'abweichende Schweine'!AN83,""))</f>
        <v/>
      </c>
      <c r="S40" s="1063" t="str">
        <f>IF($W6=1,'abweichende Schweine'!AO24,IF($X6=1,'abweichende Schweine'!AO83,""))</f>
        <v/>
      </c>
      <c r="V40" s="829" t="str">
        <f>IF($W6=1,'abweichende Schweine'!BB24,IF($X6=1,'abweichende Schweine'!BB83,""))</f>
        <v/>
      </c>
      <c r="W40" s="830"/>
      <c r="X40" s="830"/>
      <c r="Y40" s="831"/>
    </row>
    <row r="41" spans="1:25" ht="15.75" customHeight="1" x14ac:dyDescent="0.25">
      <c r="A41" s="1071" t="str">
        <f t="shared" si="3"/>
        <v/>
      </c>
      <c r="B41" s="1056" t="str">
        <f t="shared" si="4"/>
        <v>--</v>
      </c>
      <c r="C41" s="1610" t="str">
        <f>IF($W7=1,'abweichende Schweine'!AG36,IF($X7=1,'abweichende Schweine'!AG92,""))</f>
        <v/>
      </c>
      <c r="D41" s="1611"/>
      <c r="E41" s="1616" t="str">
        <f>IF($W7=1,'abweichende Schweine'!AH36,IF($X7=1,'abweichende Schweine'!AH92,""))</f>
        <v/>
      </c>
      <c r="F41" s="1617"/>
      <c r="G41" s="1057" t="str">
        <f>IF($W7=1,'abweichende Schweine'!AI36,IF($X7=1,'abweichende Schweine'!AI92,""))</f>
        <v/>
      </c>
      <c r="H41" s="1057" t="str">
        <f>IF($W7=1,'abweichende Schweine'!Z36,IF($X7=1,'abweichende Schweine'!Z92,""))</f>
        <v/>
      </c>
      <c r="I41" s="1058" t="str">
        <f>IF($W7=1,'abweichende Schweine'!AA36,IF($X7=1,'abweichende Schweine'!AA92,""))</f>
        <v/>
      </c>
      <c r="J41" s="1059" t="str">
        <f>IF($W7=1,'abweichende Schweine'!AB36,IF($X7=1,'abweichende Schweine'!AB92,""))</f>
        <v/>
      </c>
      <c r="K41" s="1058" t="str">
        <f>IF($W7=1,'abweichende Schweine'!AC36,IF($X7=1,'abweichende Schweine'!AC92,""))</f>
        <v/>
      </c>
      <c r="L41" s="1059" t="str">
        <f>IF($W7=1,'abweichende Schweine'!AD36,IF($X7=1,'abweichende Schweine'!AD92,""))</f>
        <v/>
      </c>
      <c r="M41" s="1060" t="str">
        <f>IF($W7=1,'abweichende Schweine'!AE36,IF($X7=1,'abweichende Schweine'!AE92,""))</f>
        <v/>
      </c>
      <c r="N41" s="1061" t="str">
        <f>IF($W7=1,'abweichende Schweine'!AJ36,IF($X7=1,'abweichende Schweine'!AJ92,""))</f>
        <v/>
      </c>
      <c r="O41" s="1062" t="str">
        <f>IF($W7=1,'abweichende Schweine'!AK36,IF($X7=1,'abweichende Schweine'!AK92,""))</f>
        <v/>
      </c>
      <c r="P41" s="1059" t="str">
        <f>IF($W7=1,'abweichende Schweine'!AL36,IF($X7=1,'abweichende Schweine'!AL92,""))</f>
        <v/>
      </c>
      <c r="Q41" s="1062" t="str">
        <f>IF($W7=1,'abweichende Schweine'!AM36,IF($X7=1,'abweichende Schweine'!AM92,""))</f>
        <v/>
      </c>
      <c r="R41" s="1059" t="str">
        <f>IF($W7=1,'abweichende Schweine'!AN36,IF($X7=1,'abweichende Schweine'!AN92,""))</f>
        <v/>
      </c>
      <c r="S41" s="1063" t="str">
        <f>IF($W7=1,'abweichende Schweine'!AO36,IF($X7=1,'abweichende Schweine'!AO92,""))</f>
        <v/>
      </c>
      <c r="V41" s="829" t="str">
        <f>IF($W7=1,'abweichende Schweine'!BB36,IF($X7=1,'abweichende Schweine'!BB92,""))</f>
        <v/>
      </c>
      <c r="W41" s="830"/>
      <c r="X41" s="830"/>
      <c r="Y41" s="831"/>
    </row>
    <row r="42" spans="1:25" ht="15.75" customHeight="1" x14ac:dyDescent="0.25">
      <c r="A42" s="1071" t="str">
        <f t="shared" si="3"/>
        <v/>
      </c>
      <c r="B42" s="1056" t="str">
        <f t="shared" si="4"/>
        <v>--</v>
      </c>
      <c r="C42" s="1610" t="str">
        <f>IF($W8=1,'abweichende Schweine'!AG48,IF($X8=1,'abweichende Schweine'!AG101,""))</f>
        <v/>
      </c>
      <c r="D42" s="1611"/>
      <c r="E42" s="1616" t="str">
        <f>IF($W8=1,'abweichende Schweine'!AH48,IF($X8=1,'abweichende Schweine'!AH101,""))</f>
        <v/>
      </c>
      <c r="F42" s="1617"/>
      <c r="G42" s="1057" t="str">
        <f>IF($W8=1,'abweichende Schweine'!AI48,IF($X8=1,'abweichende Schweine'!AI101,""))</f>
        <v/>
      </c>
      <c r="H42" s="1057" t="str">
        <f>IF($W8=1,'abweichende Schweine'!Z48,IF($X8=1,'abweichende Schweine'!Z101,""))</f>
        <v/>
      </c>
      <c r="I42" s="1058" t="str">
        <f>IF($W8=1,'abweichende Schweine'!AA48,IF($X8=1,'abweichende Schweine'!AA101,""))</f>
        <v/>
      </c>
      <c r="J42" s="1059" t="str">
        <f>IF($W8=1,'abweichende Schweine'!AB48,IF($X8=1,'abweichende Schweine'!AB101,""))</f>
        <v/>
      </c>
      <c r="K42" s="1058" t="str">
        <f>IF($W8=1,'abweichende Schweine'!AC48,IF($X8=1,'abweichende Schweine'!AC101,""))</f>
        <v/>
      </c>
      <c r="L42" s="1059" t="str">
        <f>IF($W8=1,'abweichende Schweine'!AD48,IF($X8=1,'abweichende Schweine'!AD101,""))</f>
        <v/>
      </c>
      <c r="M42" s="1060" t="str">
        <f>IF($W8=1,'abweichende Schweine'!AE48,IF($X8=1,'abweichende Schweine'!AE101,""))</f>
        <v/>
      </c>
      <c r="N42" s="1061" t="str">
        <f>IF($W8=1,'abweichende Schweine'!AJ48,IF($X8=1,'abweichende Schweine'!AJ101,""))</f>
        <v/>
      </c>
      <c r="O42" s="1062" t="str">
        <f>IF($W8=1,'abweichende Schweine'!AK48,IF($X8=1,'abweichende Schweine'!AK101,""))</f>
        <v/>
      </c>
      <c r="P42" s="1059" t="str">
        <f>IF($W8=1,'abweichende Schweine'!AL48,IF($X8=1,'abweichende Schweine'!AL101,""))</f>
        <v/>
      </c>
      <c r="Q42" s="1062" t="str">
        <f>IF($W8=1,'abweichende Schweine'!AM48,IF($X8=1,'abweichende Schweine'!AM101,""))</f>
        <v/>
      </c>
      <c r="R42" s="1059" t="str">
        <f>IF($W8=1,'abweichende Schweine'!AN48,IF($X8=1,'abweichende Schweine'!AN101,""))</f>
        <v/>
      </c>
      <c r="S42" s="1063" t="str">
        <f>IF($W8=1,'abweichende Schweine'!AO48,IF($X8=1,'abweichende Schweine'!AO101,""))</f>
        <v/>
      </c>
      <c r="V42" s="829" t="str">
        <f>IF($W8=1,'abweichende Schweine'!BB48,IF($X8=1,'abweichende Schweine'!BB101,""))</f>
        <v/>
      </c>
      <c r="W42" s="830"/>
      <c r="X42" s="830"/>
      <c r="Y42" s="831"/>
    </row>
    <row r="43" spans="1:25" ht="15.75" customHeight="1" thickBot="1" x14ac:dyDescent="0.3">
      <c r="A43" s="1072" t="str">
        <f t="shared" si="3"/>
        <v/>
      </c>
      <c r="B43" s="1064" t="str">
        <f t="shared" si="4"/>
        <v>--</v>
      </c>
      <c r="C43" s="1612" t="str">
        <f>IF($W9=1,'abweichende Schweine'!AG60,IF($X9=1,'abweichende Schweine'!AG110,""))</f>
        <v/>
      </c>
      <c r="D43" s="1613"/>
      <c r="E43" s="1618" t="str">
        <f>IF($W9=1,'abweichende Schweine'!AH60,IF($X9=1,'abweichende Schweine'!AH110,""))</f>
        <v/>
      </c>
      <c r="F43" s="1619"/>
      <c r="G43" s="1065" t="str">
        <f>IF($W9=1,'abweichende Schweine'!AI60,IF($X9=1,'abweichende Schweine'!AI110,""))</f>
        <v/>
      </c>
      <c r="H43" s="1065" t="str">
        <f>IF($W9=1,'abweichende Schweine'!Z60,IF($X9=1,'abweichende Schweine'!Z110,""))</f>
        <v/>
      </c>
      <c r="I43" s="1066" t="str">
        <f>IF($W9=1,'abweichende Schweine'!AA60,IF($X9=1,'abweichende Schweine'!AA110,""))</f>
        <v/>
      </c>
      <c r="J43" s="1067" t="str">
        <f>IF($W9=1,'abweichende Schweine'!AB60,IF($X9=1,'abweichende Schweine'!AB110,""))</f>
        <v/>
      </c>
      <c r="K43" s="1066" t="str">
        <f>IF($W9=1,'abweichende Schweine'!AC60,IF($X9=1,'abweichende Schweine'!AC110,""))</f>
        <v/>
      </c>
      <c r="L43" s="1067" t="str">
        <f>IF($W9=1,'abweichende Schweine'!AD60,IF($X9=1,'abweichende Schweine'!AD110,""))</f>
        <v/>
      </c>
      <c r="M43" s="1068" t="str">
        <f>IF($W9=1,'abweichende Schweine'!AE60,IF($X9=1,'abweichende Schweine'!AE110,""))</f>
        <v/>
      </c>
      <c r="N43" s="1065" t="str">
        <f>IF($W9=1,'abweichende Schweine'!AJ60,IF($X9=1,'abweichende Schweine'!AJ110,""))</f>
        <v/>
      </c>
      <c r="O43" s="1069" t="str">
        <f>IF($W9=1,'abweichende Schweine'!AK60,IF($X9=1,'abweichende Schweine'!AK110,""))</f>
        <v/>
      </c>
      <c r="P43" s="1067" t="str">
        <f>IF($W9=1,'abweichende Schweine'!AL60,IF($X9=1,'abweichende Schweine'!AL110,""))</f>
        <v/>
      </c>
      <c r="Q43" s="1069" t="str">
        <f>IF($W9=1,'abweichende Schweine'!AM60,IF($X9=1,'abweichende Schweine'!AM110,""))</f>
        <v/>
      </c>
      <c r="R43" s="1067" t="str">
        <f>IF($W9=1,'abweichende Schweine'!AN60,IF($X9=1,'abweichende Schweine'!AN110,""))</f>
        <v/>
      </c>
      <c r="S43" s="1068" t="str">
        <f>IF($W9=1,'abweichende Schweine'!AO60,IF($X9=1,'abweichende Schweine'!AO110,""))</f>
        <v/>
      </c>
      <c r="V43" s="832" t="str">
        <f>IF($W9=1,'abweichende Schweine'!BB60,IF($X9=1,'abweichende Schweine'!BB110,""))</f>
        <v/>
      </c>
      <c r="W43" s="833"/>
      <c r="X43" s="833"/>
      <c r="Y43" s="834"/>
    </row>
    <row r="44" spans="1:25" ht="15.75" customHeight="1" x14ac:dyDescent="0.25">
      <c r="A44" s="391" t="s">
        <v>7814</v>
      </c>
      <c r="B44" s="391"/>
      <c r="C44" s="391"/>
      <c r="D44" s="820"/>
      <c r="E44" s="820"/>
      <c r="F44" s="820"/>
      <c r="G44" s="391"/>
      <c r="H44" s="391"/>
      <c r="I44" s="391"/>
      <c r="J44" s="391"/>
      <c r="K44" s="391"/>
      <c r="L44" s="820"/>
      <c r="M44" s="820"/>
      <c r="N44" s="820"/>
      <c r="O44" s="820"/>
      <c r="P44" s="820"/>
      <c r="Q44" s="391"/>
      <c r="R44" s="391"/>
      <c r="S44" s="391"/>
    </row>
    <row r="45" spans="1:25" ht="15.75" customHeight="1" x14ac:dyDescent="0.25">
      <c r="A45" s="391" t="s">
        <v>7944</v>
      </c>
      <c r="B45" s="391"/>
      <c r="C45" s="391"/>
      <c r="D45" s="820"/>
      <c r="E45" s="820"/>
      <c r="F45" s="820"/>
      <c r="G45" s="391"/>
      <c r="H45" s="391"/>
      <c r="I45" s="391"/>
      <c r="J45" s="391"/>
      <c r="K45" s="391"/>
      <c r="L45" s="820"/>
      <c r="M45" s="820"/>
      <c r="N45" s="820"/>
      <c r="O45" s="820"/>
      <c r="P45" s="820"/>
      <c r="Q45" s="391"/>
      <c r="R45" s="391"/>
      <c r="S45" s="391"/>
    </row>
    <row r="46" spans="1:25" ht="15.75" customHeight="1" x14ac:dyDescent="0.25">
      <c r="B46" s="391"/>
      <c r="C46" s="391"/>
      <c r="D46" s="820"/>
      <c r="E46" s="820"/>
      <c r="F46" s="820"/>
      <c r="G46" s="391"/>
      <c r="H46" s="391"/>
      <c r="I46" s="391"/>
      <c r="J46" s="391"/>
      <c r="K46" s="391"/>
      <c r="L46" s="820"/>
      <c r="M46" s="820"/>
      <c r="N46" s="820"/>
      <c r="O46" s="820"/>
      <c r="P46" s="820"/>
      <c r="Q46" s="391"/>
      <c r="R46" s="391"/>
      <c r="S46" s="391"/>
    </row>
    <row r="47" spans="1:25" ht="15.75" customHeight="1" x14ac:dyDescent="0.25">
      <c r="A47" s="391"/>
      <c r="B47" s="391"/>
      <c r="C47" s="391"/>
      <c r="D47" s="820"/>
      <c r="E47" s="820"/>
      <c r="F47" s="820"/>
      <c r="G47" s="391"/>
      <c r="H47" s="391"/>
      <c r="I47" s="391"/>
      <c r="J47" s="391"/>
      <c r="K47" s="391"/>
      <c r="L47" s="820"/>
      <c r="M47" s="820"/>
      <c r="N47" s="820"/>
      <c r="O47" s="820"/>
      <c r="P47" s="820"/>
      <c r="Q47" s="391"/>
      <c r="R47" s="391"/>
      <c r="S47" s="391"/>
    </row>
    <row r="48" spans="1:25" ht="15.75" customHeight="1" x14ac:dyDescent="0.3">
      <c r="A48" s="117" t="s">
        <v>7925</v>
      </c>
      <c r="D48" s="772"/>
      <c r="E48" s="772"/>
      <c r="F48" s="772"/>
      <c r="L48" s="772"/>
      <c r="M48" s="772"/>
      <c r="N48" s="772"/>
      <c r="O48" s="772"/>
      <c r="P48" s="772"/>
    </row>
    <row r="50" spans="1:25" ht="15.75" customHeight="1" thickBot="1" x14ac:dyDescent="0.3">
      <c r="A50" s="660" t="s">
        <v>7926</v>
      </c>
      <c r="B50" s="658"/>
      <c r="C50" s="357"/>
      <c r="D50" s="357"/>
      <c r="E50" s="659"/>
      <c r="F50" s="659"/>
      <c r="G50" s="357"/>
      <c r="H50" s="357"/>
      <c r="I50" s="357"/>
      <c r="J50" s="357"/>
    </row>
    <row r="51" spans="1:25" ht="15.75" customHeight="1" x14ac:dyDescent="0.25">
      <c r="A51" s="661" t="s">
        <v>524</v>
      </c>
      <c r="B51" s="662" t="s">
        <v>574</v>
      </c>
      <c r="C51" s="1531" t="s">
        <v>548</v>
      </c>
      <c r="D51" s="1532"/>
      <c r="E51" s="1534" t="s">
        <v>549</v>
      </c>
      <c r="F51" s="1535"/>
      <c r="G51" s="1531" t="s">
        <v>550</v>
      </c>
      <c r="H51" s="1536"/>
      <c r="I51" s="1531" t="s">
        <v>331</v>
      </c>
      <c r="J51" s="1543"/>
      <c r="U51" s="356" t="s">
        <v>525</v>
      </c>
      <c r="V51" s="356" t="s">
        <v>526</v>
      </c>
      <c r="W51" s="356" t="s">
        <v>487</v>
      </c>
      <c r="Y51" s="430" t="s">
        <v>325</v>
      </c>
    </row>
    <row r="52" spans="1:25" ht="15.75" customHeight="1" thickBot="1" x14ac:dyDescent="0.3">
      <c r="A52" s="663" t="s">
        <v>240</v>
      </c>
      <c r="B52" s="664">
        <f>('Nährstoffe und Lagerraum'!DL42+'Nährstoffe und Lagerraum'!DM42)/2</f>
        <v>0</v>
      </c>
      <c r="C52" s="1533">
        <v>5</v>
      </c>
      <c r="D52" s="1533"/>
      <c r="E52" s="1533">
        <v>3</v>
      </c>
      <c r="F52" s="1533"/>
      <c r="G52" s="1533">
        <v>17</v>
      </c>
      <c r="H52" s="1537"/>
      <c r="I52" s="1544">
        <v>86</v>
      </c>
      <c r="J52" s="1545"/>
      <c r="U52" s="356">
        <f>B52*C52</f>
        <v>0</v>
      </c>
      <c r="V52" s="356">
        <f>B52*E52</f>
        <v>0</v>
      </c>
      <c r="W52" s="356">
        <f>B52*G52</f>
        <v>0</v>
      </c>
    </row>
    <row r="53" spans="1:25" ht="15.75" customHeight="1" x14ac:dyDescent="0.25">
      <c r="A53" s="357"/>
      <c r="B53" s="357"/>
      <c r="C53" s="357"/>
      <c r="D53" s="659"/>
      <c r="E53" s="659"/>
      <c r="F53" s="659"/>
      <c r="G53" s="357"/>
      <c r="H53" s="357"/>
      <c r="I53" s="606"/>
      <c r="J53" s="582"/>
    </row>
    <row r="54" spans="1:25" ht="15.75" customHeight="1" thickBot="1" x14ac:dyDescent="0.3">
      <c r="A54" s="660" t="s">
        <v>7927</v>
      </c>
      <c r="B54" s="357"/>
      <c r="C54" s="357"/>
      <c r="D54" s="659"/>
      <c r="E54" s="659"/>
      <c r="F54" s="659"/>
      <c r="G54" s="357"/>
      <c r="H54" s="357"/>
      <c r="I54" s="606"/>
      <c r="J54" s="582"/>
    </row>
    <row r="55" spans="1:25" ht="15.75" customHeight="1" thickBot="1" x14ac:dyDescent="0.3">
      <c r="A55" s="665" t="s">
        <v>524</v>
      </c>
      <c r="B55" s="666" t="s">
        <v>573</v>
      </c>
      <c r="C55" s="1522" t="s">
        <v>548</v>
      </c>
      <c r="D55" s="1523"/>
      <c r="E55" s="1524" t="s">
        <v>549</v>
      </c>
      <c r="F55" s="1525"/>
      <c r="G55" s="1522" t="s">
        <v>550</v>
      </c>
      <c r="H55" s="1526"/>
      <c r="I55" s="1522" t="s">
        <v>331</v>
      </c>
      <c r="J55" s="1546"/>
      <c r="X55" s="356" t="s">
        <v>326</v>
      </c>
    </row>
    <row r="56" spans="1:25" ht="15.75" customHeight="1" x14ac:dyDescent="0.25">
      <c r="A56" s="482" t="s">
        <v>240</v>
      </c>
      <c r="B56" s="1140"/>
      <c r="C56" s="1527">
        <v>5</v>
      </c>
      <c r="D56" s="1528"/>
      <c r="E56" s="1555">
        <v>3</v>
      </c>
      <c r="F56" s="1556"/>
      <c r="G56" s="1555">
        <v>17</v>
      </c>
      <c r="H56" s="1558"/>
      <c r="I56" s="1547">
        <v>86</v>
      </c>
      <c r="J56" s="1548"/>
      <c r="U56" s="356">
        <f>$B56*C56</f>
        <v>0</v>
      </c>
      <c r="V56" s="356">
        <f>$B56*E56</f>
        <v>0</v>
      </c>
      <c r="W56" s="356">
        <f>$B56*G56</f>
        <v>0</v>
      </c>
      <c r="X56" s="356">
        <f>B56*I56</f>
        <v>0</v>
      </c>
    </row>
    <row r="57" spans="1:25" ht="15.75" customHeight="1" x14ac:dyDescent="0.25">
      <c r="A57" s="483" t="s">
        <v>551</v>
      </c>
      <c r="B57" s="1140"/>
      <c r="C57" s="1555">
        <v>11</v>
      </c>
      <c r="D57" s="1556"/>
      <c r="E57" s="1555">
        <v>4</v>
      </c>
      <c r="F57" s="1556"/>
      <c r="G57" s="1555">
        <v>15.6</v>
      </c>
      <c r="H57" s="1556"/>
      <c r="I57" s="1555">
        <v>86</v>
      </c>
      <c r="J57" s="1557"/>
      <c r="U57" s="356">
        <f>$B57*C57</f>
        <v>0</v>
      </c>
      <c r="V57" s="356">
        <f>$B57*E57</f>
        <v>0</v>
      </c>
      <c r="W57" s="356">
        <f>$B57*G57</f>
        <v>0</v>
      </c>
      <c r="X57" s="356">
        <f>B57*I57</f>
        <v>0</v>
      </c>
    </row>
    <row r="58" spans="1:25" ht="15.75" customHeight="1" x14ac:dyDescent="0.25">
      <c r="A58" s="484" t="s">
        <v>517</v>
      </c>
      <c r="B58" s="1141"/>
      <c r="C58" s="1529">
        <v>2.7</v>
      </c>
      <c r="D58" s="1530"/>
      <c r="E58" s="1529">
        <v>0.5</v>
      </c>
      <c r="F58" s="1530"/>
      <c r="G58" s="1529">
        <v>1.5</v>
      </c>
      <c r="H58" s="1530"/>
      <c r="I58" s="1549">
        <v>70</v>
      </c>
      <c r="J58" s="1550"/>
      <c r="U58" s="356">
        <f>$B58*C58</f>
        <v>0</v>
      </c>
      <c r="V58" s="356">
        <f>$B58*E58</f>
        <v>0</v>
      </c>
      <c r="W58" s="356">
        <f>$B58*G58</f>
        <v>0</v>
      </c>
      <c r="X58" s="356">
        <f>B58*I58</f>
        <v>0</v>
      </c>
    </row>
    <row r="59" spans="1:25" ht="15.75" customHeight="1" x14ac:dyDescent="0.25">
      <c r="A59" s="484" t="s">
        <v>518</v>
      </c>
      <c r="B59" s="1140"/>
      <c r="C59" s="1558">
        <v>0.5</v>
      </c>
      <c r="D59" s="1556"/>
      <c r="E59" s="1555">
        <v>0.2</v>
      </c>
      <c r="F59" s="1556"/>
      <c r="G59" s="1555">
        <v>0.5</v>
      </c>
      <c r="H59" s="1558"/>
      <c r="I59" s="1551">
        <v>70</v>
      </c>
      <c r="J59" s="1552"/>
      <c r="U59" s="356">
        <f>$B59*C59</f>
        <v>0</v>
      </c>
      <c r="V59" s="356">
        <f>$B59*E59</f>
        <v>0</v>
      </c>
      <c r="W59" s="356">
        <f>$B59*G59</f>
        <v>0</v>
      </c>
      <c r="X59" s="356">
        <f>B59*I59</f>
        <v>0</v>
      </c>
    </row>
    <row r="60" spans="1:25" ht="15.75" customHeight="1" thickBot="1" x14ac:dyDescent="0.3">
      <c r="A60" s="114" t="s">
        <v>519</v>
      </c>
      <c r="B60" s="1142"/>
      <c r="C60" s="1559">
        <v>1.5</v>
      </c>
      <c r="D60" s="1521"/>
      <c r="E60" s="1520">
        <v>1.2</v>
      </c>
      <c r="F60" s="1521"/>
      <c r="G60" s="1520">
        <v>4.2</v>
      </c>
      <c r="H60" s="1559"/>
      <c r="I60" s="1553">
        <v>80</v>
      </c>
      <c r="J60" s="1554"/>
      <c r="U60" s="428">
        <f>$B60*C60</f>
        <v>0</v>
      </c>
      <c r="V60" s="428">
        <f>$B60*E60</f>
        <v>0</v>
      </c>
      <c r="W60" s="428">
        <f>$B60*G60</f>
        <v>0</v>
      </c>
      <c r="X60" s="356">
        <f>B60*I60</f>
        <v>0</v>
      </c>
    </row>
    <row r="61" spans="1:25" ht="15.75" customHeight="1" x14ac:dyDescent="0.25">
      <c r="A61" s="1541" t="s">
        <v>7896</v>
      </c>
      <c r="B61" s="1541"/>
      <c r="C61" s="1541"/>
      <c r="D61" s="1541"/>
      <c r="E61" s="1541"/>
      <c r="F61" s="1541"/>
      <c r="G61" s="1541"/>
      <c r="H61" s="1541"/>
      <c r="I61" s="1541"/>
      <c r="J61" s="1541"/>
      <c r="U61" s="356">
        <f>SUM(U56:U60)</f>
        <v>0</v>
      </c>
      <c r="V61" s="356">
        <f>SUM(V56:V60)</f>
        <v>0</v>
      </c>
      <c r="W61" s="356">
        <f>SUM(W56:W60)</f>
        <v>0</v>
      </c>
      <c r="X61" s="356">
        <f>IF(OR(Y61=0,B52&gt;Y61),I52,SUM(X56:X60)/Y61)</f>
        <v>86</v>
      </c>
      <c r="Y61" s="430">
        <f>SUM(B56:B60)</f>
        <v>0</v>
      </c>
    </row>
    <row r="62" spans="1:25" ht="15.75" customHeight="1" x14ac:dyDescent="0.25">
      <c r="A62" s="1542"/>
      <c r="B62" s="1542"/>
      <c r="C62" s="1542"/>
      <c r="D62" s="1542"/>
      <c r="E62" s="1542"/>
      <c r="F62" s="1542"/>
      <c r="G62" s="1542"/>
      <c r="H62" s="1542"/>
      <c r="I62" s="1542"/>
      <c r="J62" s="1542"/>
    </row>
    <row r="63" spans="1:25" ht="15.75" customHeight="1" x14ac:dyDescent="0.25">
      <c r="U63" s="430" t="s">
        <v>531</v>
      </c>
      <c r="Y63" s="430" t="s">
        <v>530</v>
      </c>
    </row>
    <row r="64" spans="1:25" ht="15.75" customHeight="1" x14ac:dyDescent="0.25">
      <c r="U64" s="356">
        <f>IF(OR($Y$61&lt;$B$52-0.1,AND($B$52=0,$Y$61=0)),C52,U61/$Y$61)</f>
        <v>5</v>
      </c>
      <c r="V64" s="356">
        <f>IF(OR($Y$61&lt;$B$52-0.1,AND($B$52=0,$Y$61=0)),E52,V61/$Y$61)</f>
        <v>3</v>
      </c>
      <c r="W64" s="356">
        <f>IF(OR($Y$61&lt;$B$52-0.1,AND($B$52=0,$Y$61=0)),G52,W61/$Y$61)</f>
        <v>17</v>
      </c>
      <c r="Y64" s="356">
        <f>IF(OR(B52=0,Y61&lt;$B$52),1,Y61/B52)</f>
        <v>1</v>
      </c>
    </row>
  </sheetData>
  <sheetProtection algorithmName="SHA-512" hashValue="HLSOzzxKZbm97zgr9VuYgHr5e63aOQlPyk/LKhx26eYxNhd4IiZQe/+PQwRF3i3iC5KdCBuh97RT7ZuR2gpSkA==" saltValue="0z6PB1/HmTblhnu4dHAa4A=="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23">
    <mergeCell ref="P37:Q37"/>
    <mergeCell ref="R37:S37"/>
    <mergeCell ref="H36:S36"/>
    <mergeCell ref="N37:O37"/>
    <mergeCell ref="C39:D39"/>
    <mergeCell ref="C40:D40"/>
    <mergeCell ref="C41:D41"/>
    <mergeCell ref="C42:D42"/>
    <mergeCell ref="C43:D43"/>
    <mergeCell ref="E39:F39"/>
    <mergeCell ref="E40:F40"/>
    <mergeCell ref="E41:F41"/>
    <mergeCell ref="E42:F42"/>
    <mergeCell ref="E43:F43"/>
    <mergeCell ref="A36:A38"/>
    <mergeCell ref="B36:B38"/>
    <mergeCell ref="H37:I37"/>
    <mergeCell ref="J37:K37"/>
    <mergeCell ref="L37:M37"/>
    <mergeCell ref="B17:B19"/>
    <mergeCell ref="A17:A19"/>
    <mergeCell ref="C16:C19"/>
    <mergeCell ref="C12:E12"/>
    <mergeCell ref="G16:K16"/>
    <mergeCell ref="I17:K17"/>
    <mergeCell ref="F12:I12"/>
    <mergeCell ref="G19:H19"/>
    <mergeCell ref="I19:K19"/>
    <mergeCell ref="D17:D18"/>
    <mergeCell ref="E17:E18"/>
    <mergeCell ref="F17:F18"/>
    <mergeCell ref="G17:G18"/>
    <mergeCell ref="H17:H18"/>
    <mergeCell ref="C36:F37"/>
    <mergeCell ref="C38:D38"/>
    <mergeCell ref="E38:F38"/>
    <mergeCell ref="G36:G38"/>
    <mergeCell ref="M17:M18"/>
    <mergeCell ref="J11:L11"/>
    <mergeCell ref="M11:O11"/>
    <mergeCell ref="M10:O10"/>
    <mergeCell ref="J10:L10"/>
    <mergeCell ref="F10:I10"/>
    <mergeCell ref="F11:I11"/>
    <mergeCell ref="S4:S12"/>
    <mergeCell ref="C15:K15"/>
    <mergeCell ref="D16:F16"/>
    <mergeCell ref="L17:L18"/>
    <mergeCell ref="J12:L12"/>
    <mergeCell ref="M12:O12"/>
    <mergeCell ref="A61:J62"/>
    <mergeCell ref="I51:J51"/>
    <mergeCell ref="I52:J52"/>
    <mergeCell ref="I55:J55"/>
    <mergeCell ref="I56:J56"/>
    <mergeCell ref="I58:J58"/>
    <mergeCell ref="I59:J59"/>
    <mergeCell ref="I60:J60"/>
    <mergeCell ref="C57:D57"/>
    <mergeCell ref="E57:F57"/>
    <mergeCell ref="G57:H57"/>
    <mergeCell ref="I57:J57"/>
    <mergeCell ref="C59:D59"/>
    <mergeCell ref="C60:D60"/>
    <mergeCell ref="G56:H56"/>
    <mergeCell ref="G58:H58"/>
    <mergeCell ref="G59:H59"/>
    <mergeCell ref="G60:H60"/>
    <mergeCell ref="E56:F56"/>
    <mergeCell ref="E58:F58"/>
    <mergeCell ref="E59:F59"/>
    <mergeCell ref="E60:F60"/>
    <mergeCell ref="C55:D55"/>
    <mergeCell ref="E55:F55"/>
    <mergeCell ref="G55:H55"/>
    <mergeCell ref="C56:D56"/>
    <mergeCell ref="C58:D58"/>
    <mergeCell ref="C51:D51"/>
    <mergeCell ref="C52:D52"/>
    <mergeCell ref="E51:F51"/>
    <mergeCell ref="E52:F52"/>
    <mergeCell ref="G51:H51"/>
    <mergeCell ref="G52:H52"/>
    <mergeCell ref="Q19:S19"/>
    <mergeCell ref="D19:F19"/>
    <mergeCell ref="N17:P17"/>
    <mergeCell ref="L16:P16"/>
    <mergeCell ref="L19:P19"/>
    <mergeCell ref="P4:R4"/>
    <mergeCell ref="J7:L7"/>
    <mergeCell ref="M7:O7"/>
    <mergeCell ref="P7:R7"/>
    <mergeCell ref="P8:R8"/>
    <mergeCell ref="P5:R5"/>
    <mergeCell ref="P6:R6"/>
    <mergeCell ref="M5:O5"/>
    <mergeCell ref="M6:O6"/>
    <mergeCell ref="J5:L5"/>
    <mergeCell ref="J6:L6"/>
    <mergeCell ref="P9:R9"/>
    <mergeCell ref="M8:O8"/>
    <mergeCell ref="M9:O9"/>
    <mergeCell ref="J8:L8"/>
    <mergeCell ref="J9:L9"/>
    <mergeCell ref="C10:E10"/>
    <mergeCell ref="C11:E11"/>
    <mergeCell ref="Q16:S17"/>
    <mergeCell ref="A1:F1"/>
    <mergeCell ref="J4:L4"/>
    <mergeCell ref="M4:O4"/>
    <mergeCell ref="F9:I9"/>
    <mergeCell ref="C4:E4"/>
    <mergeCell ref="C5:E5"/>
    <mergeCell ref="C6:E6"/>
    <mergeCell ref="F4:I4"/>
    <mergeCell ref="F5:I5"/>
    <mergeCell ref="F6:I6"/>
    <mergeCell ref="F7:I7"/>
    <mergeCell ref="F8:I8"/>
    <mergeCell ref="C7:E7"/>
    <mergeCell ref="C8:E8"/>
    <mergeCell ref="C9:E9"/>
    <mergeCell ref="A2:P2"/>
  </mergeCells>
  <conditionalFormatting sqref="G27:J29 L27:O29 Q27:R29">
    <cfRule type="expression" dxfId="3" priority="11">
      <formula>$U27&gt;3</formula>
    </cfRule>
  </conditionalFormatting>
  <dataValidations count="7">
    <dataValidation type="decimal" allowBlank="1" showInputMessage="1" showErrorMessage="1" sqref="C27:S29" xr:uid="{00000000-0002-0000-0200-000000000000}">
      <formula1>0</formula1>
      <formula2>999999</formula2>
    </dataValidation>
    <dataValidation type="decimal" operator="greaterThan" allowBlank="1" showInputMessage="1" showErrorMessage="1" sqref="B56:B60" xr:uid="{816DDD14-D0E3-4F05-80FC-9F09BBC2086F}">
      <formula1>0.01</formula1>
    </dataValidation>
    <dataValidation type="whole" allowBlank="1" showInputMessage="1" showErrorMessage="1" errorTitle="Ungültige Eingabe" error="Nur ganze Zahlen zwischen 8 und 35 zulässig" sqref="M11:O12" xr:uid="{44B5103A-B106-41D4-BB2A-DBF52B52DB5E}">
      <formula1>8</formula1>
      <formula2>35</formula2>
    </dataValidation>
    <dataValidation type="whole" allowBlank="1" showInputMessage="1" showErrorMessage="1" errorTitle="Ungültige Eingabe" error="Für Eingabebereich Notiz zur Überschrift beachten. Nur ganze Zahlen zulässig." sqref="J5:L9" xr:uid="{5E7A09A0-B631-408B-ABD7-FBDCC9E67281}">
      <formula1>U5</formula1>
      <formula2>V5</formula2>
    </dataValidation>
    <dataValidation type="whole" allowBlank="1" showInputMessage="1" showErrorMessage="1" errorTitle="Ungültige Eingabe" error="Für Eingabebereich Notiz zur Überschrift beachten. Nur ganze Zahlen zulässig." sqref="M6:O9 M5:O5" xr:uid="{9428C5EA-6307-458A-BB94-E91B017D2444}">
      <formula1>U5</formula1>
      <formula2>V5</formula2>
    </dataValidation>
    <dataValidation type="list" allowBlank="1" showInputMessage="1" showErrorMessage="1" sqref="F5:F9 F11:F12 G11:I11" xr:uid="{79D16753-F72A-43C4-9448-9F61476744C0}">
      <formula1>$Y$7:$Y$11</formula1>
    </dataValidation>
    <dataValidation type="list" allowBlank="1" showInputMessage="1" showErrorMessage="1" sqref="C5:E9" xr:uid="{DF21DAB8-C327-4E03-8817-9D6D540998FA}">
      <formula1>$Y$13:$Y$14</formula1>
    </dataValidation>
  </dataValidations>
  <pageMargins left="0.70866141732283472" right="0.70866141732283472" top="0.74803149606299213" bottom="0.74803149606299213" header="0.31496062992125984" footer="0.31496062992125984"/>
  <pageSetup paperSize="9" scale="91" orientation="landscape" r:id="rId2"/>
  <headerFooter>
    <oddFooter>&amp;L© Bayerische Landesanstalt für Landwirtschaft, Agrarökologie - Düngung (Of, Sr, Sp, Ka); Stand: 20.10.2022&amp;RSeite &amp;P von &amp;N, &amp;D, &amp;T Uhr</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26</xdr:row>
                    <xdr:rowOff>7620</xdr:rowOff>
                  </from>
                  <to>
                    <xdr:col>1</xdr:col>
                    <xdr:colOff>0</xdr:colOff>
                    <xdr:row>27</xdr:row>
                    <xdr:rowOff>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7620</xdr:colOff>
                    <xdr:row>27</xdr:row>
                    <xdr:rowOff>7620</xdr:rowOff>
                  </from>
                  <to>
                    <xdr:col>1</xdr:col>
                    <xdr:colOff>0</xdr:colOff>
                    <xdr:row>28</xdr:row>
                    <xdr:rowOff>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22860</xdr:colOff>
                    <xdr:row>28</xdr:row>
                    <xdr:rowOff>7620</xdr:rowOff>
                  </from>
                  <to>
                    <xdr:col>1</xdr:col>
                    <xdr:colOff>0</xdr:colOff>
                    <xdr:row>28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81E1-05BF-4AA6-A3D1-0E350F89FA68}">
  <dimension ref="A1:IR146"/>
  <sheetViews>
    <sheetView topLeftCell="AZ1" workbookViewId="0">
      <selection activeCell="BG26" sqref="BG26"/>
    </sheetView>
  </sheetViews>
  <sheetFormatPr baseColWidth="10" defaultRowHeight="13.2" x14ac:dyDescent="0.25"/>
  <sheetData>
    <row r="1" spans="1:252" x14ac:dyDescent="0.25">
      <c r="A1" s="391" t="s">
        <v>7949</v>
      </c>
      <c r="B1" t="s">
        <v>7662</v>
      </c>
      <c r="Q1" t="s">
        <v>7663</v>
      </c>
      <c r="Y1" t="s">
        <v>7664</v>
      </c>
      <c r="AG1" t="s">
        <v>7665</v>
      </c>
      <c r="AP1" t="s">
        <v>7666</v>
      </c>
      <c r="BV1" t="s">
        <v>7667</v>
      </c>
      <c r="DB1" t="s">
        <v>7668</v>
      </c>
      <c r="EH1" t="s">
        <v>7669</v>
      </c>
      <c r="FO1" t="s">
        <v>7670</v>
      </c>
      <c r="GC1" t="s">
        <v>7671</v>
      </c>
      <c r="GQ1" t="s">
        <v>7672</v>
      </c>
      <c r="HE1" t="s">
        <v>7673</v>
      </c>
      <c r="HS1" t="s">
        <v>610</v>
      </c>
      <c r="IA1" t="s">
        <v>7729</v>
      </c>
    </row>
    <row r="2" spans="1:252" x14ac:dyDescent="0.25">
      <c r="A2">
        <v>20220621</v>
      </c>
      <c r="B2" t="s">
        <v>7675</v>
      </c>
      <c r="D2" t="s">
        <v>7676</v>
      </c>
      <c r="F2" t="s">
        <v>7677</v>
      </c>
      <c r="H2" t="s">
        <v>7678</v>
      </c>
      <c r="J2" t="s">
        <v>7679</v>
      </c>
      <c r="L2" t="s">
        <v>7680</v>
      </c>
      <c r="N2" t="s">
        <v>7681</v>
      </c>
      <c r="AE2" t="s">
        <v>7682</v>
      </c>
      <c r="AM2" t="s">
        <v>7682</v>
      </c>
      <c r="AP2" t="s">
        <v>7675</v>
      </c>
      <c r="AV2" t="s">
        <v>7676</v>
      </c>
      <c r="BB2" t="s">
        <v>7677</v>
      </c>
      <c r="BH2" t="s">
        <v>7678</v>
      </c>
      <c r="BN2" t="s">
        <v>7683</v>
      </c>
      <c r="BV2" t="s">
        <v>7675</v>
      </c>
      <c r="CB2" t="s">
        <v>7676</v>
      </c>
      <c r="CH2" t="s">
        <v>7677</v>
      </c>
      <c r="CN2" t="s">
        <v>7678</v>
      </c>
      <c r="CT2" t="s">
        <v>7679</v>
      </c>
      <c r="DB2" t="s">
        <v>7675</v>
      </c>
      <c r="DH2" t="s">
        <v>7676</v>
      </c>
      <c r="DN2" t="s">
        <v>7677</v>
      </c>
      <c r="DT2" t="s">
        <v>7678</v>
      </c>
      <c r="DZ2" t="s">
        <v>7679</v>
      </c>
      <c r="EH2" t="s">
        <v>7675</v>
      </c>
      <c r="EN2" t="s">
        <v>7676</v>
      </c>
      <c r="ET2" t="s">
        <v>7677</v>
      </c>
      <c r="EZ2" t="s">
        <v>7678</v>
      </c>
      <c r="FF2" t="s">
        <v>7679</v>
      </c>
      <c r="FO2" t="s">
        <v>7684</v>
      </c>
      <c r="FU2" t="s">
        <v>7685</v>
      </c>
      <c r="GC2" t="s">
        <v>7684</v>
      </c>
      <c r="GI2" t="s">
        <v>7685</v>
      </c>
      <c r="GQ2" t="s">
        <v>7684</v>
      </c>
      <c r="GW2" t="s">
        <v>7685</v>
      </c>
      <c r="HE2" t="s">
        <v>7684</v>
      </c>
      <c r="HK2" t="s">
        <v>7685</v>
      </c>
      <c r="HS2" t="s">
        <v>7686</v>
      </c>
      <c r="IB2" t="s">
        <v>7732</v>
      </c>
      <c r="IF2" t="s">
        <v>7733</v>
      </c>
      <c r="IJ2" t="s">
        <v>7734</v>
      </c>
      <c r="IN2" t="s">
        <v>596</v>
      </c>
      <c r="IO2" t="s">
        <v>226</v>
      </c>
      <c r="IP2" t="s">
        <v>301</v>
      </c>
    </row>
    <row r="3" spans="1:252" x14ac:dyDescent="0.25">
      <c r="B3" t="s">
        <v>7691</v>
      </c>
      <c r="C3" t="s">
        <v>7692</v>
      </c>
      <c r="D3" t="s">
        <v>7691</v>
      </c>
      <c r="E3" t="s">
        <v>7692</v>
      </c>
      <c r="F3" t="s">
        <v>7691</v>
      </c>
      <c r="G3" t="s">
        <v>7692</v>
      </c>
      <c r="H3" t="s">
        <v>7691</v>
      </c>
      <c r="I3" t="s">
        <v>7692</v>
      </c>
      <c r="J3" t="s">
        <v>7691</v>
      </c>
      <c r="K3" t="s">
        <v>7692</v>
      </c>
      <c r="L3" t="s">
        <v>7691</v>
      </c>
      <c r="M3" t="s">
        <v>7692</v>
      </c>
      <c r="N3" t="s">
        <v>7691</v>
      </c>
      <c r="O3" t="s">
        <v>7692</v>
      </c>
      <c r="Q3" t="s">
        <v>7675</v>
      </c>
      <c r="R3" t="s">
        <v>7676</v>
      </c>
      <c r="S3" t="s">
        <v>7677</v>
      </c>
      <c r="T3" t="s">
        <v>7678</v>
      </c>
      <c r="U3" t="s">
        <v>7679</v>
      </c>
      <c r="V3" t="s">
        <v>7680</v>
      </c>
      <c r="W3" t="s">
        <v>7681</v>
      </c>
      <c r="Y3" t="s">
        <v>7675</v>
      </c>
      <c r="Z3" t="s">
        <v>7676</v>
      </c>
      <c r="AA3" t="s">
        <v>7677</v>
      </c>
      <c r="AB3" t="s">
        <v>7678</v>
      </c>
      <c r="AC3" t="s">
        <v>7679</v>
      </c>
      <c r="AD3" t="s">
        <v>7680</v>
      </c>
      <c r="AE3" t="s">
        <v>7681</v>
      </c>
      <c r="AG3" t="s">
        <v>7675</v>
      </c>
      <c r="AH3" t="s">
        <v>7676</v>
      </c>
      <c r="AI3" t="s">
        <v>7677</v>
      </c>
      <c r="AJ3" t="s">
        <v>7678</v>
      </c>
      <c r="AK3" t="s">
        <v>7679</v>
      </c>
      <c r="AL3" t="s">
        <v>7680</v>
      </c>
      <c r="AM3" t="s">
        <v>7681</v>
      </c>
      <c r="AO3" t="s">
        <v>7690</v>
      </c>
      <c r="AP3" t="s">
        <v>7693</v>
      </c>
      <c r="AQ3" t="s">
        <v>7694</v>
      </c>
      <c r="AR3" t="s">
        <v>7695</v>
      </c>
      <c r="AS3" t="s">
        <v>7776</v>
      </c>
      <c r="AT3" t="s">
        <v>7777</v>
      </c>
      <c r="AU3" t="s">
        <v>7778</v>
      </c>
      <c r="AV3" t="s">
        <v>7693</v>
      </c>
      <c r="AW3" t="s">
        <v>7694</v>
      </c>
      <c r="AX3" t="s">
        <v>7695</v>
      </c>
      <c r="AY3" t="s">
        <v>7776</v>
      </c>
      <c r="AZ3" t="s">
        <v>7777</v>
      </c>
      <c r="BA3" t="s">
        <v>7778</v>
      </c>
      <c r="BB3" t="s">
        <v>7693</v>
      </c>
      <c r="BC3" t="s">
        <v>7694</v>
      </c>
      <c r="BD3" t="s">
        <v>7695</v>
      </c>
      <c r="BE3" t="s">
        <v>7776</v>
      </c>
      <c r="BF3" t="s">
        <v>7777</v>
      </c>
      <c r="BG3" t="s">
        <v>7778</v>
      </c>
      <c r="BH3" t="s">
        <v>7693</v>
      </c>
      <c r="BI3" t="s">
        <v>7694</v>
      </c>
      <c r="BJ3" t="s">
        <v>7695</v>
      </c>
      <c r="BK3" t="s">
        <v>7776</v>
      </c>
      <c r="BL3" t="s">
        <v>7777</v>
      </c>
      <c r="BM3" t="s">
        <v>7778</v>
      </c>
      <c r="BN3" t="s">
        <v>7693</v>
      </c>
      <c r="BO3" t="s">
        <v>7694</v>
      </c>
      <c r="BP3" t="s">
        <v>7695</v>
      </c>
      <c r="BQ3" t="s">
        <v>7776</v>
      </c>
      <c r="BR3" t="s">
        <v>7777</v>
      </c>
      <c r="BS3" t="s">
        <v>7778</v>
      </c>
      <c r="BU3" t="s">
        <v>266</v>
      </c>
      <c r="BV3" t="s">
        <v>7693</v>
      </c>
      <c r="BW3" t="s">
        <v>7694</v>
      </c>
      <c r="BX3" t="s">
        <v>7695</v>
      </c>
      <c r="BY3" t="s">
        <v>7776</v>
      </c>
      <c r="BZ3" t="s">
        <v>7777</v>
      </c>
      <c r="CA3" t="s">
        <v>7778</v>
      </c>
      <c r="CB3" t="s">
        <v>7693</v>
      </c>
      <c r="CC3" t="s">
        <v>7694</v>
      </c>
      <c r="CD3" t="s">
        <v>7695</v>
      </c>
      <c r="CE3" t="s">
        <v>7776</v>
      </c>
      <c r="CF3" t="s">
        <v>7777</v>
      </c>
      <c r="CG3" t="s">
        <v>7778</v>
      </c>
      <c r="CH3" t="s">
        <v>7693</v>
      </c>
      <c r="CI3" t="s">
        <v>7694</v>
      </c>
      <c r="CJ3" t="s">
        <v>7695</v>
      </c>
      <c r="CK3" t="s">
        <v>7776</v>
      </c>
      <c r="CL3" t="s">
        <v>7777</v>
      </c>
      <c r="CM3" t="s">
        <v>7778</v>
      </c>
      <c r="CN3" t="s">
        <v>7693</v>
      </c>
      <c r="CO3" t="s">
        <v>7694</v>
      </c>
      <c r="CP3" t="s">
        <v>7695</v>
      </c>
      <c r="CQ3" t="s">
        <v>7776</v>
      </c>
      <c r="CR3" t="s">
        <v>7777</v>
      </c>
      <c r="CS3" t="s">
        <v>7778</v>
      </c>
      <c r="CT3" t="s">
        <v>7693</v>
      </c>
      <c r="CU3" t="s">
        <v>7694</v>
      </c>
      <c r="CV3" t="s">
        <v>7695</v>
      </c>
      <c r="CW3" t="s">
        <v>7776</v>
      </c>
      <c r="CX3" t="s">
        <v>7777</v>
      </c>
      <c r="CY3" t="s">
        <v>7778</v>
      </c>
      <c r="DA3" t="s">
        <v>266</v>
      </c>
      <c r="DB3" t="s">
        <v>7693</v>
      </c>
      <c r="DC3" t="s">
        <v>7694</v>
      </c>
      <c r="DD3" t="s">
        <v>7695</v>
      </c>
      <c r="DE3" t="s">
        <v>7776</v>
      </c>
      <c r="DF3" t="s">
        <v>7777</v>
      </c>
      <c r="DG3" t="s">
        <v>7778</v>
      </c>
      <c r="DH3" t="s">
        <v>7693</v>
      </c>
      <c r="DI3" t="s">
        <v>7694</v>
      </c>
      <c r="DJ3" t="s">
        <v>7695</v>
      </c>
      <c r="DK3" t="s">
        <v>7776</v>
      </c>
      <c r="DL3" t="s">
        <v>7777</v>
      </c>
      <c r="DM3" t="s">
        <v>7778</v>
      </c>
      <c r="DN3" t="s">
        <v>7693</v>
      </c>
      <c r="DO3" t="s">
        <v>7694</v>
      </c>
      <c r="DP3" t="s">
        <v>7695</v>
      </c>
      <c r="DQ3" t="s">
        <v>7776</v>
      </c>
      <c r="DR3" t="s">
        <v>7777</v>
      </c>
      <c r="DS3" t="s">
        <v>7778</v>
      </c>
      <c r="DT3" t="s">
        <v>7693</v>
      </c>
      <c r="DU3" t="s">
        <v>7694</v>
      </c>
      <c r="DV3" t="s">
        <v>7695</v>
      </c>
      <c r="DW3" t="s">
        <v>7776</v>
      </c>
      <c r="DX3" t="s">
        <v>7777</v>
      </c>
      <c r="DY3" t="s">
        <v>7778</v>
      </c>
      <c r="DZ3" t="s">
        <v>7693</v>
      </c>
      <c r="EA3" t="s">
        <v>7694</v>
      </c>
      <c r="EB3" t="s">
        <v>7695</v>
      </c>
      <c r="EC3" t="s">
        <v>7776</v>
      </c>
      <c r="ED3" t="s">
        <v>7777</v>
      </c>
      <c r="EE3" t="s">
        <v>7778</v>
      </c>
      <c r="EG3" t="s">
        <v>266</v>
      </c>
      <c r="EH3" t="s">
        <v>7693</v>
      </c>
      <c r="EI3" t="s">
        <v>7694</v>
      </c>
      <c r="EJ3" t="s">
        <v>7695</v>
      </c>
      <c r="EK3" t="s">
        <v>7776</v>
      </c>
      <c r="EL3" t="s">
        <v>7777</v>
      </c>
      <c r="EM3" t="s">
        <v>7778</v>
      </c>
      <c r="EN3" t="s">
        <v>7693</v>
      </c>
      <c r="EO3" t="s">
        <v>7694</v>
      </c>
      <c r="EP3" t="s">
        <v>7695</v>
      </c>
      <c r="EQ3" t="s">
        <v>7776</v>
      </c>
      <c r="ER3" t="s">
        <v>7777</v>
      </c>
      <c r="ES3" t="s">
        <v>7778</v>
      </c>
      <c r="ET3" t="s">
        <v>7693</v>
      </c>
      <c r="EU3" t="s">
        <v>7694</v>
      </c>
      <c r="EV3" t="s">
        <v>7695</v>
      </c>
      <c r="EW3" t="s">
        <v>7776</v>
      </c>
      <c r="EX3" t="s">
        <v>7777</v>
      </c>
      <c r="EY3" t="s">
        <v>7778</v>
      </c>
      <c r="EZ3" t="s">
        <v>7693</v>
      </c>
      <c r="FA3" t="s">
        <v>7694</v>
      </c>
      <c r="FB3" t="s">
        <v>7695</v>
      </c>
      <c r="FC3" t="s">
        <v>7776</v>
      </c>
      <c r="FD3" t="s">
        <v>7777</v>
      </c>
      <c r="FE3" t="s">
        <v>7778</v>
      </c>
      <c r="FF3" t="s">
        <v>7693</v>
      </c>
      <c r="FG3" t="s">
        <v>7694</v>
      </c>
      <c r="FH3" t="s">
        <v>7695</v>
      </c>
      <c r="FI3" t="s">
        <v>7776</v>
      </c>
      <c r="FJ3" t="s">
        <v>7777</v>
      </c>
      <c r="FK3" t="s">
        <v>7778</v>
      </c>
      <c r="FN3" t="s">
        <v>266</v>
      </c>
      <c r="FO3" t="s">
        <v>7693</v>
      </c>
      <c r="FP3" t="s">
        <v>7694</v>
      </c>
      <c r="FQ3" t="s">
        <v>7695</v>
      </c>
      <c r="FR3" t="s">
        <v>7776</v>
      </c>
      <c r="FS3" t="s">
        <v>7777</v>
      </c>
      <c r="FT3" t="s">
        <v>7778</v>
      </c>
      <c r="FU3" t="s">
        <v>7693</v>
      </c>
      <c r="FV3" t="s">
        <v>7694</v>
      </c>
      <c r="FW3" t="s">
        <v>7695</v>
      </c>
      <c r="FX3" t="s">
        <v>7776</v>
      </c>
      <c r="FY3" t="s">
        <v>7777</v>
      </c>
      <c r="FZ3" t="s">
        <v>7778</v>
      </c>
      <c r="GB3" t="s">
        <v>266</v>
      </c>
      <c r="GC3" t="s">
        <v>7693</v>
      </c>
      <c r="GD3" t="s">
        <v>7694</v>
      </c>
      <c r="GE3" t="s">
        <v>7695</v>
      </c>
      <c r="GF3" t="s">
        <v>7776</v>
      </c>
      <c r="GG3" t="s">
        <v>7777</v>
      </c>
      <c r="GH3" t="s">
        <v>7778</v>
      </c>
      <c r="GI3" t="s">
        <v>7693</v>
      </c>
      <c r="GJ3" t="s">
        <v>7694</v>
      </c>
      <c r="GK3" t="s">
        <v>7695</v>
      </c>
      <c r="GL3" t="s">
        <v>7776</v>
      </c>
      <c r="GM3" t="s">
        <v>7777</v>
      </c>
      <c r="GN3" t="s">
        <v>7778</v>
      </c>
      <c r="GP3" t="s">
        <v>266</v>
      </c>
      <c r="GQ3" t="s">
        <v>7693</v>
      </c>
      <c r="GR3" t="s">
        <v>7694</v>
      </c>
      <c r="GS3" t="s">
        <v>7695</v>
      </c>
      <c r="GT3" t="s">
        <v>7776</v>
      </c>
      <c r="GU3" t="s">
        <v>7777</v>
      </c>
      <c r="GV3" t="s">
        <v>7778</v>
      </c>
      <c r="GW3" t="s">
        <v>7693</v>
      </c>
      <c r="GX3" t="s">
        <v>7694</v>
      </c>
      <c r="GY3" t="s">
        <v>7695</v>
      </c>
      <c r="GZ3" t="s">
        <v>7776</v>
      </c>
      <c r="HA3" t="s">
        <v>7777</v>
      </c>
      <c r="HB3" t="s">
        <v>7778</v>
      </c>
      <c r="HD3" t="s">
        <v>266</v>
      </c>
      <c r="HE3" t="s">
        <v>7693</v>
      </c>
      <c r="HF3" t="s">
        <v>7694</v>
      </c>
      <c r="HG3" t="s">
        <v>7695</v>
      </c>
      <c r="HH3" t="s">
        <v>7776</v>
      </c>
      <c r="HI3" t="s">
        <v>7777</v>
      </c>
      <c r="HJ3" t="s">
        <v>7778</v>
      </c>
      <c r="HK3" t="s">
        <v>7693</v>
      </c>
      <c r="HL3" t="s">
        <v>7694</v>
      </c>
      <c r="HM3" t="s">
        <v>7695</v>
      </c>
      <c r="HN3" t="s">
        <v>7776</v>
      </c>
      <c r="HO3" t="s">
        <v>7777</v>
      </c>
      <c r="HP3" t="s">
        <v>7778</v>
      </c>
      <c r="HT3" t="s">
        <v>7696</v>
      </c>
      <c r="HV3" t="s">
        <v>7697</v>
      </c>
      <c r="HX3" t="s">
        <v>7698</v>
      </c>
      <c r="IA3" t="s">
        <v>7735</v>
      </c>
      <c r="IB3" t="s">
        <v>7736</v>
      </c>
      <c r="IC3" t="s">
        <v>7737</v>
      </c>
      <c r="ID3" t="s">
        <v>7738</v>
      </c>
      <c r="IE3" t="s">
        <v>7739</v>
      </c>
      <c r="IF3" t="s">
        <v>7736</v>
      </c>
      <c r="IG3" t="s">
        <v>7737</v>
      </c>
      <c r="IH3" t="s">
        <v>7738</v>
      </c>
      <c r="II3" t="s">
        <v>7739</v>
      </c>
      <c r="IJ3" t="s">
        <v>7736</v>
      </c>
      <c r="IK3" t="s">
        <v>7737</v>
      </c>
      <c r="IL3" t="s">
        <v>7738</v>
      </c>
      <c r="IM3" t="s">
        <v>7739</v>
      </c>
      <c r="IP3" t="s">
        <v>39</v>
      </c>
      <c r="IQ3" t="s">
        <v>40</v>
      </c>
      <c r="IR3" t="s">
        <v>41</v>
      </c>
    </row>
    <row r="4" spans="1:252" x14ac:dyDescent="0.25">
      <c r="B4">
        <v>364.41813161735752</v>
      </c>
      <c r="C4">
        <v>2.7441005626196708</v>
      </c>
      <c r="D4">
        <v>350.73896411621951</v>
      </c>
      <c r="E4">
        <v>2.8511232064557386</v>
      </c>
      <c r="F4">
        <v>309.18563827721761</v>
      </c>
      <c r="G4">
        <v>3.2343028789176627</v>
      </c>
      <c r="H4">
        <v>279.25353724857291</v>
      </c>
      <c r="I4">
        <v>3.5809752307984786</v>
      </c>
      <c r="J4">
        <v>257.4224071759466</v>
      </c>
      <c r="K4">
        <v>3.884665717217485</v>
      </c>
      <c r="L4">
        <v>299.3948399251949</v>
      </c>
      <c r="M4">
        <v>3.3400709252365681</v>
      </c>
      <c r="N4">
        <v>362.02306454224652</v>
      </c>
      <c r="O4">
        <v>2.7622549443484541</v>
      </c>
      <c r="Q4">
        <v>1.4014887299834012E-2</v>
      </c>
      <c r="R4">
        <v>1.4114607408484676E-2</v>
      </c>
      <c r="S4">
        <v>1.4393882907391988E-2</v>
      </c>
      <c r="T4">
        <v>1.4623064918327065E-2</v>
      </c>
      <c r="U4">
        <v>1.4830286543905327E-2</v>
      </c>
      <c r="V4">
        <v>1.4279658493342715E-2</v>
      </c>
      <c r="W4">
        <v>1.4072588260749083E-2</v>
      </c>
      <c r="Y4">
        <v>0.35737113808323462</v>
      </c>
      <c r="Z4">
        <v>0.36632575373339243</v>
      </c>
      <c r="AA4">
        <v>0.34519025297063727</v>
      </c>
      <c r="AB4">
        <v>0.35077023119204886</v>
      </c>
      <c r="AC4">
        <v>0.35120959197978574</v>
      </c>
      <c r="AD4">
        <v>0.37222594757256094</v>
      </c>
      <c r="AE4">
        <v>0.34159759334948225</v>
      </c>
      <c r="AG4">
        <v>0.23732358336245213</v>
      </c>
      <c r="AH4">
        <v>0.23979677100415148</v>
      </c>
      <c r="AI4">
        <v>0.22804461490810846</v>
      </c>
      <c r="AJ4">
        <v>0.23043413191331658</v>
      </c>
      <c r="AK4">
        <v>0.22857313470904145</v>
      </c>
      <c r="AL4">
        <v>0.24120624574555541</v>
      </c>
      <c r="AM4">
        <v>0.22752471019997564</v>
      </c>
      <c r="AO4">
        <v>8</v>
      </c>
      <c r="AP4">
        <v>2.2784175951353114</v>
      </c>
      <c r="AQ4">
        <v>0.67172512364324122</v>
      </c>
      <c r="AR4">
        <v>1.6961344552877675</v>
      </c>
      <c r="AS4">
        <v>180.73122445367625</v>
      </c>
      <c r="AT4">
        <v>31.447474746814795</v>
      </c>
      <c r="AU4">
        <v>12.327547502928716</v>
      </c>
      <c r="AV4">
        <v>2.1605580248146787</v>
      </c>
      <c r="AW4">
        <v>0.66507168744232215</v>
      </c>
      <c r="AX4">
        <v>1.5975142358752124</v>
      </c>
      <c r="AY4">
        <v>172.93913211048547</v>
      </c>
      <c r="AZ4">
        <v>31.44379666507492</v>
      </c>
      <c r="BA4">
        <v>12.506726541907389</v>
      </c>
      <c r="BB4">
        <v>1.7318686265177632</v>
      </c>
      <c r="BC4">
        <v>0.59501263516130765</v>
      </c>
      <c r="BD4">
        <v>1.4011936354725056</v>
      </c>
      <c r="BE4">
        <v>149.29777920304119</v>
      </c>
      <c r="BF4">
        <v>30.950890597614176</v>
      </c>
      <c r="BG4">
        <v>12.829326153735238</v>
      </c>
      <c r="BH4">
        <v>1.4802616720666726</v>
      </c>
      <c r="BI4">
        <v>0.5365297031172328</v>
      </c>
      <c r="BJ4">
        <v>1.2163637991958254</v>
      </c>
      <c r="BK4">
        <v>132.31548991556264</v>
      </c>
      <c r="BL4">
        <v>30.907996688272309</v>
      </c>
      <c r="BM4">
        <v>13.067872363550784</v>
      </c>
      <c r="BN4">
        <v>1.4471337953290488</v>
      </c>
      <c r="BO4">
        <v>0.54489055710104717</v>
      </c>
      <c r="BP4">
        <v>1.0997369840694899</v>
      </c>
      <c r="BQ4">
        <v>124.55824972507124</v>
      </c>
      <c r="BR4">
        <v>30.929214054343447</v>
      </c>
      <c r="BS4">
        <v>13.200353654415375</v>
      </c>
      <c r="BU4">
        <v>8</v>
      </c>
      <c r="BV4">
        <v>1.9713514789423323</v>
      </c>
      <c r="BW4">
        <v>0.83087080318340945</v>
      </c>
      <c r="BX4">
        <v>1.5941327415056041</v>
      </c>
      <c r="BY4">
        <v>177.34699903426306</v>
      </c>
      <c r="BZ4">
        <v>30.316129001631413</v>
      </c>
      <c r="CA4">
        <v>13.46015690851441</v>
      </c>
      <c r="CB4">
        <v>1.894775404009714</v>
      </c>
      <c r="CC4">
        <v>0.83744371849530908</v>
      </c>
      <c r="CD4">
        <v>1.5060485090910465</v>
      </c>
      <c r="CE4">
        <v>170.28917144457586</v>
      </c>
      <c r="CF4">
        <v>30.372338069628992</v>
      </c>
      <c r="CG4">
        <v>13.713581697199624</v>
      </c>
      <c r="CH4">
        <v>1.4721586462328891</v>
      </c>
      <c r="CI4">
        <v>0.70775494295413854</v>
      </c>
      <c r="CJ4">
        <v>1.3212807231214401</v>
      </c>
      <c r="CK4">
        <v>145.9844892151753</v>
      </c>
      <c r="CL4">
        <v>29.874333045526441</v>
      </c>
      <c r="CM4">
        <v>13.892792461174491</v>
      </c>
      <c r="CN4">
        <v>1.2285022585527816</v>
      </c>
      <c r="CO4">
        <v>0.67686362912548292</v>
      </c>
      <c r="CP4">
        <v>1.1338292850627467</v>
      </c>
      <c r="CQ4">
        <v>128.65712080638738</v>
      </c>
      <c r="CR4">
        <v>29.830041948310967</v>
      </c>
      <c r="CS4">
        <v>14.530216813717967</v>
      </c>
      <c r="CT4">
        <v>1.2394562569337684</v>
      </c>
      <c r="CU4">
        <v>0.70739920078018692</v>
      </c>
      <c r="CV4">
        <v>1.063116083194116</v>
      </c>
      <c r="CW4">
        <v>122.10170285937974</v>
      </c>
      <c r="CX4">
        <v>29.850617511726391</v>
      </c>
      <c r="CY4">
        <v>14.796858260902427</v>
      </c>
      <c r="DA4">
        <v>8</v>
      </c>
      <c r="DB4">
        <v>1.5938918302279894</v>
      </c>
      <c r="DC4">
        <v>0.75349843694884799</v>
      </c>
      <c r="DD4">
        <v>1.5323459325241549</v>
      </c>
      <c r="DE4">
        <v>172.19527308997831</v>
      </c>
      <c r="DF4">
        <v>29.031080600269501</v>
      </c>
      <c r="DG4">
        <v>13.413527715211126</v>
      </c>
      <c r="DH4">
        <v>1.5638503496213656</v>
      </c>
      <c r="DI4">
        <v>0.71623511523844152</v>
      </c>
      <c r="DJ4">
        <v>1.4936229065429791</v>
      </c>
      <c r="DK4">
        <v>166.80271717398983</v>
      </c>
      <c r="DL4">
        <v>29.023239623090628</v>
      </c>
      <c r="DM4">
        <v>13.273559921612621</v>
      </c>
      <c r="DN4">
        <v>1.1397489670072609</v>
      </c>
      <c r="DO4">
        <v>0.68064137374285971</v>
      </c>
      <c r="DP4">
        <v>1.302114487585238</v>
      </c>
      <c r="DQ4">
        <v>140.8942366699707</v>
      </c>
      <c r="DR4">
        <v>28.594353227567119</v>
      </c>
      <c r="DS4">
        <v>14.202274623147886</v>
      </c>
      <c r="DT4">
        <v>1.1292760935702808</v>
      </c>
      <c r="DU4">
        <v>0.73937069167036151</v>
      </c>
      <c r="DV4">
        <v>1.2304620891746927</v>
      </c>
      <c r="DW4">
        <v>130.78174104178774</v>
      </c>
      <c r="DX4">
        <v>28.58672101961368</v>
      </c>
      <c r="DY4">
        <v>14.772115029980361</v>
      </c>
      <c r="DZ4">
        <v>1.1673833324628804</v>
      </c>
      <c r="EA4">
        <v>0.74907274138687086</v>
      </c>
      <c r="EB4">
        <v>1.183188401250999</v>
      </c>
      <c r="EC4">
        <v>124.77711872575233</v>
      </c>
      <c r="ED4">
        <v>28.63296044659797</v>
      </c>
      <c r="EE4">
        <v>14.813574396555342</v>
      </c>
      <c r="EG4">
        <v>8</v>
      </c>
      <c r="EH4">
        <v>1.4418818475192441</v>
      </c>
      <c r="EI4">
        <v>0.66043173044007664</v>
      </c>
      <c r="EJ4">
        <v>1.552914793218257</v>
      </c>
      <c r="EK4">
        <v>172.01708317506905</v>
      </c>
      <c r="EL4">
        <v>28.177462260645541</v>
      </c>
      <c r="EM4">
        <v>12.886390820009391</v>
      </c>
      <c r="EN4">
        <v>1.3995368467072882</v>
      </c>
      <c r="EO4">
        <v>0.65441498572044543</v>
      </c>
      <c r="EP4">
        <v>1.5054857151447101</v>
      </c>
      <c r="EQ4">
        <v>166.24452701092338</v>
      </c>
      <c r="ER4">
        <v>28.132304933575011</v>
      </c>
      <c r="ES4">
        <v>12.946265183438753</v>
      </c>
      <c r="ET4">
        <v>1.6128595113195958</v>
      </c>
      <c r="EU4">
        <v>0.61608176434403639</v>
      </c>
      <c r="EV4">
        <v>1.3273258511647792</v>
      </c>
      <c r="EW4">
        <v>157.43891984305986</v>
      </c>
      <c r="EX4">
        <v>28.594518559131021</v>
      </c>
      <c r="EY4">
        <v>12.299747956459674</v>
      </c>
      <c r="EZ4">
        <v>1.3409149862908045</v>
      </c>
      <c r="FA4">
        <v>0.65719371812293537</v>
      </c>
      <c r="FB4">
        <v>1.2601133290528455</v>
      </c>
      <c r="FC4">
        <v>139.69489067664719</v>
      </c>
      <c r="FD4">
        <v>28.277770355146107</v>
      </c>
      <c r="FE4">
        <v>13.241328583910681</v>
      </c>
      <c r="FF4">
        <v>1.3030612539193211</v>
      </c>
      <c r="FG4">
        <v>0.67354126811632553</v>
      </c>
      <c r="FH4">
        <v>1.2142027176436951</v>
      </c>
      <c r="FI4">
        <v>134.30043814991956</v>
      </c>
      <c r="FJ4">
        <v>27.612837885395891</v>
      </c>
      <c r="FK4">
        <v>13.200728771876069</v>
      </c>
      <c r="FN4">
        <v>8</v>
      </c>
      <c r="FO4">
        <v>1.7484346678782907</v>
      </c>
      <c r="FP4">
        <v>0.69349345966717624</v>
      </c>
      <c r="FQ4">
        <v>1.3632149559788334</v>
      </c>
      <c r="FR4">
        <v>146.15106880281482</v>
      </c>
      <c r="FS4">
        <v>31.104665120668336</v>
      </c>
      <c r="FT4">
        <v>13.493292520688975</v>
      </c>
      <c r="FU4">
        <v>2.1402466283627728</v>
      </c>
      <c r="FV4">
        <v>0.87507674759862464</v>
      </c>
      <c r="FW4">
        <v>1.6360086057366547</v>
      </c>
      <c r="FX4">
        <v>175.55715424481363</v>
      </c>
      <c r="FY4">
        <v>31.459783950153017</v>
      </c>
      <c r="FZ4">
        <v>13.790928972054768</v>
      </c>
      <c r="GB4">
        <v>8</v>
      </c>
      <c r="GC4">
        <v>1.5580674085836819</v>
      </c>
      <c r="GD4">
        <v>0.86878070992758116</v>
      </c>
      <c r="GE4">
        <v>1.2776004775787941</v>
      </c>
      <c r="GF4">
        <v>144.03504539194421</v>
      </c>
      <c r="GG4">
        <v>30.239951540906794</v>
      </c>
      <c r="GH4">
        <v>14.908499302963568</v>
      </c>
      <c r="GI4">
        <v>1.8043256007515169</v>
      </c>
      <c r="GJ4">
        <v>0.94084180331143696</v>
      </c>
      <c r="GK4">
        <v>1.5503636659557452</v>
      </c>
      <c r="GL4">
        <v>171.81558873671918</v>
      </c>
      <c r="GM4">
        <v>30.189746774273495</v>
      </c>
      <c r="GN4">
        <v>14.474014370429629</v>
      </c>
      <c r="GP4">
        <v>8</v>
      </c>
      <c r="GQ4">
        <v>1.2618733103092152</v>
      </c>
      <c r="GR4">
        <v>0.68610163370134281</v>
      </c>
      <c r="GS4">
        <v>1.2768888935526532</v>
      </c>
      <c r="GT4">
        <v>140.35746622777509</v>
      </c>
      <c r="GU4">
        <v>28.922000401336156</v>
      </c>
      <c r="GV4">
        <v>13.997597351989693</v>
      </c>
      <c r="GW4">
        <v>1.4524925749730278</v>
      </c>
      <c r="GX4">
        <v>0.71340394820845776</v>
      </c>
      <c r="GY4">
        <v>1.5296112920535485</v>
      </c>
      <c r="GZ4">
        <v>167.43684351544982</v>
      </c>
      <c r="HA4">
        <v>28.877969678218523</v>
      </c>
      <c r="HB4">
        <v>13.494183226929016</v>
      </c>
      <c r="HD4">
        <v>8</v>
      </c>
      <c r="HE4">
        <v>1.3578095829079044</v>
      </c>
      <c r="HF4">
        <v>0.60572477840462213</v>
      </c>
      <c r="HG4">
        <v>1.2365249252278177</v>
      </c>
      <c r="HH4">
        <v>146.79769371477289</v>
      </c>
      <c r="HI4">
        <v>28.306677455319956</v>
      </c>
      <c r="HJ4">
        <v>12.835967613812331</v>
      </c>
      <c r="HK4">
        <v>1.6118154035554766</v>
      </c>
      <c r="HL4">
        <v>0.66140898282160232</v>
      </c>
      <c r="HM4">
        <v>1.5979879271088628</v>
      </c>
      <c r="HN4">
        <v>174.68377331518303</v>
      </c>
      <c r="HO4">
        <v>28.592002702085637</v>
      </c>
      <c r="HP4">
        <v>12.636711687961931</v>
      </c>
      <c r="HS4" t="s">
        <v>7710</v>
      </c>
      <c r="HT4" t="s">
        <v>7711</v>
      </c>
      <c r="HU4" t="s">
        <v>7712</v>
      </c>
      <c r="HV4" t="s">
        <v>7711</v>
      </c>
      <c r="HW4" t="s">
        <v>7712</v>
      </c>
      <c r="HX4" t="s">
        <v>7711</v>
      </c>
      <c r="HY4" t="s">
        <v>7712</v>
      </c>
      <c r="IA4">
        <v>22</v>
      </c>
      <c r="IB4">
        <v>27.1</v>
      </c>
      <c r="IC4">
        <v>24</v>
      </c>
      <c r="ID4">
        <v>23</v>
      </c>
      <c r="IE4">
        <v>22</v>
      </c>
      <c r="IF4">
        <v>12.6</v>
      </c>
      <c r="IG4">
        <v>11</v>
      </c>
      <c r="IH4">
        <v>10.3</v>
      </c>
      <c r="II4">
        <v>9.65</v>
      </c>
      <c r="IJ4">
        <v>12.77</v>
      </c>
      <c r="IK4">
        <v>11.57</v>
      </c>
      <c r="IL4">
        <v>11.3</v>
      </c>
      <c r="IM4">
        <v>10.6</v>
      </c>
      <c r="IN4">
        <v>4</v>
      </c>
      <c r="IO4">
        <v>1.2</v>
      </c>
      <c r="IP4">
        <v>6.25</v>
      </c>
      <c r="IQ4">
        <v>8</v>
      </c>
      <c r="IR4">
        <v>11</v>
      </c>
    </row>
    <row r="5" spans="1:252" x14ac:dyDescent="0.25">
      <c r="B5">
        <v>377.97957262371165</v>
      </c>
      <c r="C5">
        <v>2.6456456179856196</v>
      </c>
      <c r="D5">
        <v>365.91648379088667</v>
      </c>
      <c r="E5">
        <v>2.7328640394661159</v>
      </c>
      <c r="F5">
        <v>330.23041724644162</v>
      </c>
      <c r="G5">
        <v>3.0281886457894891</v>
      </c>
      <c r="H5">
        <v>304.70326439702842</v>
      </c>
      <c r="I5">
        <v>3.2818814789493023</v>
      </c>
      <c r="J5">
        <v>286.17145793884873</v>
      </c>
      <c r="K5">
        <v>3.4944085870844868</v>
      </c>
      <c r="L5">
        <v>318.27510407328242</v>
      </c>
      <c r="M5">
        <v>3.141935976776089</v>
      </c>
      <c r="N5">
        <v>379.06226080906708</v>
      </c>
      <c r="O5">
        <v>2.6380890512962409</v>
      </c>
      <c r="Q5">
        <v>1.5759531691241956E-2</v>
      </c>
      <c r="R5">
        <v>1.5872347633486592E-2</v>
      </c>
      <c r="S5">
        <v>1.6188781171772887E-2</v>
      </c>
      <c r="T5">
        <v>1.6448503912191371E-2</v>
      </c>
      <c r="U5">
        <v>1.6683168008396712E-2</v>
      </c>
      <c r="V5">
        <v>1.6064615805010556E-2</v>
      </c>
      <c r="W5">
        <v>1.5831661793342718E-2</v>
      </c>
      <c r="Y5">
        <v>0.39706437957476509</v>
      </c>
      <c r="Z5">
        <v>0.40516484970769617</v>
      </c>
      <c r="AA5">
        <v>0.38931277216903942</v>
      </c>
      <c r="AB5">
        <v>0.39555663285488979</v>
      </c>
      <c r="AC5">
        <v>0.39689060356339806</v>
      </c>
      <c r="AD5">
        <v>0.41345286144976279</v>
      </c>
      <c r="AE5">
        <v>0.38265326810254074</v>
      </c>
      <c r="AG5">
        <v>0.25065240039528985</v>
      </c>
      <c r="AH5">
        <v>0.25289847866585946</v>
      </c>
      <c r="AI5">
        <v>0.24351206786504093</v>
      </c>
      <c r="AJ5">
        <v>0.24611636176382906</v>
      </c>
      <c r="AK5">
        <v>0.24478787795207366</v>
      </c>
      <c r="AL5">
        <v>0.25539424882847517</v>
      </c>
      <c r="AM5">
        <v>0.24163622035896587</v>
      </c>
      <c r="AO5">
        <v>9</v>
      </c>
      <c r="AP5">
        <v>2.5523332801779808</v>
      </c>
      <c r="AQ5">
        <v>0.79055910089249348</v>
      </c>
      <c r="AR5">
        <v>1.831202804463945</v>
      </c>
      <c r="AS5">
        <v>194.22974341591967</v>
      </c>
      <c r="AT5">
        <v>31.324627730910471</v>
      </c>
      <c r="AU5">
        <v>12.380806479431078</v>
      </c>
      <c r="AV5">
        <v>2.4529289210975462</v>
      </c>
      <c r="AW5">
        <v>0.78603814694374297</v>
      </c>
      <c r="AX5">
        <v>1.7465928594107674</v>
      </c>
      <c r="AY5">
        <v>187.48456177992387</v>
      </c>
      <c r="AZ5">
        <v>31.320192392867089</v>
      </c>
      <c r="BA5">
        <v>12.527348751678524</v>
      </c>
      <c r="BB5">
        <v>2.0929752091684239</v>
      </c>
      <c r="BC5">
        <v>0.73090875687500556</v>
      </c>
      <c r="BD5">
        <v>1.5835103643596089</v>
      </c>
      <c r="BE5">
        <v>167.72201716482542</v>
      </c>
      <c r="BF5">
        <v>30.876376968623997</v>
      </c>
      <c r="BG5">
        <v>12.766110197814728</v>
      </c>
      <c r="BH5">
        <v>1.8918443018216877</v>
      </c>
      <c r="BI5">
        <v>0.68671282243528164</v>
      </c>
      <c r="BJ5">
        <v>1.4321047176762758</v>
      </c>
      <c r="BK5">
        <v>153.69218269017915</v>
      </c>
      <c r="BL5">
        <v>30.834304786344482</v>
      </c>
      <c r="BM5">
        <v>12.934607852178161</v>
      </c>
      <c r="BN5">
        <v>1.8722640376319801</v>
      </c>
      <c r="BO5">
        <v>0.69728633061861633</v>
      </c>
      <c r="BP5">
        <v>1.3360177508672049</v>
      </c>
      <c r="BQ5">
        <v>147.346017558906</v>
      </c>
      <c r="BR5">
        <v>30.854245102315591</v>
      </c>
      <c r="BS5">
        <v>13.026355062356126</v>
      </c>
      <c r="BU5">
        <v>9</v>
      </c>
      <c r="BV5">
        <v>2.2430219327847829</v>
      </c>
      <c r="BW5">
        <v>0.92321140103522725</v>
      </c>
      <c r="BX5">
        <v>1.7269494192071959</v>
      </c>
      <c r="BY5">
        <v>191.24944328650116</v>
      </c>
      <c r="BZ5">
        <v>30.195450298538717</v>
      </c>
      <c r="CA5">
        <v>13.267349291697945</v>
      </c>
      <c r="CB5">
        <v>2.1801114512515802</v>
      </c>
      <c r="CC5">
        <v>0.93064302615763717</v>
      </c>
      <c r="CD5">
        <v>1.6516000594413232</v>
      </c>
      <c r="CE5">
        <v>185.10741593007396</v>
      </c>
      <c r="CF5">
        <v>30.248572417589084</v>
      </c>
      <c r="CG5">
        <v>13.469419135149517</v>
      </c>
      <c r="CH5">
        <v>1.8250476313930042</v>
      </c>
      <c r="CI5">
        <v>0.8218217130077019</v>
      </c>
      <c r="CJ5">
        <v>1.4984383382923294</v>
      </c>
      <c r="CK5">
        <v>164.78856306863136</v>
      </c>
      <c r="CL5">
        <v>29.800130292407076</v>
      </c>
      <c r="CM5">
        <v>13.545058396613452</v>
      </c>
      <c r="CN5">
        <v>1.6303570813560064</v>
      </c>
      <c r="CO5">
        <v>0.80074177198284791</v>
      </c>
      <c r="CP5">
        <v>1.3444923135486735</v>
      </c>
      <c r="CQ5">
        <v>150.47042180211446</v>
      </c>
      <c r="CR5">
        <v>29.756707864953434</v>
      </c>
      <c r="CS5">
        <v>13.969370441153508</v>
      </c>
      <c r="CT5">
        <v>1.6489859211880453</v>
      </c>
      <c r="CU5">
        <v>0.82998912585563012</v>
      </c>
      <c r="CV5">
        <v>1.2880222579210574</v>
      </c>
      <c r="CW5">
        <v>145.18239517540906</v>
      </c>
      <c r="CX5">
        <v>29.776144820765921</v>
      </c>
      <c r="CY5">
        <v>14.134525983705943</v>
      </c>
      <c r="DA5">
        <v>9</v>
      </c>
      <c r="DB5">
        <v>1.8877643750770179</v>
      </c>
      <c r="DC5">
        <v>0.83621057563706924</v>
      </c>
      <c r="DD5">
        <v>1.6776826744776223</v>
      </c>
      <c r="DE5">
        <v>187.14128755844024</v>
      </c>
      <c r="DF5">
        <v>28.959966944656998</v>
      </c>
      <c r="DG5">
        <v>13.093702477393881</v>
      </c>
      <c r="DH5">
        <v>1.8629055969024455</v>
      </c>
      <c r="DI5">
        <v>0.8033475386271639</v>
      </c>
      <c r="DJ5">
        <v>1.6443114581609848</v>
      </c>
      <c r="DK5">
        <v>182.4380049142037</v>
      </c>
      <c r="DL5">
        <v>28.952460995879147</v>
      </c>
      <c r="DM5">
        <v>12.968755516531855</v>
      </c>
      <c r="DN5">
        <v>1.5112441022275027</v>
      </c>
      <c r="DO5">
        <v>0.77812365377436032</v>
      </c>
      <c r="DP5">
        <v>1.4868788495105596</v>
      </c>
      <c r="DQ5">
        <v>160.88315560559565</v>
      </c>
      <c r="DR5">
        <v>28.573016880944177</v>
      </c>
      <c r="DS5">
        <v>13.602248429226954</v>
      </c>
      <c r="DT5">
        <v>1.5121451739552612</v>
      </c>
      <c r="DU5">
        <v>0.83270762488915462</v>
      </c>
      <c r="DV5">
        <v>1.4294140620018541</v>
      </c>
      <c r="DW5">
        <v>152.604563881156</v>
      </c>
      <c r="DX5">
        <v>28.565937778086276</v>
      </c>
      <c r="DY5">
        <v>13.983480318180506</v>
      </c>
      <c r="DZ5">
        <v>1.55405743599542</v>
      </c>
      <c r="EA5">
        <v>0.84299643622762488</v>
      </c>
      <c r="EB5">
        <v>1.3925403930355524</v>
      </c>
      <c r="EC5">
        <v>147.7892137688381</v>
      </c>
      <c r="ED5">
        <v>28.608607023170464</v>
      </c>
      <c r="EE5">
        <v>13.973223043094032</v>
      </c>
      <c r="EG5">
        <v>9</v>
      </c>
      <c r="EH5">
        <v>1.7259615133515869</v>
      </c>
      <c r="EI5">
        <v>0.73761405680678838</v>
      </c>
      <c r="EJ5">
        <v>1.6829217719620062</v>
      </c>
      <c r="EK5">
        <v>186.95731040280171</v>
      </c>
      <c r="EL5">
        <v>28.123011764661953</v>
      </c>
      <c r="EM5">
        <v>12.579212958452496</v>
      </c>
      <c r="EN5">
        <v>1.6929244237576191</v>
      </c>
      <c r="EO5">
        <v>0.73257756458253531</v>
      </c>
      <c r="EP5">
        <v>1.6416321863728183</v>
      </c>
      <c r="EQ5">
        <v>182.03782344238246</v>
      </c>
      <c r="ER5">
        <v>28.08233998643529</v>
      </c>
      <c r="ES5">
        <v>12.608500064482408</v>
      </c>
      <c r="ET5">
        <v>1.8809191933531697</v>
      </c>
      <c r="EU5">
        <v>0.70430646456939694</v>
      </c>
      <c r="EV5">
        <v>1.4950383980555859</v>
      </c>
      <c r="EW5">
        <v>174.31308924865732</v>
      </c>
      <c r="EX5">
        <v>28.492365280837202</v>
      </c>
      <c r="EY5">
        <v>12.130789893832446</v>
      </c>
      <c r="EZ5">
        <v>1.6647263591701136</v>
      </c>
      <c r="FA5">
        <v>0.74309612578116568</v>
      </c>
      <c r="FB5">
        <v>1.4408924413997848</v>
      </c>
      <c r="FC5">
        <v>159.93825152604245</v>
      </c>
      <c r="FD5">
        <v>28.210097451023387</v>
      </c>
      <c r="FE5">
        <v>12.782004285296322</v>
      </c>
      <c r="FF5">
        <v>1.6435151669730312</v>
      </c>
      <c r="FG5">
        <v>0.75908939106328288</v>
      </c>
      <c r="FH5">
        <v>1.4047683005419851</v>
      </c>
      <c r="FI5">
        <v>156.30226246338094</v>
      </c>
      <c r="FJ5">
        <v>27.622768870445199</v>
      </c>
      <c r="FK5">
        <v>12.675341808665728</v>
      </c>
      <c r="FN5">
        <v>9</v>
      </c>
      <c r="FO5">
        <v>2.0856939829115291</v>
      </c>
      <c r="FP5">
        <v>0.80529635957342993</v>
      </c>
      <c r="FQ5">
        <v>1.5356028502635506</v>
      </c>
      <c r="FR5">
        <v>163.17646609374918</v>
      </c>
      <c r="FS5">
        <v>31.007268857418286</v>
      </c>
      <c r="FT5">
        <v>13.264720356640312</v>
      </c>
      <c r="FU5">
        <v>2.4557485079750054</v>
      </c>
      <c r="FV5">
        <v>0.9786001977991885</v>
      </c>
      <c r="FW5">
        <v>1.794425440304477</v>
      </c>
      <c r="FX5">
        <v>191.31121790729406</v>
      </c>
      <c r="FY5">
        <v>31.350520573661846</v>
      </c>
      <c r="FZ5">
        <v>13.576755252496246</v>
      </c>
      <c r="GB5">
        <v>9</v>
      </c>
      <c r="GC5">
        <v>1.8850418522016938</v>
      </c>
      <c r="GD5">
        <v>0.95636362136286068</v>
      </c>
      <c r="GE5">
        <v>1.4455973171361762</v>
      </c>
      <c r="GF5">
        <v>161.24616006688998</v>
      </c>
      <c r="GG5">
        <v>30.134078372140934</v>
      </c>
      <c r="GH5">
        <v>14.360388193723479</v>
      </c>
      <c r="GI5">
        <v>2.1148622204749943</v>
      </c>
      <c r="GJ5">
        <v>1.024339204533028</v>
      </c>
      <c r="GK5">
        <v>1.7045130766548853</v>
      </c>
      <c r="GL5">
        <v>188.00875245262759</v>
      </c>
      <c r="GM5">
        <v>30.088067239849703</v>
      </c>
      <c r="GN5">
        <v>14.058518844669926</v>
      </c>
      <c r="GP5">
        <v>9</v>
      </c>
      <c r="GQ5">
        <v>1.6011222636705467</v>
      </c>
      <c r="GR5">
        <v>0.77910503495702355</v>
      </c>
      <c r="GS5">
        <v>1.4488458585243142</v>
      </c>
      <c r="GT5">
        <v>158.47376108765388</v>
      </c>
      <c r="GU5">
        <v>28.869667790624085</v>
      </c>
      <c r="GV5">
        <v>13.493078300320361</v>
      </c>
      <c r="GW5">
        <v>1.7791095343908045</v>
      </c>
      <c r="GX5">
        <v>0.80388692210155999</v>
      </c>
      <c r="GY5">
        <v>1.6905941050838751</v>
      </c>
      <c r="GZ5">
        <v>184.58503909768527</v>
      </c>
      <c r="HA5">
        <v>28.827186241105572</v>
      </c>
      <c r="HB5">
        <v>13.12496569998051</v>
      </c>
      <c r="HD5">
        <v>9</v>
      </c>
      <c r="HE5">
        <v>1.6480309470648888</v>
      </c>
      <c r="HF5">
        <v>0.69066770796927701</v>
      </c>
      <c r="HG5">
        <v>1.395155861412015</v>
      </c>
      <c r="HH5">
        <v>163.70335909166673</v>
      </c>
      <c r="HI5">
        <v>28.233956500168855</v>
      </c>
      <c r="HJ5">
        <v>12.521804997088646</v>
      </c>
      <c r="HK5">
        <v>1.8896215447056997</v>
      </c>
      <c r="HL5">
        <v>0.74323338436083408</v>
      </c>
      <c r="HM5">
        <v>1.7429505373984007</v>
      </c>
      <c r="HN5">
        <v>190.52809335252772</v>
      </c>
      <c r="HO5">
        <v>28.50802322183403</v>
      </c>
      <c r="HP5">
        <v>12.397220418175239</v>
      </c>
      <c r="HS5">
        <v>700</v>
      </c>
      <c r="HT5">
        <v>7.67</v>
      </c>
      <c r="HU5">
        <v>4.3600000000000003</v>
      </c>
      <c r="HV5">
        <v>8</v>
      </c>
      <c r="HW5">
        <v>6</v>
      </c>
      <c r="HX5">
        <v>11</v>
      </c>
      <c r="HY5">
        <v>11</v>
      </c>
      <c r="IA5">
        <v>23</v>
      </c>
      <c r="IB5">
        <v>27.166666666666668</v>
      </c>
      <c r="IC5">
        <v>24.033333333333335</v>
      </c>
      <c r="ID5">
        <v>23.033333333333335</v>
      </c>
      <c r="IE5">
        <v>22.033333333333335</v>
      </c>
      <c r="IF5">
        <v>12.6</v>
      </c>
      <c r="IG5">
        <v>11.066666666666666</v>
      </c>
      <c r="IH5">
        <v>10.3</v>
      </c>
      <c r="II5">
        <v>9.6566666666666663</v>
      </c>
      <c r="IJ5">
        <v>12.77</v>
      </c>
      <c r="IK5">
        <v>11.573333333333334</v>
      </c>
      <c r="IL5">
        <v>11.393333333333334</v>
      </c>
      <c r="IM5">
        <v>10.666666666666666</v>
      </c>
      <c r="IN5">
        <v>4.0666666666666664</v>
      </c>
      <c r="IO5">
        <v>1.2333333333333334</v>
      </c>
      <c r="IP5">
        <v>6.25</v>
      </c>
      <c r="IQ5">
        <v>8</v>
      </c>
      <c r="IR5">
        <v>11</v>
      </c>
    </row>
    <row r="6" spans="1:252" x14ac:dyDescent="0.25">
      <c r="B6">
        <v>391.35140728562391</v>
      </c>
      <c r="C6">
        <v>2.5552482535731884</v>
      </c>
      <c r="D6">
        <v>380.87993961560312</v>
      </c>
      <c r="E6">
        <v>2.625499261024967</v>
      </c>
      <c r="F6">
        <v>351.01544739510115</v>
      </c>
      <c r="G6">
        <v>2.8488774708379294</v>
      </c>
      <c r="H6">
        <v>329.89837019060235</v>
      </c>
      <c r="I6">
        <v>3.0312365575563138</v>
      </c>
      <c r="J6">
        <v>314.58930076282024</v>
      </c>
      <c r="K6">
        <v>3.1787476483630783</v>
      </c>
      <c r="L6">
        <v>336.89898762365948</v>
      </c>
      <c r="M6">
        <v>2.9682487532941839</v>
      </c>
      <c r="N6">
        <v>395.87076598508281</v>
      </c>
      <c r="O6">
        <v>2.5260769067188003</v>
      </c>
      <c r="Q6">
        <v>1.750413331106896E-2</v>
      </c>
      <c r="R6">
        <v>1.7630038677680586E-2</v>
      </c>
      <c r="S6">
        <v>1.7983615439726451E-2</v>
      </c>
      <c r="T6">
        <v>1.8273877100019455E-2</v>
      </c>
      <c r="U6">
        <v>1.8535962114799579E-2</v>
      </c>
      <c r="V6">
        <v>1.7849573116678393E-2</v>
      </c>
      <c r="W6">
        <v>1.7590735325936354E-2</v>
      </c>
      <c r="Y6">
        <v>0.43633036817317122</v>
      </c>
      <c r="Z6">
        <v>0.44360407635569882</v>
      </c>
      <c r="AA6">
        <v>0.43295978689270187</v>
      </c>
      <c r="AB6">
        <v>0.43990439612082816</v>
      </c>
      <c r="AC6">
        <v>0.44212216483069638</v>
      </c>
      <c r="AD6">
        <v>0.45424461473193989</v>
      </c>
      <c r="AE6">
        <v>0.42327485844616614</v>
      </c>
      <c r="AG6">
        <v>0.26384924147649363</v>
      </c>
      <c r="AH6">
        <v>0.26587761058893283</v>
      </c>
      <c r="AI6">
        <v>0.25882432745962869</v>
      </c>
      <c r="AJ6">
        <v>0.2616602991183295</v>
      </c>
      <c r="AK6">
        <v>0.26085696148651533</v>
      </c>
      <c r="AL6">
        <v>0.26944415983163811</v>
      </c>
      <c r="AM6">
        <v>0.25561006376418066</v>
      </c>
      <c r="AO6">
        <v>10</v>
      </c>
      <c r="AP6">
        <v>2.823738746082654</v>
      </c>
      <c r="AQ6">
        <v>0.90833735579975683</v>
      </c>
      <c r="AR6">
        <v>1.964810213214069</v>
      </c>
      <c r="AS6">
        <v>207.67907802721666</v>
      </c>
      <c r="AT6">
        <v>31.204521694333799</v>
      </c>
      <c r="AU6">
        <v>12.421104548022658</v>
      </c>
      <c r="AV6">
        <v>2.742636843020994</v>
      </c>
      <c r="AW6">
        <v>0.90596556002986028</v>
      </c>
      <c r="AX6">
        <v>1.8940372195977462</v>
      </c>
      <c r="AY6">
        <v>201.97615603415849</v>
      </c>
      <c r="AZ6">
        <v>31.199618422896698</v>
      </c>
      <c r="BA6">
        <v>12.538674821249648</v>
      </c>
      <c r="BB6">
        <v>2.4505671635516664</v>
      </c>
      <c r="BC6">
        <v>0.86560368505712648</v>
      </c>
      <c r="BD6">
        <v>1.7637350503002966</v>
      </c>
      <c r="BE6">
        <v>186.03057207104004</v>
      </c>
      <c r="BF6">
        <v>30.803837456475627</v>
      </c>
      <c r="BG6">
        <v>12.710895455693827</v>
      </c>
      <c r="BH6">
        <v>2.2994907972546819</v>
      </c>
      <c r="BI6">
        <v>0.83560183394217868</v>
      </c>
      <c r="BJ6">
        <v>1.645388284631234</v>
      </c>
      <c r="BK6">
        <v>174.9538360722259</v>
      </c>
      <c r="BL6">
        <v>30.762750272556492</v>
      </c>
      <c r="BM6">
        <v>12.828714558248272</v>
      </c>
      <c r="BN6">
        <v>2.2932523344306412</v>
      </c>
      <c r="BO6">
        <v>0.84835613617304384</v>
      </c>
      <c r="BP6">
        <v>1.5695377676582432</v>
      </c>
      <c r="BQ6">
        <v>169.99520266431711</v>
      </c>
      <c r="BR6">
        <v>30.781896657939161</v>
      </c>
      <c r="BS6">
        <v>12.893362346281904</v>
      </c>
      <c r="BU6">
        <v>10</v>
      </c>
      <c r="BV6">
        <v>2.5121435724726555</v>
      </c>
      <c r="BW6">
        <v>1.0148044027832297</v>
      </c>
      <c r="BX6">
        <v>1.8583187366758291</v>
      </c>
      <c r="BY6">
        <v>205.10116480913243</v>
      </c>
      <c r="BZ6">
        <v>30.077504083852205</v>
      </c>
      <c r="CA6">
        <v>13.096320491871165</v>
      </c>
      <c r="CB6">
        <v>2.4628031896565159</v>
      </c>
      <c r="CC6">
        <v>1.0231201719289642</v>
      </c>
      <c r="CD6">
        <v>1.7955479740414384</v>
      </c>
      <c r="CE6">
        <v>199.87135119984063</v>
      </c>
      <c r="CF6">
        <v>30.128106450853441</v>
      </c>
      <c r="CG6">
        <v>13.256867170563808</v>
      </c>
      <c r="CH6">
        <v>2.1744542437832184</v>
      </c>
      <c r="CI6">
        <v>0.93493145598105643</v>
      </c>
      <c r="CJ6">
        <v>1.6735569404992567</v>
      </c>
      <c r="CK6">
        <v>183.47378578211749</v>
      </c>
      <c r="CL6">
        <v>29.728184661324292</v>
      </c>
      <c r="CM6">
        <v>13.26588925881892</v>
      </c>
      <c r="CN6">
        <v>2.0283172319432312</v>
      </c>
      <c r="CO6">
        <v>0.92361510041960093</v>
      </c>
      <c r="CP6">
        <v>1.5527466783730759</v>
      </c>
      <c r="CQ6">
        <v>172.16568648880215</v>
      </c>
      <c r="CR6">
        <v>29.685866604647952</v>
      </c>
      <c r="CS6">
        <v>13.547682688038263</v>
      </c>
      <c r="CT6">
        <v>2.0544898171917323</v>
      </c>
      <c r="CU6">
        <v>0.95158318667135533</v>
      </c>
      <c r="CV6">
        <v>1.5103032678587052</v>
      </c>
      <c r="CW6">
        <v>168.12239134540997</v>
      </c>
      <c r="CX6">
        <v>29.704622944954735</v>
      </c>
      <c r="CY6">
        <v>13.650988290214073</v>
      </c>
      <c r="DA6">
        <v>10</v>
      </c>
      <c r="DB6">
        <v>2.1781303805989922</v>
      </c>
      <c r="DC6">
        <v>0.91827454353495608</v>
      </c>
      <c r="DD6">
        <v>1.8212553602376085</v>
      </c>
      <c r="DE6">
        <v>201.97530750243956</v>
      </c>
      <c r="DF6">
        <v>28.889263754211072</v>
      </c>
      <c r="DG6">
        <v>12.821075805600319</v>
      </c>
      <c r="DH6">
        <v>2.1584951868927758</v>
      </c>
      <c r="DI6">
        <v>0.8898284553265382</v>
      </c>
      <c r="DJ6">
        <v>1.7932166856402707</v>
      </c>
      <c r="DK6">
        <v>197.95797525008965</v>
      </c>
      <c r="DL6">
        <v>28.882076286332307</v>
      </c>
      <c r="DM6">
        <v>12.711668899805195</v>
      </c>
      <c r="DN6">
        <v>1.8783459207554047</v>
      </c>
      <c r="DO6">
        <v>0.87485583326306438</v>
      </c>
      <c r="DP6">
        <v>1.6693930295515484</v>
      </c>
      <c r="DQ6">
        <v>180.68486264879311</v>
      </c>
      <c r="DR6">
        <v>28.548236889337911</v>
      </c>
      <c r="DS6">
        <v>13.138163687669049</v>
      </c>
      <c r="DT6">
        <v>1.8908436142452072</v>
      </c>
      <c r="DU6">
        <v>0.92549809310245634</v>
      </c>
      <c r="DV6">
        <v>1.6261060376672138</v>
      </c>
      <c r="DW6">
        <v>174.25366361557326</v>
      </c>
      <c r="DX6">
        <v>28.541230537787765</v>
      </c>
      <c r="DY6">
        <v>13.39615497640993</v>
      </c>
      <c r="DZ6">
        <v>1.9365101733459724</v>
      </c>
      <c r="EA6">
        <v>0.93638063381216075</v>
      </c>
      <c r="EB6">
        <v>1.5994916549449458</v>
      </c>
      <c r="EC6">
        <v>170.60360279504567</v>
      </c>
      <c r="ED6">
        <v>28.581064642178617</v>
      </c>
      <c r="EE6">
        <v>13.363341719451604</v>
      </c>
      <c r="EG6">
        <v>10</v>
      </c>
      <c r="EH6">
        <v>2.0065316667306297</v>
      </c>
      <c r="EI6">
        <v>0.81418475127676271</v>
      </c>
      <c r="EJ6">
        <v>1.81136293206688</v>
      </c>
      <c r="EK6">
        <v>201.77756492804738</v>
      </c>
      <c r="EL6">
        <v>28.067140261242638</v>
      </c>
      <c r="EM6">
        <v>12.317776443462954</v>
      </c>
      <c r="EN6">
        <v>1.9827762791706212</v>
      </c>
      <c r="EO6">
        <v>0.81017559413617002</v>
      </c>
      <c r="EP6">
        <v>1.7761789926170521</v>
      </c>
      <c r="EQ6">
        <v>197.69857172817862</v>
      </c>
      <c r="ER6">
        <v>28.031150586956606</v>
      </c>
      <c r="ES6">
        <v>12.325447548578767</v>
      </c>
      <c r="ET6">
        <v>2.1462052357820167</v>
      </c>
      <c r="EU6">
        <v>0.79185231267061129</v>
      </c>
      <c r="EV6">
        <v>1.6607199326218027</v>
      </c>
      <c r="EW6">
        <v>191.13039743575513</v>
      </c>
      <c r="EX6">
        <v>28.389485131823264</v>
      </c>
      <c r="EY6">
        <v>11.985868346982437</v>
      </c>
      <c r="EZ6">
        <v>1.9851111902225225</v>
      </c>
      <c r="FA6">
        <v>0.82849039454045315</v>
      </c>
      <c r="FB6">
        <v>1.6196340501798066</v>
      </c>
      <c r="FC6">
        <v>180.08033058589911</v>
      </c>
      <c r="FD6">
        <v>28.14122755547811</v>
      </c>
      <c r="FE6">
        <v>12.424018643014476</v>
      </c>
      <c r="FF6">
        <v>1.980286380033079</v>
      </c>
      <c r="FG6">
        <v>0.84414423184844556</v>
      </c>
      <c r="FH6">
        <v>1.5931629259223274</v>
      </c>
      <c r="FI6">
        <v>178.07248036986923</v>
      </c>
      <c r="FJ6">
        <v>27.628125334931472</v>
      </c>
      <c r="FK6">
        <v>12.284873194399678</v>
      </c>
      <c r="FN6">
        <v>10</v>
      </c>
      <c r="FO6">
        <v>2.4196805545857227</v>
      </c>
      <c r="FP6">
        <v>0.91635644967672458</v>
      </c>
      <c r="FQ6">
        <v>1.7060126244126195</v>
      </c>
      <c r="FR6">
        <v>180.10809204638096</v>
      </c>
      <c r="FS6">
        <v>30.912906975370248</v>
      </c>
      <c r="FT6">
        <v>13.075945392376303</v>
      </c>
      <c r="FU6">
        <v>2.7683219874648795</v>
      </c>
      <c r="FV6">
        <v>1.0815165491417638</v>
      </c>
      <c r="FW6">
        <v>1.9510874872080965</v>
      </c>
      <c r="FX6">
        <v>206.99471280635461</v>
      </c>
      <c r="FY6">
        <v>31.2439788299315</v>
      </c>
      <c r="FZ6">
        <v>13.392045708309313</v>
      </c>
      <c r="GB6">
        <v>10</v>
      </c>
      <c r="GC6">
        <v>2.2088143400007265</v>
      </c>
      <c r="GD6">
        <v>1.0434610836384122</v>
      </c>
      <c r="GE6">
        <v>1.6116587857606686</v>
      </c>
      <c r="GF6">
        <v>178.37017909416727</v>
      </c>
      <c r="GG6">
        <v>30.031917372960514</v>
      </c>
      <c r="GH6">
        <v>13.915937198083004</v>
      </c>
      <c r="GI6">
        <v>2.4224523129056319</v>
      </c>
      <c r="GJ6">
        <v>1.1074166335767681</v>
      </c>
      <c r="GK6">
        <v>1.8569487551316204</v>
      </c>
      <c r="GL6">
        <v>204.12270183780052</v>
      </c>
      <c r="GM6">
        <v>29.989161887218565</v>
      </c>
      <c r="GN6">
        <v>13.707356969727893</v>
      </c>
      <c r="GP6">
        <v>10</v>
      </c>
      <c r="GQ6">
        <v>1.9363672000179326</v>
      </c>
      <c r="GR6">
        <v>0.87140195638132523</v>
      </c>
      <c r="GS6">
        <v>1.6187142215321633</v>
      </c>
      <c r="GT6">
        <v>176.43728577841605</v>
      </c>
      <c r="GU6">
        <v>28.816762386374155</v>
      </c>
      <c r="GV6">
        <v>13.093202340062101</v>
      </c>
      <c r="GW6">
        <v>2.1019057811089752</v>
      </c>
      <c r="GX6">
        <v>0.89369970608658666</v>
      </c>
      <c r="GY6">
        <v>1.84965093638082</v>
      </c>
      <c r="GZ6">
        <v>201.59038776856994</v>
      </c>
      <c r="HA6">
        <v>28.775787787725136</v>
      </c>
      <c r="HB6">
        <v>12.819390055406187</v>
      </c>
      <c r="HD6">
        <v>10</v>
      </c>
      <c r="HE6">
        <v>1.9349408938769563</v>
      </c>
      <c r="HF6">
        <v>0.77495772068055091</v>
      </c>
      <c r="HG6">
        <v>1.5518618739009304</v>
      </c>
      <c r="HH6">
        <v>180.50152671433568</v>
      </c>
      <c r="HI6">
        <v>28.160011312684027</v>
      </c>
      <c r="HJ6">
        <v>12.264078246998974</v>
      </c>
      <c r="HK6">
        <v>2.1642996782345474</v>
      </c>
      <c r="HL6">
        <v>0.82445060457094022</v>
      </c>
      <c r="HM6">
        <v>1.8861927244551528</v>
      </c>
      <c r="HN6">
        <v>206.28301108647244</v>
      </c>
      <c r="HO6">
        <v>28.423650036508818</v>
      </c>
      <c r="HP6">
        <v>12.192069029164783</v>
      </c>
      <c r="HS6">
        <v>750</v>
      </c>
      <c r="HT6">
        <v>7.67</v>
      </c>
      <c r="HU6">
        <v>4.43</v>
      </c>
      <c r="HV6">
        <v>8</v>
      </c>
      <c r="HW6">
        <v>6</v>
      </c>
      <c r="HX6">
        <v>11</v>
      </c>
      <c r="HY6">
        <v>11</v>
      </c>
      <c r="IA6">
        <v>24</v>
      </c>
      <c r="IB6">
        <v>27.233333333333334</v>
      </c>
      <c r="IC6">
        <v>24.06666666666667</v>
      </c>
      <c r="ID6">
        <v>23.06666666666667</v>
      </c>
      <c r="IE6">
        <v>22.06666666666667</v>
      </c>
      <c r="IF6">
        <v>12.6</v>
      </c>
      <c r="IG6">
        <v>11.133333333333333</v>
      </c>
      <c r="IH6">
        <v>10.3</v>
      </c>
      <c r="II6">
        <v>9.6633333333333322</v>
      </c>
      <c r="IJ6">
        <v>12.77</v>
      </c>
      <c r="IK6">
        <v>11.576666666666668</v>
      </c>
      <c r="IL6">
        <v>11.486666666666668</v>
      </c>
      <c r="IM6">
        <v>10.733333333333333</v>
      </c>
      <c r="IN6">
        <v>4.1333333333333329</v>
      </c>
      <c r="IO6">
        <v>1.2666666666666668</v>
      </c>
      <c r="IP6">
        <v>6.25</v>
      </c>
      <c r="IQ6">
        <v>8</v>
      </c>
      <c r="IR6">
        <v>11</v>
      </c>
    </row>
    <row r="7" spans="1:252" x14ac:dyDescent="0.25">
      <c r="B7">
        <v>404.5324464554713</v>
      </c>
      <c r="C7">
        <v>2.4719895987628138</v>
      </c>
      <c r="D7">
        <v>395.62830771062676</v>
      </c>
      <c r="E7">
        <v>2.5276249967720386</v>
      </c>
      <c r="F7">
        <v>371.53772019407796</v>
      </c>
      <c r="G7">
        <v>2.6915167576461307</v>
      </c>
      <c r="H7">
        <v>354.83366113047947</v>
      </c>
      <c r="I7">
        <v>2.8182219150631256</v>
      </c>
      <c r="J7">
        <v>342.67162666160982</v>
      </c>
      <c r="K7">
        <v>2.9182456970314199</v>
      </c>
      <c r="L7">
        <v>355.2647762051165</v>
      </c>
      <c r="M7">
        <v>2.8148019927048371</v>
      </c>
      <c r="N7">
        <v>412.44695738358848</v>
      </c>
      <c r="O7">
        <v>2.424554193207368</v>
      </c>
      <c r="Q7">
        <v>1.9248691891065966E-2</v>
      </c>
      <c r="R7">
        <v>1.9387680305832017E-2</v>
      </c>
      <c r="S7">
        <v>1.977838497001691E-2</v>
      </c>
      <c r="T7">
        <v>2.0099183139568953E-2</v>
      </c>
      <c r="U7">
        <v>2.0388667726592851E-2</v>
      </c>
      <c r="V7">
        <v>1.9634530428346231E-2</v>
      </c>
      <c r="W7">
        <v>1.934980885852999E-2</v>
      </c>
      <c r="Y7">
        <v>0.47516898656219492</v>
      </c>
      <c r="Z7">
        <v>0.4816433401026044</v>
      </c>
      <c r="AA7">
        <v>0.47613080110041101</v>
      </c>
      <c r="AB7">
        <v>0.48381255897621467</v>
      </c>
      <c r="AC7">
        <v>0.48690350977575791</v>
      </c>
      <c r="AD7">
        <v>0.49460095813256166</v>
      </c>
      <c r="AE7">
        <v>0.46346219859803017</v>
      </c>
      <c r="AG7">
        <v>0.27691402462070203</v>
      </c>
      <c r="AH7">
        <v>0.2787340995912343</v>
      </c>
      <c r="AI7">
        <v>0.27398111714488749</v>
      </c>
      <c r="AJ7">
        <v>0.27706542802991474</v>
      </c>
      <c r="AK7">
        <v>0.27677997729461817</v>
      </c>
      <c r="AL7">
        <v>0.28335582986945729</v>
      </c>
      <c r="AM7">
        <v>0.26944613123018391</v>
      </c>
      <c r="AO7">
        <v>11</v>
      </c>
      <c r="AP7">
        <v>3.0926331240578637</v>
      </c>
      <c r="AQ7">
        <v>1.0250598382409364</v>
      </c>
      <c r="AR7">
        <v>2.0969562011806544</v>
      </c>
      <c r="AS7">
        <v>221.07683729458535</v>
      </c>
      <c r="AT7">
        <v>31.086858251821543</v>
      </c>
      <c r="AU7">
        <v>12.450945492589804</v>
      </c>
      <c r="AV7">
        <v>3.0296808784617335</v>
      </c>
      <c r="AW7">
        <v>1.0248538279868538</v>
      </c>
      <c r="AX7">
        <v>2.0398468244385293</v>
      </c>
      <c r="AY7">
        <v>216.41140992001851</v>
      </c>
      <c r="AZ7">
        <v>31.08168736664943</v>
      </c>
      <c r="BA7">
        <v>12.542705197790955</v>
      </c>
      <c r="BB7">
        <v>2.8046405020695526</v>
      </c>
      <c r="BC7">
        <v>0.99909664034396739</v>
      </c>
      <c r="BD7">
        <v>1.9418655735892718</v>
      </c>
      <c r="BE7">
        <v>204.22091814185941</v>
      </c>
      <c r="BF7">
        <v>30.732840771988272</v>
      </c>
      <c r="BG7">
        <v>12.661526047182987</v>
      </c>
      <c r="BH7">
        <v>2.7031911771971076</v>
      </c>
      <c r="BI7">
        <v>0.98319425997253984</v>
      </c>
      <c r="BJ7">
        <v>1.8562092293852008</v>
      </c>
      <c r="BK7">
        <v>196.09694613605609</v>
      </c>
      <c r="BL7">
        <v>30.692762051604671</v>
      </c>
      <c r="BM7">
        <v>12.741205098098435</v>
      </c>
      <c r="BN7">
        <v>2.7100904035173938</v>
      </c>
      <c r="BO7">
        <v>0.9980979656301765</v>
      </c>
      <c r="BP7">
        <v>1.8002925514510686</v>
      </c>
      <c r="BQ7">
        <v>192.50241651598034</v>
      </c>
      <c r="BR7">
        <v>30.711375940325908</v>
      </c>
      <c r="BS7">
        <v>12.786733755543503</v>
      </c>
      <c r="BU7">
        <v>11</v>
      </c>
      <c r="BV7">
        <v>2.778715606532566</v>
      </c>
      <c r="BW7">
        <v>1.1056497300571628</v>
      </c>
      <c r="BX7">
        <v>1.9882402367901744</v>
      </c>
      <c r="BY7">
        <v>218.89962958559684</v>
      </c>
      <c r="BZ7">
        <v>29.961982113121113</v>
      </c>
      <c r="CA7">
        <v>12.942943521690053</v>
      </c>
      <c r="CB7">
        <v>2.7428497756093395</v>
      </c>
      <c r="CC7">
        <v>1.1148750313005451</v>
      </c>
      <c r="CD7">
        <v>1.937891782382323</v>
      </c>
      <c r="CE7">
        <v>214.57834542416438</v>
      </c>
      <c r="CF7">
        <v>30.010487172543236</v>
      </c>
      <c r="CG7">
        <v>13.069378989921894</v>
      </c>
      <c r="CH7">
        <v>2.520374734058342</v>
      </c>
      <c r="CI7">
        <v>1.047083407880421</v>
      </c>
      <c r="CJ7">
        <v>1.8466344918331388</v>
      </c>
      <c r="CK7">
        <v>202.03752384404228</v>
      </c>
      <c r="CL7">
        <v>29.657971833871791</v>
      </c>
      <c r="CM7">
        <v>13.035871712634311</v>
      </c>
      <c r="CN7">
        <v>2.422373238433666</v>
      </c>
      <c r="CO7">
        <v>1.0454813282861857</v>
      </c>
      <c r="CP7">
        <v>1.7585872878889748</v>
      </c>
      <c r="CQ7">
        <v>193.73927962204451</v>
      </c>
      <c r="CR7">
        <v>29.616807594364456</v>
      </c>
      <c r="CS7">
        <v>13.217755754742257</v>
      </c>
      <c r="CT7">
        <v>2.4559601156840318</v>
      </c>
      <c r="CU7">
        <v>1.0721795607765392</v>
      </c>
      <c r="CV7">
        <v>1.7299548335355595</v>
      </c>
      <c r="CW7">
        <v>190.91818901960985</v>
      </c>
      <c r="CX7">
        <v>29.63512185121855</v>
      </c>
      <c r="CY7">
        <v>13.280865251526706</v>
      </c>
      <c r="DA7">
        <v>11</v>
      </c>
      <c r="DB7">
        <v>2.4649889968300074</v>
      </c>
      <c r="DC7">
        <v>0.9996902131052966</v>
      </c>
      <c r="DD7">
        <v>1.963063346593267</v>
      </c>
      <c r="DE7">
        <v>216.6964241348465</v>
      </c>
      <c r="DF7">
        <v>28.818842772522224</v>
      </c>
      <c r="DG7">
        <v>12.585560821235646</v>
      </c>
      <c r="DH7">
        <v>2.4506184224252565</v>
      </c>
      <c r="DI7">
        <v>0.97567779608958416</v>
      </c>
      <c r="DJ7">
        <v>1.9403380698102861</v>
      </c>
      <c r="DK7">
        <v>213.36176825747742</v>
      </c>
      <c r="DL7">
        <v>28.811953424827852</v>
      </c>
      <c r="DM7">
        <v>12.491499793681578</v>
      </c>
      <c r="DN7">
        <v>2.2410507412557106</v>
      </c>
      <c r="DO7">
        <v>0.97083714845618152</v>
      </c>
      <c r="DP7">
        <v>1.8496546853610092</v>
      </c>
      <c r="DQ7">
        <v>200.29900392036379</v>
      </c>
      <c r="DR7">
        <v>28.520856753838217</v>
      </c>
      <c r="DS7">
        <v>12.768355970266406</v>
      </c>
      <c r="DT7">
        <v>2.2653640663906227</v>
      </c>
      <c r="DU7">
        <v>1.0177405204363241</v>
      </c>
      <c r="DV7">
        <v>1.8205335393198738</v>
      </c>
      <c r="DW7">
        <v>195.72802055368021</v>
      </c>
      <c r="DX7">
        <v>28.513698652887573</v>
      </c>
      <c r="DY7">
        <v>12.941722207829319</v>
      </c>
      <c r="DZ7">
        <v>2.3147355255463014</v>
      </c>
      <c r="EA7">
        <v>1.0292241271600546</v>
      </c>
      <c r="EB7">
        <v>1.8040385664164524</v>
      </c>
      <c r="EC7">
        <v>193.2196054670637</v>
      </c>
      <c r="ED7">
        <v>28.551239361746628</v>
      </c>
      <c r="EE7">
        <v>12.90036434342761</v>
      </c>
      <c r="EG7">
        <v>11</v>
      </c>
      <c r="EH7">
        <v>2.2835917239864427</v>
      </c>
      <c r="EI7">
        <v>0.89014370937414466</v>
      </c>
      <c r="EJ7">
        <v>1.9382376302363977</v>
      </c>
      <c r="EK7">
        <v>216.47728060421667</v>
      </c>
      <c r="EL7">
        <v>28.010065937368658</v>
      </c>
      <c r="EM7">
        <v>12.092259818932915</v>
      </c>
      <c r="EN7">
        <v>2.2690918222151883</v>
      </c>
      <c r="EO7">
        <v>0.88720900914346368</v>
      </c>
      <c r="EP7">
        <v>1.9091256173635922</v>
      </c>
      <c r="EQ7">
        <v>213.22646936118556</v>
      </c>
      <c r="ER7">
        <v>27.97890312275306</v>
      </c>
      <c r="ES7">
        <v>12.08452076771454</v>
      </c>
      <c r="ET7">
        <v>2.4087165327922766</v>
      </c>
      <c r="EU7">
        <v>0.87871861735310275</v>
      </c>
      <c r="EV7">
        <v>1.8243681865771653</v>
      </c>
      <c r="EW7">
        <v>207.88787600855181</v>
      </c>
      <c r="EX7">
        <v>28.286233440779601</v>
      </c>
      <c r="EY7">
        <v>11.859135312636006</v>
      </c>
      <c r="EZ7">
        <v>2.3020636698058765</v>
      </c>
      <c r="FA7">
        <v>0.91337511059918475</v>
      </c>
      <c r="FB7">
        <v>1.7963338555585768</v>
      </c>
      <c r="FC7">
        <v>200.11853692914485</v>
      </c>
      <c r="FD7">
        <v>28.071509444415376</v>
      </c>
      <c r="FE7">
        <v>12.136268322393411</v>
      </c>
      <c r="FF7">
        <v>2.3133692200080089</v>
      </c>
      <c r="FG7">
        <v>0.92870470180618603</v>
      </c>
      <c r="FH7">
        <v>1.7793831219619587</v>
      </c>
      <c r="FI7">
        <v>199.61196794451934</v>
      </c>
      <c r="FJ7">
        <v>27.630071264399461</v>
      </c>
      <c r="FK7">
        <v>11.983669657169317</v>
      </c>
      <c r="FN7">
        <v>11</v>
      </c>
      <c r="FO7">
        <v>2.7503922851501876</v>
      </c>
      <c r="FP7">
        <v>1.0266736410162114</v>
      </c>
      <c r="FQ7">
        <v>1.8744431584491117</v>
      </c>
      <c r="FR7">
        <v>196.94340254724273</v>
      </c>
      <c r="FS7">
        <v>30.820968235047783</v>
      </c>
      <c r="FT7">
        <v>12.916563006927575</v>
      </c>
      <c r="FU7">
        <v>3.0779654562413143</v>
      </c>
      <c r="FV7">
        <v>1.1838257811055286</v>
      </c>
      <c r="FW7">
        <v>2.1059938799079458</v>
      </c>
      <c r="FX7">
        <v>222.60504598004209</v>
      </c>
      <c r="FY7">
        <v>31.139769521015481</v>
      </c>
      <c r="FZ7">
        <v>13.230519998527779</v>
      </c>
      <c r="GB7">
        <v>11</v>
      </c>
      <c r="GC7">
        <v>2.5293828921146537</v>
      </c>
      <c r="GD7">
        <v>1.1300729633804498</v>
      </c>
      <c r="GE7">
        <v>1.7757838082482786</v>
      </c>
      <c r="GF7">
        <v>195.40426581705722</v>
      </c>
      <c r="GG7">
        <v>29.932698431728372</v>
      </c>
      <c r="GH7">
        <v>13.547458542398505</v>
      </c>
      <c r="GI7">
        <v>2.7270943956974354</v>
      </c>
      <c r="GJ7">
        <v>1.1900740329096493</v>
      </c>
      <c r="GK7">
        <v>2.0076698700301301</v>
      </c>
      <c r="GL7">
        <v>220.15485552799095</v>
      </c>
      <c r="GM7">
        <v>29.892589694225318</v>
      </c>
      <c r="GN7">
        <v>13.406148855258897</v>
      </c>
      <c r="GP7">
        <v>11</v>
      </c>
      <c r="GQ7">
        <v>2.2676063697685875</v>
      </c>
      <c r="GR7">
        <v>0.96299209172313682</v>
      </c>
      <c r="GS7">
        <v>1.7864928361706773</v>
      </c>
      <c r="GT7">
        <v>194.24731523401763</v>
      </c>
      <c r="GU7">
        <v>28.763334164480312</v>
      </c>
      <c r="GV7">
        <v>12.768003076486021</v>
      </c>
      <c r="GW7">
        <v>2.4208800086033841</v>
      </c>
      <c r="GX7">
        <v>0.982842099957838</v>
      </c>
      <c r="GY7">
        <v>2.0067808351070391</v>
      </c>
      <c r="GZ7">
        <v>218.45227584142256</v>
      </c>
      <c r="HA7">
        <v>28.723822419458724</v>
      </c>
      <c r="HB7">
        <v>12.561996989477471</v>
      </c>
      <c r="HD7">
        <v>11</v>
      </c>
      <c r="HE7">
        <v>2.2185384434759374</v>
      </c>
      <c r="HF7">
        <v>0.85859452200375275</v>
      </c>
      <c r="HG7">
        <v>1.7066418357801747</v>
      </c>
      <c r="HH7">
        <v>197.19057236049863</v>
      </c>
      <c r="HI7">
        <v>28.085178951719243</v>
      </c>
      <c r="HJ7">
        <v>12.048003717157501</v>
      </c>
      <c r="HK7">
        <v>2.4358490858449131</v>
      </c>
      <c r="HL7">
        <v>0.90506043313347484</v>
      </c>
      <c r="HM7">
        <v>2.0277134970190818</v>
      </c>
      <c r="HN7">
        <v>221.94683544534934</v>
      </c>
      <c r="HO7">
        <v>28.339009398428253</v>
      </c>
      <c r="HP7">
        <v>12.013756174039473</v>
      </c>
      <c r="HS7">
        <v>850</v>
      </c>
      <c r="HT7">
        <v>7.67</v>
      </c>
      <c r="HU7">
        <v>4.5</v>
      </c>
      <c r="HV7">
        <v>8</v>
      </c>
      <c r="HW7">
        <v>6</v>
      </c>
      <c r="HX7">
        <v>11</v>
      </c>
      <c r="HY7">
        <v>11</v>
      </c>
      <c r="IA7">
        <v>25</v>
      </c>
      <c r="IB7">
        <v>27.3</v>
      </c>
      <c r="IC7">
        <v>24.1</v>
      </c>
      <c r="ID7">
        <v>23.1</v>
      </c>
      <c r="IE7">
        <v>22.1</v>
      </c>
      <c r="IF7">
        <v>12.6</v>
      </c>
      <c r="IG7">
        <v>11.2</v>
      </c>
      <c r="IH7">
        <v>10.3</v>
      </c>
      <c r="II7">
        <v>9.67</v>
      </c>
      <c r="IJ7">
        <v>12.77</v>
      </c>
      <c r="IK7">
        <v>11.58</v>
      </c>
      <c r="IL7">
        <v>11.58</v>
      </c>
      <c r="IM7">
        <v>10.8</v>
      </c>
      <c r="IN7">
        <v>4.2</v>
      </c>
      <c r="IO7">
        <v>1.3</v>
      </c>
      <c r="IP7">
        <v>6.25</v>
      </c>
      <c r="IQ7">
        <v>8</v>
      </c>
      <c r="IR7">
        <v>11</v>
      </c>
    </row>
    <row r="8" spans="1:252" x14ac:dyDescent="0.25">
      <c r="B8">
        <v>417.52151447320483</v>
      </c>
      <c r="C8">
        <v>2.3950861580431844</v>
      </c>
      <c r="D8">
        <v>410.160576603908</v>
      </c>
      <c r="E8">
        <v>2.4380695196986224</v>
      </c>
      <c r="F8">
        <v>391.79424955776136</v>
      </c>
      <c r="G8">
        <v>2.5523600745257293</v>
      </c>
      <c r="H8">
        <v>379.50395344148245</v>
      </c>
      <c r="I8">
        <v>2.6350186629984469</v>
      </c>
      <c r="J8">
        <v>370.41415280170389</v>
      </c>
      <c r="K8">
        <v>2.6996808638014871</v>
      </c>
      <c r="L8">
        <v>373.37077387521555</v>
      </c>
      <c r="M8">
        <v>2.6783028291716549</v>
      </c>
      <c r="N8">
        <v>428.78922945254374</v>
      </c>
      <c r="O8">
        <v>2.332148130858485</v>
      </c>
      <c r="Q8">
        <v>2.0993207166026446E-2</v>
      </c>
      <c r="R8">
        <v>2.1145272285556894E-2</v>
      </c>
      <c r="S8">
        <v>2.1573089026938098E-2</v>
      </c>
      <c r="T8">
        <v>2.1924420691110526E-2</v>
      </c>
      <c r="U8">
        <v>2.2241283714153397E-2</v>
      </c>
      <c r="V8">
        <v>2.1419487740014072E-2</v>
      </c>
      <c r="W8">
        <v>2.1108882391123622E-2</v>
      </c>
      <c r="Y8">
        <v>0.51358011875620468</v>
      </c>
      <c r="Z8">
        <v>0.51928254850758548</v>
      </c>
      <c r="AA8">
        <v>0.51882532245140134</v>
      </c>
      <c r="AB8">
        <v>0.52728016120855015</v>
      </c>
      <c r="AC8">
        <v>0.53123387704181613</v>
      </c>
      <c r="AD8">
        <v>0.53452164504482336</v>
      </c>
      <c r="AE8">
        <v>0.50321512452637329</v>
      </c>
      <c r="AG8">
        <v>0.28984666877244963</v>
      </c>
      <c r="AH8">
        <v>0.29146787930476059</v>
      </c>
      <c r="AI8">
        <v>0.28898216243686259</v>
      </c>
      <c r="AJ8">
        <v>0.29233123351767398</v>
      </c>
      <c r="AK8">
        <v>0.29255651983503572</v>
      </c>
      <c r="AL8">
        <v>0.29712911165680322</v>
      </c>
      <c r="AM8">
        <v>0.28314431472447682</v>
      </c>
      <c r="AO8">
        <v>12</v>
      </c>
      <c r="AP8">
        <v>3.3590155551661676</v>
      </c>
      <c r="AQ8">
        <v>1.1407264986604559</v>
      </c>
      <c r="AR8">
        <v>2.2276402934545354</v>
      </c>
      <c r="AS8">
        <v>234.42061249384142</v>
      </c>
      <c r="AT8">
        <v>30.971408653727213</v>
      </c>
      <c r="AU8">
        <v>12.47224847300955</v>
      </c>
      <c r="AV8">
        <v>3.3140601263498701</v>
      </c>
      <c r="AW8">
        <v>1.1427028532971477</v>
      </c>
      <c r="AX8">
        <v>2.1840211878976752</v>
      </c>
      <c r="AY8">
        <v>230.7877999720977</v>
      </c>
      <c r="AZ8">
        <v>30.96611066529865</v>
      </c>
      <c r="BA8">
        <v>12.540929789330535</v>
      </c>
      <c r="BB8">
        <v>3.155191266871467</v>
      </c>
      <c r="BC8">
        <v>1.1313868491858481</v>
      </c>
      <c r="BD8">
        <v>2.1178998303341556</v>
      </c>
      <c r="BE8">
        <v>222.2905250703472</v>
      </c>
      <c r="BF8">
        <v>30.663100609358523</v>
      </c>
      <c r="BG8">
        <v>12.616570998852641</v>
      </c>
      <c r="BH8">
        <v>3.1029354791678689</v>
      </c>
      <c r="BI8">
        <v>1.1294876274998427</v>
      </c>
      <c r="BJ8">
        <v>2.0645622911308115</v>
      </c>
      <c r="BK8">
        <v>217.11799178123013</v>
      </c>
      <c r="BL8">
        <v>30.623995577596762</v>
      </c>
      <c r="BM8">
        <v>12.666657599904372</v>
      </c>
      <c r="BN8">
        <v>3.1227700129522002</v>
      </c>
      <c r="BO8">
        <v>1.1465098230439261</v>
      </c>
      <c r="BP8">
        <v>2.0282776464629801</v>
      </c>
      <c r="BQ8">
        <v>214.86426233348109</v>
      </c>
      <c r="BR8">
        <v>30.64222865742428</v>
      </c>
      <c r="BS8">
        <v>12.698079396512357</v>
      </c>
      <c r="BU8">
        <v>12</v>
      </c>
      <c r="BV8">
        <v>3.0427372524681937</v>
      </c>
      <c r="BW8">
        <v>1.1957473053756651</v>
      </c>
      <c r="BX8">
        <v>2.1167134676136725</v>
      </c>
      <c r="BY8">
        <v>232.64228399252471</v>
      </c>
      <c r="BZ8">
        <v>29.848650746263079</v>
      </c>
      <c r="CA8">
        <v>12.804090820519972</v>
      </c>
      <c r="CB8">
        <v>3.0202503757180619</v>
      </c>
      <c r="CC8">
        <v>1.2059074812724706</v>
      </c>
      <c r="CD8">
        <v>2.0786310196566826</v>
      </c>
      <c r="CE8">
        <v>229.22574636810478</v>
      </c>
      <c r="CF8">
        <v>29.895380043829572</v>
      </c>
      <c r="CG8">
        <v>12.902120597352653</v>
      </c>
      <c r="CH8">
        <v>2.8628053808431528</v>
      </c>
      <c r="CI8">
        <v>1.1582768104113772</v>
      </c>
      <c r="CJ8">
        <v>2.0176689695876142</v>
      </c>
      <c r="CK8">
        <v>220.47713884666098</v>
      </c>
      <c r="CL8">
        <v>29.589148711005574</v>
      </c>
      <c r="CM8">
        <v>12.842302689336982</v>
      </c>
      <c r="CN8">
        <v>2.8125156466804526</v>
      </c>
      <c r="CO8">
        <v>1.1663381737133383</v>
      </c>
      <c r="CP8">
        <v>1.9620090599823332</v>
      </c>
      <c r="CQ8">
        <v>215.1875479508023</v>
      </c>
      <c r="CR8">
        <v>29.549110290951468</v>
      </c>
      <c r="CS8">
        <v>12.951538476205766</v>
      </c>
      <c r="CT8">
        <v>2.8533890349226541</v>
      </c>
      <c r="CU8">
        <v>1.1917764367814472</v>
      </c>
      <c r="CV8">
        <v>1.946972701453723</v>
      </c>
      <c r="CW8">
        <v>213.5662770824934</v>
      </c>
      <c r="CX8">
        <v>29.56711595559014</v>
      </c>
      <c r="CY8">
        <v>12.987209938813347</v>
      </c>
      <c r="DA8">
        <v>12</v>
      </c>
      <c r="DB8">
        <v>2.7483393834466363</v>
      </c>
      <c r="DC8">
        <v>1.080457458257434</v>
      </c>
      <c r="DD8">
        <v>2.1031059976291888</v>
      </c>
      <c r="DE8">
        <v>231.30372035872693</v>
      </c>
      <c r="DF8">
        <v>28.748609855351059</v>
      </c>
      <c r="DG8">
        <v>12.379753690836896</v>
      </c>
      <c r="DH8">
        <v>2.7392746147812739</v>
      </c>
      <c r="DI8">
        <v>1.0608954925084781</v>
      </c>
      <c r="DJ8">
        <v>2.0856750977919507</v>
      </c>
      <c r="DK8">
        <v>228.6485156441135</v>
      </c>
      <c r="DL8">
        <v>28.741997401798482</v>
      </c>
      <c r="DM8">
        <v>12.30047886806771</v>
      </c>
      <c r="DN8">
        <v>2.599354909855776</v>
      </c>
      <c r="DO8">
        <v>1.0660668412984871</v>
      </c>
      <c r="DP8">
        <v>2.0276614920655631</v>
      </c>
      <c r="DQ8">
        <v>219.72520504464308</v>
      </c>
      <c r="DR8">
        <v>28.491407603654551</v>
      </c>
      <c r="DS8">
        <v>12.466590637511796</v>
      </c>
      <c r="DT8">
        <v>2.6356991960995528</v>
      </c>
      <c r="DU8">
        <v>1.1094333339672784</v>
      </c>
      <c r="DV8">
        <v>2.0126920984908141</v>
      </c>
      <c r="DW8">
        <v>217.02658852437904</v>
      </c>
      <c r="DX8">
        <v>28.483994422473042</v>
      </c>
      <c r="DY8">
        <v>12.579587532116836</v>
      </c>
      <c r="DZ8">
        <v>2.6887275101593833</v>
      </c>
      <c r="EA8">
        <v>1.1215257166164667</v>
      </c>
      <c r="EB8">
        <v>2.0061775288618007</v>
      </c>
      <c r="EC8">
        <v>215.63651933798059</v>
      </c>
      <c r="ED8">
        <v>28.519646731541879</v>
      </c>
      <c r="EE8">
        <v>12.53674175624662</v>
      </c>
      <c r="EG8">
        <v>12</v>
      </c>
      <c r="EH8">
        <v>2.5571411080692092</v>
      </c>
      <c r="EI8">
        <v>0.96549082780806716</v>
      </c>
      <c r="EJ8">
        <v>2.0635452304704898</v>
      </c>
      <c r="EK8">
        <v>231.05588066092159</v>
      </c>
      <c r="EL8">
        <v>27.951948770283575</v>
      </c>
      <c r="EM8">
        <v>11.895462030673796</v>
      </c>
      <c r="EN8">
        <v>2.5518704693188785</v>
      </c>
      <c r="EO8">
        <v>0.9636777451571038</v>
      </c>
      <c r="EP8">
        <v>2.040471550357895</v>
      </c>
      <c r="EQ8">
        <v>228.62120162653301</v>
      </c>
      <c r="ER8">
        <v>27.925716651315341</v>
      </c>
      <c r="ES8">
        <v>11.876713394148164</v>
      </c>
      <c r="ET8">
        <v>2.6684519868194148</v>
      </c>
      <c r="EU8">
        <v>0.9649046924793252</v>
      </c>
      <c r="EV8">
        <v>1.9859809085567348</v>
      </c>
      <c r="EW8">
        <v>224.58252738915814</v>
      </c>
      <c r="EX8">
        <v>28.182857893123398</v>
      </c>
      <c r="EY8">
        <v>11.746515037852847</v>
      </c>
      <c r="EZ8">
        <v>2.615577999155247</v>
      </c>
      <c r="FA8">
        <v>0.9977488628027672</v>
      </c>
      <c r="FB8">
        <v>1.97098756575222</v>
      </c>
      <c r="FC8">
        <v>220.05025504393765</v>
      </c>
      <c r="FD8">
        <v>28.001162456649521</v>
      </c>
      <c r="FE8">
        <v>11.899193188627732</v>
      </c>
      <c r="FF8">
        <v>2.6427580482383335</v>
      </c>
      <c r="FG8">
        <v>1.0127697188783678</v>
      </c>
      <c r="FH8">
        <v>1.9634254379098171</v>
      </c>
      <c r="FI8">
        <v>220.92155559719774</v>
      </c>
      <c r="FJ8">
        <v>27.629299800634211</v>
      </c>
      <c r="FK8">
        <v>11.744545938055831</v>
      </c>
      <c r="FN8">
        <v>12</v>
      </c>
      <c r="FO8">
        <v>3.0778270994041814</v>
      </c>
      <c r="FP8">
        <v>1.1362478455873328</v>
      </c>
      <c r="FQ8">
        <v>2.0408933444353812</v>
      </c>
      <c r="FR8">
        <v>213.67984546286925</v>
      </c>
      <c r="FS8">
        <v>30.731038747569958</v>
      </c>
      <c r="FT8">
        <v>12.77952878291441</v>
      </c>
      <c r="FU8">
        <v>3.3846773207201708</v>
      </c>
      <c r="FV8">
        <v>1.2855278733863498</v>
      </c>
      <c r="FW8">
        <v>2.2591437610146325</v>
      </c>
      <c r="FX8">
        <v>238.13961114876997</v>
      </c>
      <c r="FY8">
        <v>31.037607918605683</v>
      </c>
      <c r="FZ8">
        <v>13.087584475043078</v>
      </c>
      <c r="GB8">
        <v>12</v>
      </c>
      <c r="GC8">
        <v>2.8467455499600818</v>
      </c>
      <c r="GD8">
        <v>1.2161991286488993</v>
      </c>
      <c r="GE8">
        <v>1.9379713209530056</v>
      </c>
      <c r="GF8">
        <v>212.34557116277938</v>
      </c>
      <c r="GG8">
        <v>29.83590392941808</v>
      </c>
      <c r="GH8">
        <v>13.236343960893837</v>
      </c>
      <c r="GI8">
        <v>3.0287870021571526</v>
      </c>
      <c r="GJ8">
        <v>1.2723113456061799</v>
      </c>
      <c r="GK8">
        <v>2.1566755987732469</v>
      </c>
      <c r="GL8">
        <v>236.10262091757315</v>
      </c>
      <c r="GM8">
        <v>29.798032460714953</v>
      </c>
      <c r="GN8">
        <v>13.144520539086811</v>
      </c>
      <c r="GP8">
        <v>12</v>
      </c>
      <c r="GQ8">
        <v>2.5948380421470087</v>
      </c>
      <c r="GR8">
        <v>1.0538751380234175</v>
      </c>
      <c r="GS8">
        <v>1.9521805683577111</v>
      </c>
      <c r="GT8">
        <v>211.90311284349437</v>
      </c>
      <c r="GU8">
        <v>28.709415692870017</v>
      </c>
      <c r="GV8">
        <v>12.497952447794033</v>
      </c>
      <c r="GW8">
        <v>2.7360309241460432</v>
      </c>
      <c r="GX8">
        <v>1.0713139056236745</v>
      </c>
      <c r="GY8">
        <v>2.1619828604654994</v>
      </c>
      <c r="GZ8">
        <v>235.17007869361876</v>
      </c>
      <c r="HA8">
        <v>28.671323841903241</v>
      </c>
      <c r="HB8">
        <v>12.341954070535076</v>
      </c>
      <c r="HD8">
        <v>12</v>
      </c>
      <c r="HE8">
        <v>2.4988226265268323</v>
      </c>
      <c r="HF8">
        <v>0.94157782057031558</v>
      </c>
      <c r="HG8">
        <v>1.8594946322492136</v>
      </c>
      <c r="HH8">
        <v>213.76886138878163</v>
      </c>
      <c r="HI8">
        <v>28.009688121635239</v>
      </c>
      <c r="HJ8">
        <v>11.86355063094102</v>
      </c>
      <c r="HK8">
        <v>2.7042690568245091</v>
      </c>
      <c r="HL8">
        <v>0.98506266195083658</v>
      </c>
      <c r="HM8">
        <v>2.1675118742973032</v>
      </c>
      <c r="HN8">
        <v>237.51786392584054</v>
      </c>
      <c r="HO8">
        <v>28.254193204282075</v>
      </c>
      <c r="HP8">
        <v>11.856822134469937</v>
      </c>
      <c r="HS8">
        <v>950</v>
      </c>
      <c r="HT8">
        <v>7.67</v>
      </c>
      <c r="HU8">
        <v>4.6399999999999997</v>
      </c>
      <c r="HV8">
        <v>8</v>
      </c>
      <c r="HW8">
        <v>6</v>
      </c>
      <c r="HX8">
        <v>11</v>
      </c>
      <c r="HY8">
        <v>11</v>
      </c>
      <c r="IA8">
        <v>26</v>
      </c>
      <c r="IB8">
        <v>27.366666666666667</v>
      </c>
      <c r="IC8">
        <v>24.133333333333333</v>
      </c>
      <c r="ID8">
        <v>23.133333333333333</v>
      </c>
      <c r="IE8">
        <v>22.133333333333333</v>
      </c>
      <c r="IF8">
        <v>12.666666666666666</v>
      </c>
      <c r="IG8">
        <v>11.2</v>
      </c>
      <c r="IH8">
        <v>10.3</v>
      </c>
      <c r="II8">
        <v>9.6833333333333336</v>
      </c>
      <c r="IJ8">
        <v>12.89</v>
      </c>
      <c r="IK8">
        <v>11.66</v>
      </c>
      <c r="IL8">
        <v>11.66</v>
      </c>
      <c r="IM8">
        <v>10.9</v>
      </c>
      <c r="IN8">
        <v>4.2666666666666666</v>
      </c>
      <c r="IO8">
        <v>1.3333333333333333</v>
      </c>
      <c r="IP8">
        <v>6.25</v>
      </c>
      <c r="IQ8">
        <v>8</v>
      </c>
      <c r="IR8">
        <v>11</v>
      </c>
    </row>
    <row r="9" spans="1:252" x14ac:dyDescent="0.25">
      <c r="B9">
        <v>430.31744941731546</v>
      </c>
      <c r="C9">
        <v>2.3238657910667593</v>
      </c>
      <c r="D9">
        <v>424.47574739877291</v>
      </c>
      <c r="E9">
        <v>2.3558471976976154</v>
      </c>
      <c r="F9">
        <v>411.78207284244849</v>
      </c>
      <c r="G9">
        <v>2.4284690032696226</v>
      </c>
      <c r="H9">
        <v>403.90407537063925</v>
      </c>
      <c r="I9">
        <v>2.4758353801762416</v>
      </c>
      <c r="J9">
        <v>397.81262398158458</v>
      </c>
      <c r="K9">
        <v>2.5137462707726734</v>
      </c>
      <c r="L9">
        <v>391.21530349362712</v>
      </c>
      <c r="M9">
        <v>2.5561372243616485</v>
      </c>
      <c r="N9">
        <v>444.89599414442057</v>
      </c>
      <c r="O9">
        <v>2.2477163498023844</v>
      </c>
      <c r="Q9">
        <v>2.2737678873843037E-2</v>
      </c>
      <c r="R9">
        <v>2.2902814387360391E-2</v>
      </c>
      <c r="S9">
        <v>2.3367726880559405E-2</v>
      </c>
      <c r="T9">
        <v>2.3749588418021952E-2</v>
      </c>
      <c r="U9">
        <v>2.4093808955146186E-2</v>
      </c>
      <c r="V9">
        <v>2.3204445051681913E-2</v>
      </c>
      <c r="W9">
        <v>2.2867955923717258E-2</v>
      </c>
      <c r="Y9">
        <v>0.55156365012495479</v>
      </c>
      <c r="Z9">
        <v>0.55652161027910785</v>
      </c>
      <c r="AA9">
        <v>0.56104286246996893</v>
      </c>
      <c r="AB9">
        <v>0.57030624483225956</v>
      </c>
      <c r="AC9">
        <v>0.57511251018422793</v>
      </c>
      <c r="AD9">
        <v>0.57400643159593245</v>
      </c>
      <c r="AE9">
        <v>0.54253347398779006</v>
      </c>
      <c r="AG9">
        <v>0.30264709382346966</v>
      </c>
      <c r="AH9">
        <v>0.30407888418664492</v>
      </c>
      <c r="AI9">
        <v>0.30382719100640276</v>
      </c>
      <c r="AJ9">
        <v>0.30745720179503983</v>
      </c>
      <c r="AK9">
        <v>0.30818618618289395</v>
      </c>
      <c r="AL9">
        <v>0.31076385954142677</v>
      </c>
      <c r="AM9">
        <v>0.29670450739238369</v>
      </c>
      <c r="AO9">
        <v>13</v>
      </c>
      <c r="AP9">
        <v>3.6228851905075032</v>
      </c>
      <c r="AQ9">
        <v>1.2553372880818363</v>
      </c>
      <c r="AR9">
        <v>2.3568620206762465</v>
      </c>
      <c r="AS9">
        <v>247.70797782810195</v>
      </c>
      <c r="AT9">
        <v>30.857994582505249</v>
      </c>
      <c r="AU9">
        <v>12.486509247453016</v>
      </c>
      <c r="AV9">
        <v>3.5957736968182812</v>
      </c>
      <c r="AW9">
        <v>1.2595125396555777</v>
      </c>
      <c r="AX9">
        <v>2.3265598299824992</v>
      </c>
      <c r="AY9">
        <v>245.10278487179912</v>
      </c>
      <c r="AZ9">
        <v>30.852668950570084</v>
      </c>
      <c r="BA9">
        <v>12.534481077107992</v>
      </c>
      <c r="BB9">
        <v>3.5022155311774257</v>
      </c>
      <c r="BC9">
        <v>1.262473544105748</v>
      </c>
      <c r="BD9">
        <v>2.2918357331589227</v>
      </c>
      <c r="BE9">
        <v>240.23685866028183</v>
      </c>
      <c r="BF9">
        <v>30.594419444231683</v>
      </c>
      <c r="BG9">
        <v>12.575043242849736</v>
      </c>
      <c r="BH9">
        <v>3.4987137637908474</v>
      </c>
      <c r="BI9">
        <v>1.2744794692330044</v>
      </c>
      <c r="BJ9">
        <v>2.2704422212615603</v>
      </c>
      <c r="BK9">
        <v>238.01343586685127</v>
      </c>
      <c r="BL9">
        <v>30.55623064961183</v>
      </c>
      <c r="BM9">
        <v>12.601607183139054</v>
      </c>
      <c r="BN9">
        <v>3.531282983905875</v>
      </c>
      <c r="BO9">
        <v>1.2935897253456536</v>
      </c>
      <c r="BP9">
        <v>2.2534886256591062</v>
      </c>
      <c r="BQ9">
        <v>237.07733599339389</v>
      </c>
      <c r="BR9">
        <v>30.574175772718217</v>
      </c>
      <c r="BS9">
        <v>12.622246337972999</v>
      </c>
      <c r="BU9">
        <v>13</v>
      </c>
      <c r="BV9">
        <v>3.3042077369273244</v>
      </c>
      <c r="BW9">
        <v>1.2850970521628076</v>
      </c>
      <c r="BX9">
        <v>2.2437379824910102</v>
      </c>
      <c r="BY9">
        <v>246.32655551002381</v>
      </c>
      <c r="BZ9">
        <v>29.73732965621987</v>
      </c>
      <c r="CA9">
        <v>12.6773490313852</v>
      </c>
      <c r="CB9">
        <v>3.2950041669520416</v>
      </c>
      <c r="CC9">
        <v>1.2962174003740585</v>
      </c>
      <c r="CD9">
        <v>2.2177652268360544</v>
      </c>
      <c r="CE9">
        <v>243.81088209811838</v>
      </c>
      <c r="CF9">
        <v>29.782532625938991</v>
      </c>
      <c r="CG9">
        <v>12.751445107316279</v>
      </c>
      <c r="CH9">
        <v>3.2017424919766393</v>
      </c>
      <c r="CI9">
        <v>1.2685109112324073</v>
      </c>
      <c r="CJ9">
        <v>2.1866583669353341</v>
      </c>
      <c r="CK9">
        <v>238.78998815826145</v>
      </c>
      <c r="CL9">
        <v>29.521481344286364</v>
      </c>
      <c r="CM9">
        <v>12.676520806642355</v>
      </c>
      <c r="CN9">
        <v>3.1987350244627741</v>
      </c>
      <c r="CO9">
        <v>1.2861833601239032</v>
      </c>
      <c r="CP9">
        <v>2.163006924325547</v>
      </c>
      <c r="CQ9">
        <v>236.50682139944729</v>
      </c>
      <c r="CR9">
        <v>29.482509905916491</v>
      </c>
      <c r="CS9">
        <v>12.731369421724658</v>
      </c>
      <c r="CT9">
        <v>3.2467688433715738</v>
      </c>
      <c r="CU9">
        <v>1.3103720149830731</v>
      </c>
      <c r="CV9">
        <v>2.1613526455580274</v>
      </c>
      <c r="CW9">
        <v>236.06313660561636</v>
      </c>
      <c r="CX9">
        <v>29.500285821796609</v>
      </c>
      <c r="CY9">
        <v>12.74756774381026</v>
      </c>
      <c r="DA9">
        <v>13</v>
      </c>
      <c r="DB9">
        <v>3.0281807099453104</v>
      </c>
      <c r="DC9">
        <v>1.1605761543741817</v>
      </c>
      <c r="DD9">
        <v>2.2413826848611529</v>
      </c>
      <c r="DE9">
        <v>245.79627069687987</v>
      </c>
      <c r="DF9">
        <v>28.678494337262489</v>
      </c>
      <c r="DG9">
        <v>12.198097284430796</v>
      </c>
      <c r="DH9">
        <v>3.0244630838048794</v>
      </c>
      <c r="DI9">
        <v>1.1454814770258936</v>
      </c>
      <c r="DJ9">
        <v>2.2292272630826786</v>
      </c>
      <c r="DK9">
        <v>243.81734065238112</v>
      </c>
      <c r="DL9">
        <v>28.672138121078067</v>
      </c>
      <c r="DM9">
        <v>12.132874341000912</v>
      </c>
      <c r="DN9">
        <v>2.9532548013672493</v>
      </c>
      <c r="DO9">
        <v>1.1605441596857786</v>
      </c>
      <c r="DP9">
        <v>2.2034111430429704</v>
      </c>
      <c r="DQ9">
        <v>238.96307130653418</v>
      </c>
      <c r="DR9">
        <v>28.460240541866206</v>
      </c>
      <c r="DS9">
        <v>12.215525544593367</v>
      </c>
      <c r="DT9">
        <v>3.0018416860897235</v>
      </c>
      <c r="DU9">
        <v>1.2005749644197619</v>
      </c>
      <c r="DV9">
        <v>2.2025772570742843</v>
      </c>
      <c r="DW9">
        <v>238.14829533617785</v>
      </c>
      <c r="DX9">
        <v>28.452529365317801</v>
      </c>
      <c r="DY9">
        <v>12.284141333703106</v>
      </c>
      <c r="DZ9">
        <v>3.0584801833456976</v>
      </c>
      <c r="EA9">
        <v>1.2132842102664936</v>
      </c>
      <c r="EB9">
        <v>2.2059049669101003</v>
      </c>
      <c r="EC9">
        <v>237.85362010658949</v>
      </c>
      <c r="ED9">
        <v>28.486601712402994</v>
      </c>
      <c r="EE9">
        <v>12.243425261616071</v>
      </c>
      <c r="EG9">
        <v>13</v>
      </c>
      <c r="EH9">
        <v>2.8271792486724059</v>
      </c>
      <c r="EI9">
        <v>1.0402260044947007</v>
      </c>
      <c r="EJ9">
        <v>2.187285104201262</v>
      </c>
      <c r="EK9">
        <v>245.51277759133876</v>
      </c>
      <c r="EL9">
        <v>27.892908724394591</v>
      </c>
      <c r="EM9">
        <v>11.72198327299146</v>
      </c>
      <c r="EN9">
        <v>2.8311116441646575</v>
      </c>
      <c r="EO9">
        <v>1.0395817385310349</v>
      </c>
      <c r="EP9">
        <v>2.1702162876892812</v>
      </c>
      <c r="EQ9">
        <v>243.88244148370086</v>
      </c>
      <c r="ER9">
        <v>27.871678610832159</v>
      </c>
      <c r="ES9">
        <v>11.695411118754606</v>
      </c>
      <c r="ET9">
        <v>2.9254105089151974</v>
      </c>
      <c r="EU9">
        <v>1.0504098572981724</v>
      </c>
      <c r="EV9">
        <v>2.1455558648696424</v>
      </c>
      <c r="EW9">
        <v>241.21132536242879</v>
      </c>
      <c r="EX9">
        <v>28.079536428806588</v>
      </c>
      <c r="EY9">
        <v>11.645080077195114</v>
      </c>
      <c r="EZ9">
        <v>2.9256483929541921</v>
      </c>
      <c r="FA9">
        <v>1.0816102432693555</v>
      </c>
      <c r="FB9">
        <v>2.1435908989303591</v>
      </c>
      <c r="FC9">
        <v>239.8728453177842</v>
      </c>
      <c r="FD9">
        <v>27.93033144014958</v>
      </c>
      <c r="FE9">
        <v>11.699876213256379</v>
      </c>
      <c r="FF9">
        <v>2.9684472624440801</v>
      </c>
      <c r="FG9">
        <v>1.0963382079880795</v>
      </c>
      <c r="FH9">
        <v>2.1452864452784053</v>
      </c>
      <c r="FI9">
        <v>242.00202894873118</v>
      </c>
      <c r="FJ9">
        <v>27.626249457372818</v>
      </c>
      <c r="FK9">
        <v>11.550304064986193</v>
      </c>
      <c r="FN9">
        <v>13</v>
      </c>
      <c r="FO9">
        <v>3.4019829451537258</v>
      </c>
      <c r="FP9">
        <v>1.2450789763611967</v>
      </c>
      <c r="FQ9">
        <v>2.2053620867169599</v>
      </c>
      <c r="FR9">
        <v>230.31486125486859</v>
      </c>
      <c r="FS9">
        <v>30.642828267986939</v>
      </c>
      <c r="FT9">
        <v>12.659903551356678</v>
      </c>
      <c r="FU9">
        <v>3.6884560046913433</v>
      </c>
      <c r="FV9">
        <v>1.3866228059014598</v>
      </c>
      <c r="FW9">
        <v>2.41053628248644</v>
      </c>
      <c r="FX9">
        <v>253.59578940800867</v>
      </c>
      <c r="FY9">
        <v>30.937280907902341</v>
      </c>
      <c r="FZ9">
        <v>12.959801724497467</v>
      </c>
      <c r="GB9">
        <v>13</v>
      </c>
      <c r="GC9">
        <v>3.1609003766674983</v>
      </c>
      <c r="GD9">
        <v>1.3018394489664435</v>
      </c>
      <c r="GE9">
        <v>2.0982202720209875</v>
      </c>
      <c r="GF9">
        <v>229.19123439087878</v>
      </c>
      <c r="GG9">
        <v>29.741173089049109</v>
      </c>
      <c r="GH9">
        <v>12.969625171032618</v>
      </c>
      <c r="GI9">
        <v>3.3275286815821392</v>
      </c>
      <c r="GJ9">
        <v>1.354128515361499</v>
      </c>
      <c r="GK9">
        <v>2.3039651277519426</v>
      </c>
      <c r="GL9">
        <v>251.96339482958564</v>
      </c>
      <c r="GM9">
        <v>29.70525482850319</v>
      </c>
      <c r="GN9">
        <v>12.914800027028187</v>
      </c>
      <c r="GP9">
        <v>13</v>
      </c>
      <c r="GQ9">
        <v>2.9180605055659798</v>
      </c>
      <c r="GR9">
        <v>1.1440507956818902</v>
      </c>
      <c r="GS9">
        <v>2.1157762965841505</v>
      </c>
      <c r="GT9">
        <v>229.40393037495386</v>
      </c>
      <c r="GU9">
        <v>28.655029103756494</v>
      </c>
      <c r="GV9">
        <v>12.269779966937897</v>
      </c>
      <c r="GW9">
        <v>3.0473572491029151</v>
      </c>
      <c r="GX9">
        <v>1.1591149271521488</v>
      </c>
      <c r="GY9">
        <v>2.3152560819161967</v>
      </c>
      <c r="GZ9">
        <v>251.74316070603993</v>
      </c>
      <c r="HA9">
        <v>28.618316375240173</v>
      </c>
      <c r="HB9">
        <v>12.151445392067419</v>
      </c>
      <c r="HD9">
        <v>13</v>
      </c>
      <c r="HE9">
        <v>2.7757924844412001</v>
      </c>
      <c r="HF9">
        <v>1.0239073282419375</v>
      </c>
      <c r="HG9">
        <v>2.0104191608667787</v>
      </c>
      <c r="HH9">
        <v>230.23474875861521</v>
      </c>
      <c r="HI9">
        <v>27.933699473959173</v>
      </c>
      <c r="HJ9">
        <v>11.703673300143588</v>
      </c>
      <c r="HK9">
        <v>2.9695588882095758</v>
      </c>
      <c r="HL9">
        <v>1.0644570851942063</v>
      </c>
      <c r="HM9">
        <v>2.3055868861900142</v>
      </c>
      <c r="HN9">
        <v>252.99438265448958</v>
      </c>
      <c r="HO9">
        <v>28.169269936826293</v>
      </c>
      <c r="HP9">
        <v>11.71719860767173</v>
      </c>
      <c r="HS9">
        <v>1050</v>
      </c>
      <c r="HT9">
        <v>7.67</v>
      </c>
      <c r="HU9">
        <v>4.71</v>
      </c>
      <c r="HV9">
        <v>8</v>
      </c>
      <c r="HW9">
        <v>6</v>
      </c>
      <c r="HX9">
        <v>11</v>
      </c>
      <c r="HY9">
        <v>11</v>
      </c>
      <c r="IA9">
        <v>27</v>
      </c>
      <c r="IB9">
        <v>27.433333333333334</v>
      </c>
      <c r="IC9">
        <v>24.166666666666664</v>
      </c>
      <c r="ID9">
        <v>23.166666666666664</v>
      </c>
      <c r="IE9">
        <v>22.166666666666664</v>
      </c>
      <c r="IF9">
        <v>12.733333333333333</v>
      </c>
      <c r="IG9">
        <v>11.2</v>
      </c>
      <c r="IH9">
        <v>10.3</v>
      </c>
      <c r="II9">
        <v>9.6966666666666672</v>
      </c>
      <c r="IJ9">
        <v>13.010000000000002</v>
      </c>
      <c r="IK9">
        <v>11.74</v>
      </c>
      <c r="IL9">
        <v>11.74</v>
      </c>
      <c r="IM9">
        <v>11</v>
      </c>
      <c r="IN9">
        <v>4.333333333333333</v>
      </c>
      <c r="IO9">
        <v>1.3666666666666665</v>
      </c>
      <c r="IP9">
        <v>6.25</v>
      </c>
      <c r="IQ9">
        <v>8</v>
      </c>
      <c r="IR9">
        <v>11</v>
      </c>
    </row>
    <row r="10" spans="1:252" x14ac:dyDescent="0.25">
      <c r="B10">
        <v>442.91910335397586</v>
      </c>
      <c r="C10">
        <v>2.2577486327132101</v>
      </c>
      <c r="D10">
        <v>438.57283394008346</v>
      </c>
      <c r="E10">
        <v>2.2801229866796016</v>
      </c>
      <c r="F10">
        <v>431.49825184514896</v>
      </c>
      <c r="G10">
        <v>2.3175064921441866</v>
      </c>
      <c r="H10">
        <v>428.02886951454235</v>
      </c>
      <c r="I10">
        <v>2.3362910103100529</v>
      </c>
      <c r="J10">
        <v>424.86281411523709</v>
      </c>
      <c r="K10">
        <v>2.3537009283395802</v>
      </c>
      <c r="L10">
        <v>408.79670709309022</v>
      </c>
      <c r="M10">
        <v>2.446203657340817</v>
      </c>
      <c r="N10">
        <v>460.76568128385321</v>
      </c>
      <c r="O10">
        <v>2.1703005250166476</v>
      </c>
      <c r="Q10">
        <v>2.4482106755563723E-2</v>
      </c>
      <c r="R10">
        <v>2.4660306384675028E-2</v>
      </c>
      <c r="S10">
        <v>2.5162297806971899E-2</v>
      </c>
      <c r="T10">
        <v>2.5574684987389587E-2</v>
      </c>
      <c r="U10">
        <v>2.5946242334915583E-2</v>
      </c>
      <c r="V10">
        <v>2.498940236334975E-2</v>
      </c>
      <c r="W10">
        <v>2.4627029456310894E-2</v>
      </c>
      <c r="Y10">
        <v>0.58911946741816579</v>
      </c>
      <c r="Z10">
        <v>0.59336043529011662</v>
      </c>
      <c r="AA10">
        <v>0.60278293671015426</v>
      </c>
      <c r="AB10">
        <v>0.61288985451979761</v>
      </c>
      <c r="AC10">
        <v>0.61853865793419649</v>
      </c>
      <c r="AD10">
        <v>0.61305507670105053</v>
      </c>
      <c r="AE10">
        <v>0.58141708656479085</v>
      </c>
      <c r="AG10">
        <v>0.31531522062987144</v>
      </c>
      <c r="AH10">
        <v>0.31656704953005971</v>
      </c>
      <c r="AI10">
        <v>0.3185159327709714</v>
      </c>
      <c r="AJ10">
        <v>0.32244282050099854</v>
      </c>
      <c r="AK10">
        <v>0.3236685761702649</v>
      </c>
      <c r="AL10">
        <v>0.32425992953617522</v>
      </c>
      <c r="AM10">
        <v>0.31012660358178978</v>
      </c>
      <c r="AO10">
        <v>14</v>
      </c>
      <c r="AP10">
        <v>3.8842411914012098</v>
      </c>
      <c r="AQ10">
        <v>1.3688921581181963</v>
      </c>
      <c r="AR10">
        <v>2.4846209191366588</v>
      </c>
      <c r="AS10">
        <v>260.93649110891727</v>
      </c>
      <c r="AT10">
        <v>30.746474971919266</v>
      </c>
      <c r="AU10">
        <v>12.494910831120352</v>
      </c>
      <c r="AV10">
        <v>3.874820711350643</v>
      </c>
      <c r="AW10">
        <v>1.3752827919854107</v>
      </c>
      <c r="AX10">
        <v>2.4674622768229142</v>
      </c>
      <c r="AY10">
        <v>259.35380612950365</v>
      </c>
      <c r="AZ10">
        <v>30.741192468583574</v>
      </c>
      <c r="BA10">
        <v>12.524235243744997</v>
      </c>
      <c r="BB10">
        <v>3.8457094006019252</v>
      </c>
      <c r="BC10">
        <v>1.3923559639580454</v>
      </c>
      <c r="BD10">
        <v>2.4636712119076298</v>
      </c>
      <c r="BE10">
        <v>258.05738147314634</v>
      </c>
      <c r="BF10">
        <v>30.526656594253438</v>
      </c>
      <c r="BG10">
        <v>12.536239924605287</v>
      </c>
      <c r="BH10">
        <v>3.8905161192677502</v>
      </c>
      <c r="BI10">
        <v>1.4181673247266986</v>
      </c>
      <c r="BJ10">
        <v>2.4738437857337408</v>
      </c>
      <c r="BK10">
        <v>258.77972637444481</v>
      </c>
      <c r="BL10">
        <v>30.489319957758465</v>
      </c>
      <c r="BM10">
        <v>12.543736163054811</v>
      </c>
      <c r="BN10">
        <v>3.9356211935114995</v>
      </c>
      <c r="BO10">
        <v>1.4393357030355358</v>
      </c>
      <c r="BP10">
        <v>2.4759210922958217</v>
      </c>
      <c r="BQ10">
        <v>259.13822695621189</v>
      </c>
      <c r="BR10">
        <v>30.507036424001313</v>
      </c>
      <c r="BS10">
        <v>12.55589493272428</v>
      </c>
      <c r="BU10">
        <v>14</v>
      </c>
      <c r="BV10">
        <v>3.563126295867669</v>
      </c>
      <c r="BW10">
        <v>1.3736988947645132</v>
      </c>
      <c r="BX10">
        <v>2.3693133401438904</v>
      </c>
      <c r="BY10">
        <v>259.94985345743186</v>
      </c>
      <c r="BZ10">
        <v>29.627877435477849</v>
      </c>
      <c r="CA10">
        <v>12.5608261832406</v>
      </c>
      <c r="CB10">
        <v>3.567110336778899</v>
      </c>
      <c r="CC10">
        <v>1.3858046686840588</v>
      </c>
      <c r="CD10">
        <v>2.3552939507471624</v>
      </c>
      <c r="CE10">
        <v>258.33106171461895</v>
      </c>
      <c r="CF10">
        <v>29.671750838785286</v>
      </c>
      <c r="CG10">
        <v>12.614549463761886</v>
      </c>
      <c r="CH10">
        <v>3.5371824057567487</v>
      </c>
      <c r="CI10">
        <v>1.3777849642085307</v>
      </c>
      <c r="CJ10">
        <v>2.3536006936045335</v>
      </c>
      <c r="CK10">
        <v>256.97342560518837</v>
      </c>
      <c r="CL10">
        <v>29.454804726100047</v>
      </c>
      <c r="CM10">
        <v>12.532417471295975</v>
      </c>
      <c r="CN10">
        <v>3.5810219657304936</v>
      </c>
      <c r="CO10">
        <v>1.4050146172573241</v>
      </c>
      <c r="CP10">
        <v>2.3615758246591629</v>
      </c>
      <c r="CQ10">
        <v>257.69341427974149</v>
      </c>
      <c r="CR10">
        <v>29.41683140666245</v>
      </c>
      <c r="CS10">
        <v>12.545574412738619</v>
      </c>
      <c r="CT10">
        <v>3.6360918623965053</v>
      </c>
      <c r="CU10">
        <v>1.4279645079925778</v>
      </c>
      <c r="CV10">
        <v>2.3730904687093766</v>
      </c>
      <c r="CW10">
        <v>258.40524181614938</v>
      </c>
      <c r="CX10">
        <v>29.43442611315454</v>
      </c>
      <c r="CY10">
        <v>12.547505355864894</v>
      </c>
      <c r="DA10">
        <v>14</v>
      </c>
      <c r="DB10">
        <v>3.3045121558204031</v>
      </c>
      <c r="DC10">
        <v>1.2400461783385475</v>
      </c>
      <c r="DD10">
        <v>2.3778927873708851</v>
      </c>
      <c r="DE10">
        <v>260.17314121890985</v>
      </c>
      <c r="DF10">
        <v>28.608442142370425</v>
      </c>
      <c r="DG10">
        <v>12.036339318272782</v>
      </c>
      <c r="DH10">
        <v>3.30618315801593</v>
      </c>
      <c r="DI10">
        <v>1.2294356829462394</v>
      </c>
      <c r="DJ10">
        <v>2.3709940656406334</v>
      </c>
      <c r="DK10">
        <v>258.86735795927018</v>
      </c>
      <c r="DL10">
        <v>28.602322736716143</v>
      </c>
      <c r="DM10">
        <v>11.984365254639354</v>
      </c>
      <c r="DN10">
        <v>3.3027468205082378</v>
      </c>
      <c r="DO10">
        <v>1.2542683577184341</v>
      </c>
      <c r="DP10">
        <v>2.3769013506997725</v>
      </c>
      <c r="DQ10">
        <v>258.01218780239492</v>
      </c>
      <c r="DR10">
        <v>28.427596960523225</v>
      </c>
      <c r="DS10">
        <v>12.003237787336788</v>
      </c>
      <c r="DT10">
        <v>3.3637842393814186</v>
      </c>
      <c r="DU10">
        <v>1.291163846872335</v>
      </c>
      <c r="DV10">
        <v>2.3901845693340076</v>
      </c>
      <c r="DW10">
        <v>259.09204324133003</v>
      </c>
      <c r="DX10">
        <v>28.419575931426056</v>
      </c>
      <c r="DY10">
        <v>12.038428873050933</v>
      </c>
      <c r="DZ10">
        <v>3.4239876419354509</v>
      </c>
      <c r="EA10">
        <v>1.3044984243507096</v>
      </c>
      <c r="EB10">
        <v>2.4032173296543373</v>
      </c>
      <c r="EC10">
        <v>259.87016186818005</v>
      </c>
      <c r="ED10">
        <v>28.452307582656637</v>
      </c>
      <c r="EE10">
        <v>12.001666715441877</v>
      </c>
      <c r="EG10">
        <v>14</v>
      </c>
      <c r="EH10">
        <v>3.0937055823550903</v>
      </c>
      <c r="EI10">
        <v>1.114349138579142</v>
      </c>
      <c r="EJ10">
        <v>2.3094566304277753</v>
      </c>
      <c r="EK10">
        <v>259.84737303506586</v>
      </c>
      <c r="EL10">
        <v>27.833037523602947</v>
      </c>
      <c r="EM10">
        <v>11.567695044762546</v>
      </c>
      <c r="EN10">
        <v>3.1068147777867634</v>
      </c>
      <c r="EO10">
        <v>1.1149209264310451</v>
      </c>
      <c r="EP10">
        <v>2.2983593318747597</v>
      </c>
      <c r="EQ10">
        <v>259.00984944331981</v>
      </c>
      <c r="ER10">
        <v>27.816854662507993</v>
      </c>
      <c r="ES10">
        <v>11.535647081351684</v>
      </c>
      <c r="ET10">
        <v>3.1795910191148113</v>
      </c>
      <c r="EU10">
        <v>1.1352334366744841</v>
      </c>
      <c r="EV10">
        <v>2.3030908402521426</v>
      </c>
      <c r="EW10">
        <v>257.77121564468473</v>
      </c>
      <c r="EX10">
        <v>27.976400182308662</v>
      </c>
      <c r="EY10">
        <v>11.552673613038445</v>
      </c>
      <c r="EZ10">
        <v>3.2322690819382323</v>
      </c>
      <c r="FA10">
        <v>1.1649578480234182</v>
      </c>
      <c r="FB10">
        <v>2.3141395851429998</v>
      </c>
      <c r="FC10">
        <v>259.58364453922582</v>
      </c>
      <c r="FD10">
        <v>27.859115898919129</v>
      </c>
      <c r="FE10">
        <v>11.529444162777443</v>
      </c>
      <c r="FF10">
        <v>3.2904312986779409</v>
      </c>
      <c r="FG10">
        <v>1.179409101414443</v>
      </c>
      <c r="FH10">
        <v>2.3249627390390768</v>
      </c>
      <c r="FI10">
        <v>262.8541296822516</v>
      </c>
      <c r="FJ10">
        <v>27.621211211508498</v>
      </c>
      <c r="FK10">
        <v>11.389532866432681</v>
      </c>
      <c r="FN10">
        <v>14</v>
      </c>
      <c r="FO10">
        <v>3.7228577936655243</v>
      </c>
      <c r="FP10">
        <v>1.3531669473038248</v>
      </c>
      <c r="FQ10">
        <v>2.3678483021649015</v>
      </c>
      <c r="FR10">
        <v>246.84588360681443</v>
      </c>
      <c r="FS10">
        <v>30.556127226158598</v>
      </c>
      <c r="FT10">
        <v>12.554121785076903</v>
      </c>
      <c r="FU10">
        <v>3.9892999496836667</v>
      </c>
      <c r="FV10">
        <v>1.487110558794106</v>
      </c>
      <c r="FW10">
        <v>2.5601706058256628</v>
      </c>
      <c r="FX10">
        <v>268.97094993866193</v>
      </c>
      <c r="FY10">
        <v>30.838625797661692</v>
      </c>
      <c r="FZ10">
        <v>12.844548459618636</v>
      </c>
      <c r="GB10">
        <v>14</v>
      </c>
      <c r="GC10">
        <v>3.471845457509688</v>
      </c>
      <c r="GD10">
        <v>1.3869937953473817</v>
      </c>
      <c r="GE10">
        <v>2.2565296216231561</v>
      </c>
      <c r="GF10">
        <v>245.93838385913807</v>
      </c>
      <c r="GG10">
        <v>29.648246744452187</v>
      </c>
      <c r="GH10">
        <v>12.737987799345387</v>
      </c>
      <c r="GI10">
        <v>3.6233179995962113</v>
      </c>
      <c r="GJ10">
        <v>1.4355254865044076</v>
      </c>
      <c r="GK10">
        <v>2.4495376525136847</v>
      </c>
      <c r="GL10">
        <v>267.7345642011835</v>
      </c>
      <c r="GM10">
        <v>29.614078963501598</v>
      </c>
      <c r="GN10">
        <v>12.7111915436881</v>
      </c>
      <c r="GP10">
        <v>14</v>
      </c>
      <c r="GQ10">
        <v>3.2372720680051468</v>
      </c>
      <c r="GR10">
        <v>1.2335187685233073</v>
      </c>
      <c r="GS10">
        <v>2.2772789121619739</v>
      </c>
      <c r="GT10">
        <v>246.749007895413</v>
      </c>
      <c r="GU10">
        <v>28.600189963374401</v>
      </c>
      <c r="GV10">
        <v>12.074152320106382</v>
      </c>
      <c r="GW10">
        <v>3.354857719229932</v>
      </c>
      <c r="GX10">
        <v>1.2462449708163652</v>
      </c>
      <c r="GY10">
        <v>2.4665995793915849</v>
      </c>
      <c r="GZ10">
        <v>268.17087519865731</v>
      </c>
      <c r="HA10">
        <v>28.564818008188425</v>
      </c>
      <c r="HB10">
        <v>11.984690024068474</v>
      </c>
      <c r="HD10">
        <v>14</v>
      </c>
      <c r="HE10">
        <v>3.0494470695891822</v>
      </c>
      <c r="HF10">
        <v>1.105582760174314</v>
      </c>
      <c r="HG10">
        <v>2.1594143317947094</v>
      </c>
      <c r="HH10">
        <v>246.58657904995195</v>
      </c>
      <c r="HI10">
        <v>27.857329166627068</v>
      </c>
      <c r="HJ10">
        <v>11.56327772906792</v>
      </c>
      <c r="HK10">
        <v>3.2317178849476318</v>
      </c>
      <c r="HL10">
        <v>1.1432434993511977</v>
      </c>
      <c r="HM10">
        <v>2.4419375735150859</v>
      </c>
      <c r="HN10">
        <v>268.37466645069753</v>
      </c>
      <c r="HO10">
        <v>28.084291675304538</v>
      </c>
      <c r="HP10">
        <v>11.591792110696097</v>
      </c>
      <c r="IA10">
        <v>28</v>
      </c>
      <c r="IB10">
        <v>27.5</v>
      </c>
      <c r="IC10">
        <v>24.2</v>
      </c>
      <c r="ID10">
        <v>23.2</v>
      </c>
      <c r="IE10">
        <v>22.2</v>
      </c>
      <c r="IF10">
        <v>12.8</v>
      </c>
      <c r="IG10">
        <v>11.2</v>
      </c>
      <c r="IH10">
        <v>10.3</v>
      </c>
      <c r="II10">
        <v>9.7100000000000009</v>
      </c>
      <c r="IJ10">
        <v>13.13</v>
      </c>
      <c r="IK10">
        <v>11.82</v>
      </c>
      <c r="IL10">
        <v>11.82</v>
      </c>
      <c r="IM10">
        <v>11.1</v>
      </c>
      <c r="IN10">
        <v>4.4000000000000004</v>
      </c>
      <c r="IO10">
        <v>1.4</v>
      </c>
      <c r="IP10">
        <v>6.25</v>
      </c>
      <c r="IQ10">
        <v>8</v>
      </c>
      <c r="IR10">
        <v>11</v>
      </c>
    </row>
    <row r="11" spans="1:252" x14ac:dyDescent="0.25">
      <c r="B11">
        <v>455.32534258426136</v>
      </c>
      <c r="C11">
        <v>2.1962318071828881</v>
      </c>
      <c r="D11">
        <v>452.45086297882671</v>
      </c>
      <c r="E11">
        <v>2.210184755569351</v>
      </c>
      <c r="F11">
        <v>450.93987380222887</v>
      </c>
      <c r="G11">
        <v>2.217590543874981</v>
      </c>
      <c r="H11">
        <v>451.87319517397316</v>
      </c>
      <c r="I11">
        <v>2.2130102220712509</v>
      </c>
      <c r="J11">
        <v>451.56052771905473</v>
      </c>
      <c r="K11">
        <v>2.2145425443876823</v>
      </c>
      <c r="L11">
        <v>426.11334624784615</v>
      </c>
      <c r="M11">
        <v>2.3467934266915833</v>
      </c>
      <c r="N11">
        <v>476.39673893294031</v>
      </c>
      <c r="O11">
        <v>2.0990907751380816</v>
      </c>
      <c r="Q11">
        <v>2.6226490555447617E-2</v>
      </c>
      <c r="R11">
        <v>2.6417748053898491E-2</v>
      </c>
      <c r="S11">
        <v>2.6956801088534328E-2</v>
      </c>
      <c r="T11">
        <v>2.7399709070616948E-2</v>
      </c>
      <c r="U11">
        <v>2.7798582746877527E-2</v>
      </c>
      <c r="V11">
        <v>2.6774359675017588E-2</v>
      </c>
      <c r="W11">
        <v>2.6386102988904529E-2</v>
      </c>
      <c r="Y11">
        <v>0.62624745878991206</v>
      </c>
      <c r="Z11">
        <v>0.62979893459307812</v>
      </c>
      <c r="AA11">
        <v>0.64404506492039537</v>
      </c>
      <c r="AB11">
        <v>0.65503003803780657</v>
      </c>
      <c r="AC11">
        <v>0.66151157446309583</v>
      </c>
      <c r="AD11">
        <v>0.65166734211686661</v>
      </c>
      <c r="AE11">
        <v>0.61986580370312239</v>
      </c>
      <c r="AG11">
        <v>0.32785097102918431</v>
      </c>
      <c r="AH11">
        <v>0.32893231147501634</v>
      </c>
      <c r="AI11">
        <v>0.33304811998644268</v>
      </c>
      <c r="AJ11">
        <v>0.3372875789340104</v>
      </c>
      <c r="AK11">
        <v>0.33900329252696154</v>
      </c>
      <c r="AL11">
        <v>0.33761717935098945</v>
      </c>
      <c r="AM11">
        <v>0.3234104988677215</v>
      </c>
      <c r="AO11">
        <v>15</v>
      </c>
      <c r="AP11">
        <v>4.1430827295666495</v>
      </c>
      <c r="AQ11">
        <v>1.481391060982675</v>
      </c>
      <c r="AR11">
        <v>2.6109165308768501</v>
      </c>
      <c r="AS11">
        <v>274.10369446002466</v>
      </c>
      <c r="AT11">
        <v>30.636736754741925</v>
      </c>
      <c r="AU11">
        <v>12.498401173459524</v>
      </c>
      <c r="AV11">
        <v>4.1512003029280526</v>
      </c>
      <c r="AW11">
        <v>1.4900135164542125</v>
      </c>
      <c r="AX11">
        <v>2.6067280607505237</v>
      </c>
      <c r="AY11">
        <v>273.53828878988037</v>
      </c>
      <c r="AZ11">
        <v>30.631547794168217</v>
      </c>
      <c r="BA11">
        <v>12.510880805553599</v>
      </c>
      <c r="BB11">
        <v>4.1856690144775754</v>
      </c>
      <c r="BC11">
        <v>1.5210333541872223</v>
      </c>
      <c r="BD11">
        <v>2.6334042143480172</v>
      </c>
      <c r="BE11">
        <v>275.74955348403898</v>
      </c>
      <c r="BF11">
        <v>30.45970914245477</v>
      </c>
      <c r="BG11">
        <v>12.499647022852377</v>
      </c>
      <c r="BH11">
        <v>4.2783326659033722</v>
      </c>
      <c r="BI11">
        <v>1.5605487415046735</v>
      </c>
      <c r="BJ11">
        <v>2.6747617674560673</v>
      </c>
      <c r="BK11">
        <v>279.41329759891522</v>
      </c>
      <c r="BL11">
        <v>30.423161226246449</v>
      </c>
      <c r="BM11">
        <v>12.491435631332228</v>
      </c>
      <c r="BN11">
        <v>4.3357765777223705</v>
      </c>
      <c r="BO11">
        <v>1.5837458008755123</v>
      </c>
      <c r="BP11">
        <v>2.6955706814676916</v>
      </c>
      <c r="BQ11">
        <v>281.04351920776963</v>
      </c>
      <c r="BR11">
        <v>30.440688235207329</v>
      </c>
      <c r="BS11">
        <v>12.496765783463189</v>
      </c>
      <c r="BU11">
        <v>15</v>
      </c>
      <c r="BV11">
        <v>3.8194921747214123</v>
      </c>
      <c r="BW11">
        <v>1.4615527584648504</v>
      </c>
      <c r="BX11">
        <v>2.4934391047660682</v>
      </c>
      <c r="BY11">
        <v>273.5095697545446</v>
      </c>
      <c r="BZ11">
        <v>29.520181626824385</v>
      </c>
      <c r="CA11">
        <v>12.453018141294285</v>
      </c>
      <c r="CB11">
        <v>3.8365680833001199</v>
      </c>
      <c r="CC11">
        <v>1.4746691678506691</v>
      </c>
      <c r="CD11">
        <v>2.4912167441475543</v>
      </c>
      <c r="CE11">
        <v>272.78357611051007</v>
      </c>
      <c r="CF11">
        <v>29.562883007689877</v>
      </c>
      <c r="CG11">
        <v>12.489243768919433</v>
      </c>
      <c r="CH11">
        <v>3.8691214921849379</v>
      </c>
      <c r="CI11">
        <v>1.4860982296649055</v>
      </c>
      <c r="CJ11">
        <v>2.5184939765554866</v>
      </c>
      <c r="CK11">
        <v>275.02480216345185</v>
      </c>
      <c r="CL11">
        <v>29.388999135391717</v>
      </c>
      <c r="CM11">
        <v>12.405561003584001</v>
      </c>
      <c r="CN11">
        <v>3.959367094898496</v>
      </c>
      <c r="CO11">
        <v>1.5228296822061367</v>
      </c>
      <c r="CP11">
        <v>2.5577107211003227</v>
      </c>
      <c r="CQ11">
        <v>278.74362653226984</v>
      </c>
      <c r="CR11">
        <v>29.351954455026501</v>
      </c>
      <c r="CS11">
        <v>12.386127730159563</v>
      </c>
      <c r="CT11">
        <v>4.0213504689665509</v>
      </c>
      <c r="CU11">
        <v>1.5445521413641614</v>
      </c>
      <c r="CV11">
        <v>2.5821820041614707</v>
      </c>
      <c r="CW11">
        <v>280.58906108078315</v>
      </c>
      <c r="CX11">
        <v>29.369398822004843</v>
      </c>
      <c r="CY11">
        <v>12.377322770927643</v>
      </c>
      <c r="DA11">
        <v>15</v>
      </c>
      <c r="DB11">
        <v>3.5773329107409255</v>
      </c>
      <c r="DC11">
        <v>1.3188674085602441</v>
      </c>
      <c r="DD11">
        <v>2.5126356919397805</v>
      </c>
      <c r="DE11">
        <v>274.43338946574818</v>
      </c>
      <c r="DF11">
        <v>28.538411186390118</v>
      </c>
      <c r="DG11">
        <v>11.891170715120385</v>
      </c>
      <c r="DH11">
        <v>3.5844341747221513</v>
      </c>
      <c r="DI11">
        <v>1.3127580444467895</v>
      </c>
      <c r="DJ11">
        <v>2.5109750119681862</v>
      </c>
      <c r="DK11">
        <v>273.7976735735221</v>
      </c>
      <c r="DL11">
        <v>28.532510654435995</v>
      </c>
      <c r="DM11">
        <v>11.851632676223277</v>
      </c>
      <c r="DN11">
        <v>3.6478274031252829</v>
      </c>
      <c r="DO11">
        <v>1.347238695954931</v>
      </c>
      <c r="DP11">
        <v>2.5481298472488012</v>
      </c>
      <c r="DQ11">
        <v>276.87211958459181</v>
      </c>
      <c r="DR11">
        <v>28.393648286899612</v>
      </c>
      <c r="DS11">
        <v>11.821260414150753</v>
      </c>
      <c r="DT11">
        <v>3.7215195826289333</v>
      </c>
      <c r="DU11">
        <v>1.3811984214721442</v>
      </c>
      <c r="DV11">
        <v>2.5755096039328977</v>
      </c>
      <c r="DW11">
        <v>279.85670940446266</v>
      </c>
      <c r="DX11">
        <v>28.385321671361954</v>
      </c>
      <c r="DY11">
        <v>11.830779074435155</v>
      </c>
      <c r="DZ11">
        <v>3.78524402550554</v>
      </c>
      <c r="EA11">
        <v>1.3951671836816606</v>
      </c>
      <c r="EB11">
        <v>2.5981110919007229</v>
      </c>
      <c r="EC11">
        <v>281.68537736057863</v>
      </c>
      <c r="ED11">
        <v>28.416901407934496</v>
      </c>
      <c r="EE11">
        <v>11.798824803928248</v>
      </c>
      <c r="EG11">
        <v>15</v>
      </c>
      <c r="EH11">
        <v>3.3567195526632476</v>
      </c>
      <c r="EI11">
        <v>1.1878601304571352</v>
      </c>
      <c r="EJ11">
        <v>2.4300591958497857</v>
      </c>
      <c r="EK11">
        <v>274.05905765633042</v>
      </c>
      <c r="EL11">
        <v>27.772406498292487</v>
      </c>
      <c r="EM11">
        <v>11.429386909339648</v>
      </c>
      <c r="EN11">
        <v>3.3789793086656759</v>
      </c>
      <c r="EO11">
        <v>1.1896952468452549</v>
      </c>
      <c r="EP11">
        <v>2.4249001919420579</v>
      </c>
      <c r="EQ11">
        <v>274.00307343854053</v>
      </c>
      <c r="ER11">
        <v>27.761295071918333</v>
      </c>
      <c r="ES11">
        <v>11.393619122657686</v>
      </c>
      <c r="ET11">
        <v>3.4309924468039195</v>
      </c>
      <c r="EU11">
        <v>1.2193747613185091</v>
      </c>
      <c r="EV11">
        <v>2.45858363862054</v>
      </c>
      <c r="EW11">
        <v>274.25911647647462</v>
      </c>
      <c r="EX11">
        <v>27.873547927321798</v>
      </c>
      <c r="EY11">
        <v>11.467671641320658</v>
      </c>
      <c r="EZ11">
        <v>3.5354343155288186</v>
      </c>
      <c r="FA11">
        <v>1.2477902776367269</v>
      </c>
      <c r="FB11">
        <v>2.4826293682699854</v>
      </c>
      <c r="FC11">
        <v>279.17996641685954</v>
      </c>
      <c r="FD11">
        <v>27.787586447556567</v>
      </c>
      <c r="FE11">
        <v>11.381600185747748</v>
      </c>
      <c r="FF11">
        <v>3.608704633282886</v>
      </c>
      <c r="FG11">
        <v>1.2619813391682813</v>
      </c>
      <c r="FH11">
        <v>2.5024509388200595</v>
      </c>
      <c r="FI11">
        <v>283.47855637000828</v>
      </c>
      <c r="FJ11">
        <v>27.61438573883586</v>
      </c>
      <c r="FK11">
        <v>11.254362988318229</v>
      </c>
      <c r="FN11">
        <v>15</v>
      </c>
      <c r="FO11">
        <v>4.0404496401177905</v>
      </c>
      <c r="FP11">
        <v>1.4605116733952717</v>
      </c>
      <c r="FQ11">
        <v>2.5283509204164765</v>
      </c>
      <c r="FR11">
        <v>263.27034006282656</v>
      </c>
      <c r="FS11">
        <v>30.470780512317834</v>
      </c>
      <c r="FT11">
        <v>12.459545263488124</v>
      </c>
      <c r="FU11">
        <v>4.2872076153274978</v>
      </c>
      <c r="FV11">
        <v>1.5869911124381699</v>
      </c>
      <c r="FW11">
        <v>2.7080459022736774</v>
      </c>
      <c r="FX11">
        <v>284.26245073501173</v>
      </c>
      <c r="FY11">
        <v>30.741516233753416</v>
      </c>
      <c r="FZ11">
        <v>12.739788096132282</v>
      </c>
      <c r="GB11">
        <v>15</v>
      </c>
      <c r="GC11">
        <v>3.7795789003272149</v>
      </c>
      <c r="GD11">
        <v>1.4716620403262941</v>
      </c>
      <c r="GE11">
        <v>2.4128983421863053</v>
      </c>
      <c r="GF11">
        <v>262.58413780687215</v>
      </c>
      <c r="GG11">
        <v>29.556933912646912</v>
      </c>
      <c r="GH11">
        <v>12.534569349723993</v>
      </c>
      <c r="GI11">
        <v>3.9161535384833495</v>
      </c>
      <c r="GJ11">
        <v>1.5165022040103266</v>
      </c>
      <c r="GK11">
        <v>2.593392377949594</v>
      </c>
      <c r="GL11">
        <v>283.41350678436851</v>
      </c>
      <c r="GM11">
        <v>29.524367988005341</v>
      </c>
      <c r="GN11">
        <v>12.529235172708779</v>
      </c>
      <c r="GP11">
        <v>15</v>
      </c>
      <c r="GQ11">
        <v>3.5524710573870264</v>
      </c>
      <c r="GR11">
        <v>1.3222787638632689</v>
      </c>
      <c r="GS11">
        <v>2.4366873194706229</v>
      </c>
      <c r="GT11">
        <v>263.93757368634778</v>
      </c>
      <c r="GU11">
        <v>28.544909538647481</v>
      </c>
      <c r="GV11">
        <v>11.904314210103751</v>
      </c>
      <c r="GW11">
        <v>3.6585310849671213</v>
      </c>
      <c r="GX11">
        <v>1.332703845139551</v>
      </c>
      <c r="GY11">
        <v>2.6160124435106313</v>
      </c>
      <c r="GZ11">
        <v>284.45256436212662</v>
      </c>
      <c r="HA11">
        <v>28.510842332333421</v>
      </c>
      <c r="HB11">
        <v>11.837320314912203</v>
      </c>
      <c r="HD11">
        <v>15</v>
      </c>
      <c r="HE11">
        <v>3.3197854455100853</v>
      </c>
      <c r="HF11">
        <v>1.1866038348804353</v>
      </c>
      <c r="HG11">
        <v>2.3064790680401384</v>
      </c>
      <c r="HH11">
        <v>262.82268648274891</v>
      </c>
      <c r="HI11">
        <v>27.780663269832328</v>
      </c>
      <c r="HJ11">
        <v>11.43858972094173</v>
      </c>
      <c r="HK11">
        <v>3.490745360059178</v>
      </c>
      <c r="HL11">
        <v>1.2214217032732058</v>
      </c>
      <c r="HM11">
        <v>2.5765629882312124</v>
      </c>
      <c r="HN11">
        <v>283.65697889117274</v>
      </c>
      <c r="HO11">
        <v>27.999298729384197</v>
      </c>
      <c r="HP11">
        <v>11.478208608205861</v>
      </c>
      <c r="IA11">
        <v>29</v>
      </c>
      <c r="IB11">
        <v>27.666666666666668</v>
      </c>
      <c r="IC11">
        <v>24.266666666666666</v>
      </c>
      <c r="ID11">
        <v>23.233333333333334</v>
      </c>
      <c r="IE11">
        <v>22.233333333333334</v>
      </c>
      <c r="IF11">
        <v>12.866666666666667</v>
      </c>
      <c r="IG11">
        <v>11.233333333333333</v>
      </c>
      <c r="IH11">
        <v>10.303333333333335</v>
      </c>
      <c r="II11">
        <v>9.7200000000000006</v>
      </c>
      <c r="IJ11">
        <v>12.92</v>
      </c>
      <c r="IK11">
        <v>11.913333333333334</v>
      </c>
      <c r="IL11">
        <v>11.913333333333334</v>
      </c>
      <c r="IM11">
        <v>11.166666666666666</v>
      </c>
      <c r="IN11">
        <v>4.4666666666666668</v>
      </c>
      <c r="IO11">
        <v>1.4333333333333333</v>
      </c>
      <c r="IP11">
        <v>6.25</v>
      </c>
      <c r="IQ11">
        <v>8</v>
      </c>
      <c r="IR11">
        <v>11</v>
      </c>
    </row>
    <row r="12" spans="1:252" x14ac:dyDescent="0.25">
      <c r="B12">
        <v>467.53504788935589</v>
      </c>
      <c r="C12">
        <v>2.1388770842194789</v>
      </c>
      <c r="D12">
        <v>466.10887433508316</v>
      </c>
      <c r="E12">
        <v>2.1454214992720892</v>
      </c>
      <c r="F12">
        <v>470.1040523873184</v>
      </c>
      <c r="G12">
        <v>2.1271886403057438</v>
      </c>
      <c r="H12">
        <v>475.43193073419997</v>
      </c>
      <c r="I12">
        <v>2.1033505226620353</v>
      </c>
      <c r="J12">
        <v>477.9016014012787</v>
      </c>
      <c r="K12">
        <v>2.0924809564727362</v>
      </c>
      <c r="L12">
        <v>443.16360243940312</v>
      </c>
      <c r="M12">
        <v>2.2565030036209643</v>
      </c>
      <c r="N12">
        <v>491.78763375404998</v>
      </c>
      <c r="O12">
        <v>2.0333980185034792</v>
      </c>
      <c r="Q12">
        <v>2.7970830021020261E-2</v>
      </c>
      <c r="R12">
        <v>2.8175139174431065E-2</v>
      </c>
      <c r="S12">
        <v>2.8751236014119021E-2</v>
      </c>
      <c r="T12">
        <v>2.9224659344039859E-2</v>
      </c>
      <c r="U12">
        <v>2.9650829092912362E-2</v>
      </c>
      <c r="V12">
        <v>2.8559316986685429E-2</v>
      </c>
      <c r="W12">
        <v>2.8145176521498165E-2</v>
      </c>
      <c r="Y12">
        <v>0.66294751382281525</v>
      </c>
      <c r="Z12">
        <v>0.66583702043487447</v>
      </c>
      <c r="AA12">
        <v>0.6848287712080624</v>
      </c>
      <c r="AB12">
        <v>0.69672584668802851</v>
      </c>
      <c r="AC12">
        <v>0.70403051964724961</v>
      </c>
      <c r="AD12">
        <v>0.6898429924947832</v>
      </c>
      <c r="AE12">
        <v>0.65787946874883396</v>
      </c>
      <c r="AG12">
        <v>0.34025426785726365</v>
      </c>
      <c r="AH12">
        <v>0.341174607019058</v>
      </c>
      <c r="AI12">
        <v>0.34742348733883038</v>
      </c>
      <c r="AJ12">
        <v>0.35199096828847942</v>
      </c>
      <c r="AK12">
        <v>0.35418994102157253</v>
      </c>
      <c r="AL12">
        <v>0.35083546842466851</v>
      </c>
      <c r="AM12">
        <v>0.33655609007675807</v>
      </c>
      <c r="AO12">
        <v>16</v>
      </c>
      <c r="AP12">
        <v>4.3994089873023539</v>
      </c>
      <c r="AQ12">
        <v>1.5928339494987664</v>
      </c>
      <c r="AR12">
        <v>2.7357484037871527</v>
      </c>
      <c r="AS12">
        <v>287.20711504368882</v>
      </c>
      <c r="AT12">
        <v>30.528688237569369</v>
      </c>
      <c r="AU12">
        <v>12.497748779532321</v>
      </c>
      <c r="AV12">
        <v>4.4249116161742101</v>
      </c>
      <c r="AW12">
        <v>1.6037046204895604</v>
      </c>
      <c r="AX12">
        <v>2.7443567203769268</v>
      </c>
      <c r="AY12">
        <v>287.65364216033538</v>
      </c>
      <c r="AZ12">
        <v>30.523628597294827</v>
      </c>
      <c r="BA12">
        <v>12.494966312069664</v>
      </c>
      <c r="BB12">
        <v>4.5220905471777559</v>
      </c>
      <c r="BC12">
        <v>1.648504967086369</v>
      </c>
      <c r="BD12">
        <v>2.8010327068746097</v>
      </c>
      <c r="BE12">
        <v>293.31083274625155</v>
      </c>
      <c r="BF12">
        <v>30.393500060044371</v>
      </c>
      <c r="BG12">
        <v>12.464879965648441</v>
      </c>
      <c r="BH12">
        <v>4.6621535606801796</v>
      </c>
      <c r="BI12">
        <v>1.7016212761953251</v>
      </c>
      <c r="BJ12">
        <v>2.8731909687053401</v>
      </c>
      <c r="BK12">
        <v>299.9105713670757</v>
      </c>
      <c r="BL12">
        <v>30.357681224637378</v>
      </c>
      <c r="BM12">
        <v>12.443553821342293</v>
      </c>
      <c r="BN12">
        <v>4.7317411341748201</v>
      </c>
      <c r="BO12">
        <v>1.7268180785834144</v>
      </c>
      <c r="BP12">
        <v>2.9124330616570617</v>
      </c>
      <c r="BQ12">
        <v>302.78979221479182</v>
      </c>
      <c r="BR12">
        <v>30.375045441241486</v>
      </c>
      <c r="BS12">
        <v>12.443275712197263</v>
      </c>
      <c r="BU12">
        <v>16</v>
      </c>
      <c r="BV12">
        <v>4.0733046285584145</v>
      </c>
      <c r="BW12">
        <v>1.5486585695021922</v>
      </c>
      <c r="BX12">
        <v>2.6161148461176125</v>
      </c>
      <c r="BY12">
        <v>287.00307970830096</v>
      </c>
      <c r="BZ12">
        <v>29.41415166909232</v>
      </c>
      <c r="CA12">
        <v>12.35271410716903</v>
      </c>
      <c r="CB12">
        <v>4.103376615385339</v>
      </c>
      <c r="CC12">
        <v>1.5628107811113523</v>
      </c>
      <c r="CD12">
        <v>2.6255331658004892</v>
      </c>
      <c r="CE12">
        <v>287.16569875570337</v>
      </c>
      <c r="CF12">
        <v>29.455808872104573</v>
      </c>
      <c r="CG12">
        <v>12.373792358753127</v>
      </c>
      <c r="CH12">
        <v>4.1975561542098037</v>
      </c>
      <c r="CI12">
        <v>1.5934499746402362</v>
      </c>
      <c r="CJ12">
        <v>2.6813362606564692</v>
      </c>
      <c r="CK12">
        <v>292.94146665965565</v>
      </c>
      <c r="CL12">
        <v>29.323975597135782</v>
      </c>
      <c r="CM12">
        <v>12.292658227672547</v>
      </c>
      <c r="CN12">
        <v>4.3337610711878769</v>
      </c>
      <c r="CO12">
        <v>1.6396263004637623</v>
      </c>
      <c r="CP12">
        <v>2.7514065924763811</v>
      </c>
      <c r="CQ12">
        <v>299.65374499680473</v>
      </c>
      <c r="CR12">
        <v>29.287793590104553</v>
      </c>
      <c r="CS12">
        <v>12.247330200072406</v>
      </c>
      <c r="CT12">
        <v>4.4025370983604546</v>
      </c>
      <c r="CU12">
        <v>1.6601331542250115</v>
      </c>
      <c r="CV12">
        <v>2.7886231170400411</v>
      </c>
      <c r="CW12">
        <v>302.61105790461062</v>
      </c>
      <c r="CX12">
        <v>29.305107761955608</v>
      </c>
      <c r="CY12">
        <v>12.230260085789096</v>
      </c>
      <c r="DA12">
        <v>16</v>
      </c>
      <c r="DB12">
        <v>3.8466421747258042</v>
      </c>
      <c r="DC12">
        <v>1.3970397250019901</v>
      </c>
      <c r="DD12">
        <v>2.6456107931815369</v>
      </c>
      <c r="DE12">
        <v>288.5760643715372</v>
      </c>
      <c r="DF12">
        <v>28.468368227611865</v>
      </c>
      <c r="DG12">
        <v>11.759977926111763</v>
      </c>
      <c r="DH12">
        <v>3.8592154801301137</v>
      </c>
      <c r="DI12">
        <v>1.3954484965887073</v>
      </c>
      <c r="DJ12">
        <v>2.6491696151945479</v>
      </c>
      <c r="DK12">
        <v>288.60738472986935</v>
      </c>
      <c r="DL12">
        <v>28.462670175975468</v>
      </c>
      <c r="DM12">
        <v>11.732085260416588</v>
      </c>
      <c r="DN12">
        <v>3.9884930174144326</v>
      </c>
      <c r="DO12">
        <v>1.4394544416651769</v>
      </c>
      <c r="DP12">
        <v>2.717094385486118</v>
      </c>
      <c r="DQ12">
        <v>295.5424117995197</v>
      </c>
      <c r="DR12">
        <v>28.358519617843754</v>
      </c>
      <c r="DS12">
        <v>11.663414994811319</v>
      </c>
      <c r="DT12">
        <v>4.07504046948835</v>
      </c>
      <c r="DU12">
        <v>1.4706771341571812</v>
      </c>
      <c r="DV12">
        <v>2.7585479459848963</v>
      </c>
      <c r="DW12">
        <v>300.44114637536336</v>
      </c>
      <c r="DX12">
        <v>28.349899915596783</v>
      </c>
      <c r="DY12">
        <v>11.65289520624952</v>
      </c>
      <c r="DZ12">
        <v>4.1422435184600719</v>
      </c>
      <c r="EA12">
        <v>1.4852893220610677</v>
      </c>
      <c r="EB12">
        <v>2.7905827554201745</v>
      </c>
      <c r="EC12">
        <v>303.29847820519336</v>
      </c>
      <c r="ED12">
        <v>28.380478968740935</v>
      </c>
      <c r="EE12">
        <v>11.626065952298108</v>
      </c>
      <c r="EG12">
        <v>16</v>
      </c>
      <c r="EH12">
        <v>3.6162206102501373</v>
      </c>
      <c r="EI12">
        <v>1.2607588817966136</v>
      </c>
      <c r="EJ12">
        <v>2.5490921950003922</v>
      </c>
      <c r="EK12">
        <v>288.14721101740508</v>
      </c>
      <c r="EL12">
        <v>27.711071953585439</v>
      </c>
      <c r="EM12">
        <v>11.304524837519082</v>
      </c>
      <c r="EN12">
        <v>3.647604682822128</v>
      </c>
      <c r="EO12">
        <v>1.2639046385944988</v>
      </c>
      <c r="EP12">
        <v>2.5498383835118306</v>
      </c>
      <c r="EQ12">
        <v>288.86174869082521</v>
      </c>
      <c r="ER12">
        <v>27.705038970649053</v>
      </c>
      <c r="ES12">
        <v>11.266367392678731</v>
      </c>
      <c r="ET12">
        <v>3.6796137310854613</v>
      </c>
      <c r="EU12">
        <v>1.3028331680152057</v>
      </c>
      <c r="EV12">
        <v>2.6120320838235651</v>
      </c>
      <c r="EW12">
        <v>290.67191923950395</v>
      </c>
      <c r="EX12">
        <v>27.771055483145201</v>
      </c>
      <c r="EY12">
        <v>11.388828106947541</v>
      </c>
      <c r="EZ12">
        <v>3.8351383644960233</v>
      </c>
      <c r="FA12">
        <v>1.3301061378763326</v>
      </c>
      <c r="FB12">
        <v>2.6490560079917067</v>
      </c>
      <c r="FC12">
        <v>298.65910211543667</v>
      </c>
      <c r="FD12">
        <v>27.715794585349581</v>
      </c>
      <c r="FE12">
        <v>11.251752162496853</v>
      </c>
      <c r="FF12">
        <v>3.9232617848531173</v>
      </c>
      <c r="FG12">
        <v>1.3440538693684232</v>
      </c>
      <c r="FH12">
        <v>2.6777476901065249</v>
      </c>
      <c r="FI12">
        <v>303.87596527597162</v>
      </c>
      <c r="FJ12">
        <v>27.605915922729249</v>
      </c>
      <c r="FK12">
        <v>11.139191791882858</v>
      </c>
      <c r="FN12">
        <v>16</v>
      </c>
      <c r="FO12">
        <v>4.3547565040477991</v>
      </c>
      <c r="FP12">
        <v>1.5671130706486052</v>
      </c>
      <c r="FQ12">
        <v>2.6868688841141188</v>
      </c>
      <c r="FR12">
        <v>279.58565267769319</v>
      </c>
      <c r="FS12">
        <v>30.386670860523061</v>
      </c>
      <c r="FT12">
        <v>12.374180154567368</v>
      </c>
      <c r="FU12">
        <v>4.5821774797148151</v>
      </c>
      <c r="FV12">
        <v>1.6862644474427566</v>
      </c>
      <c r="FW12">
        <v>2.8541613530046925</v>
      </c>
      <c r="FX12">
        <v>299.46763935010034</v>
      </c>
      <c r="FY12">
        <v>30.645852585038529</v>
      </c>
      <c r="FZ12">
        <v>12.643915534936273</v>
      </c>
      <c r="GB12">
        <v>16</v>
      </c>
      <c r="GC12">
        <v>4.0840988359508366</v>
      </c>
      <c r="GD12">
        <v>1.5558440579864954</v>
      </c>
      <c r="GE12">
        <v>2.5673254186224934</v>
      </c>
      <c r="GF12">
        <v>279.12560515544845</v>
      </c>
      <c r="GG12">
        <v>29.467090747780034</v>
      </c>
      <c r="GH12">
        <v>12.354202403908893</v>
      </c>
      <c r="GI12">
        <v>4.2060338975191316</v>
      </c>
      <c r="GJ12">
        <v>1.5970586135141542</v>
      </c>
      <c r="GK12">
        <v>2.7355285184803231</v>
      </c>
      <c r="GL12">
        <v>298.99759186185355</v>
      </c>
      <c r="GM12">
        <v>29.436014827114242</v>
      </c>
      <c r="GN12">
        <v>12.365443080789314</v>
      </c>
      <c r="GP12">
        <v>16</v>
      </c>
      <c r="GQ12">
        <v>3.8636558219502732</v>
      </c>
      <c r="GR12">
        <v>1.4103304925735605</v>
      </c>
      <c r="GS12">
        <v>2.5940004362015952</v>
      </c>
      <c r="GT12">
        <v>280.96884415482089</v>
      </c>
      <c r="GU12">
        <v>28.48919618551491</v>
      </c>
      <c r="GV12">
        <v>11.755255878018533</v>
      </c>
      <c r="GW12">
        <v>3.9583761117307232</v>
      </c>
      <c r="GX12">
        <v>1.4184913609398189</v>
      </c>
      <c r="GY12">
        <v>2.7634937757914071</v>
      </c>
      <c r="GZ12">
        <v>300.58755918526725</v>
      </c>
      <c r="HA12">
        <v>28.456399808138858</v>
      </c>
      <c r="HB12">
        <v>11.705974992523743</v>
      </c>
      <c r="HD12">
        <v>16</v>
      </c>
      <c r="HE12">
        <v>3.5868066871214404</v>
      </c>
      <c r="HF12">
        <v>1.266970274293427</v>
      </c>
      <c r="HG12">
        <v>2.45161230569592</v>
      </c>
      <c r="HH12">
        <v>278.94139493615654</v>
      </c>
      <c r="HI12">
        <v>27.703766915211446</v>
      </c>
      <c r="HJ12">
        <v>11.32675356138531</v>
      </c>
      <c r="HK12">
        <v>3.7466406347982915</v>
      </c>
      <c r="HL12">
        <v>1.298991498222428</v>
      </c>
      <c r="HM12">
        <v>2.7094621936595433</v>
      </c>
      <c r="HN12">
        <v>298.83957237580626</v>
      </c>
      <c r="HO12">
        <v>27.914322786226442</v>
      </c>
      <c r="HP12">
        <v>11.374566497821329</v>
      </c>
      <c r="HS12" t="s">
        <v>7655</v>
      </c>
      <c r="IA12">
        <v>30</v>
      </c>
      <c r="IB12">
        <v>27.833333333333336</v>
      </c>
      <c r="IC12">
        <v>24.333333333333332</v>
      </c>
      <c r="ID12">
        <v>23.266666666666669</v>
      </c>
      <c r="IE12">
        <v>22.266666666666669</v>
      </c>
      <c r="IF12">
        <v>12.933333333333334</v>
      </c>
      <c r="IG12">
        <v>11.266666666666666</v>
      </c>
      <c r="IH12">
        <v>10.306666666666668</v>
      </c>
      <c r="II12">
        <v>9.73</v>
      </c>
      <c r="IJ12">
        <v>12.709999999999999</v>
      </c>
      <c r="IK12">
        <v>12.006666666666668</v>
      </c>
      <c r="IL12">
        <v>12.006666666666668</v>
      </c>
      <c r="IM12">
        <v>11.233333333333333</v>
      </c>
      <c r="IN12">
        <v>4.5333333333333332</v>
      </c>
      <c r="IO12">
        <v>1.4666666666666668</v>
      </c>
      <c r="IP12">
        <v>6.25</v>
      </c>
      <c r="IQ12">
        <v>8</v>
      </c>
      <c r="IR12">
        <v>11</v>
      </c>
    </row>
    <row r="13" spans="1:252" x14ac:dyDescent="0.25">
      <c r="B13">
        <v>479.54711477364731</v>
      </c>
      <c r="C13">
        <v>2.0853008373786452</v>
      </c>
      <c r="D13">
        <v>479.5459210593234</v>
      </c>
      <c r="E13">
        <v>2.0853060282339313</v>
      </c>
      <c r="F13">
        <v>488.98792870790493</v>
      </c>
      <c r="G13">
        <v>2.0450402582378393</v>
      </c>
      <c r="H13">
        <v>498.69997606929365</v>
      </c>
      <c r="I13">
        <v>2.0052136514661703</v>
      </c>
      <c r="J13">
        <v>503.88190535309116</v>
      </c>
      <c r="K13">
        <v>1.9845920033569335</v>
      </c>
      <c r="L13">
        <v>459.94587741948641</v>
      </c>
      <c r="M13">
        <v>2.174168851366757</v>
      </c>
      <c r="N13">
        <v>506.9368513699763</v>
      </c>
      <c r="O13">
        <v>1.9726322860481351</v>
      </c>
      <c r="Q13">
        <v>2.9715124903128481E-2</v>
      </c>
      <c r="R13">
        <v>2.9932479528712697E-2</v>
      </c>
      <c r="S13">
        <v>3.0545601879357398E-2</v>
      </c>
      <c r="T13">
        <v>3.1049534489547861E-2</v>
      </c>
      <c r="U13">
        <v>3.1502980283758142E-2</v>
      </c>
      <c r="V13">
        <v>3.034427429835327E-2</v>
      </c>
      <c r="W13">
        <v>2.9904250054091801E-2</v>
      </c>
      <c r="Y13">
        <v>0.69921952355202499</v>
      </c>
      <c r="Z13">
        <v>0.7014746062715439</v>
      </c>
      <c r="AA13">
        <v>0.72513358420377316</v>
      </c>
      <c r="AB13">
        <v>0.73797633575266675</v>
      </c>
      <c r="AC13">
        <v>0.74609475933300051</v>
      </c>
      <c r="AD13">
        <v>0.72758179543369328</v>
      </c>
      <c r="AE13">
        <v>0.69545792698507369</v>
      </c>
      <c r="AG13">
        <v>0.35252503496505105</v>
      </c>
      <c r="AH13">
        <v>0.35329387402784351</v>
      </c>
      <c r="AI13">
        <v>0.36164177203589565</v>
      </c>
      <c r="AJ13">
        <v>0.36655248189360945</v>
      </c>
      <c r="AK13">
        <v>0.36922813060265414</v>
      </c>
      <c r="AL13">
        <v>0.36391465795639083</v>
      </c>
      <c r="AM13">
        <v>0.34956327531126608</v>
      </c>
      <c r="AO13">
        <v>17</v>
      </c>
      <c r="AP13">
        <v>4.6532191576636324</v>
      </c>
      <c r="AQ13">
        <v>1.7032207771105661</v>
      </c>
      <c r="AR13">
        <v>2.8591160917053537</v>
      </c>
      <c r="AS13">
        <v>300.24426580957589</v>
      </c>
      <c r="AT13">
        <v>30.422254271799229</v>
      </c>
      <c r="AU13">
        <v>12.493583251746449</v>
      </c>
      <c r="AV13">
        <v>4.6959538074991096</v>
      </c>
      <c r="AW13">
        <v>1.716356012794594</v>
      </c>
      <c r="AX13">
        <v>2.8803478006712289</v>
      </c>
      <c r="AY13">
        <v>301.69726056256616</v>
      </c>
      <c r="AZ13">
        <v>30.417349089500039</v>
      </c>
      <c r="BA13">
        <v>12.476934201057489</v>
      </c>
      <c r="BB13">
        <v>4.8549702094375329</v>
      </c>
      <c r="BC13">
        <v>1.7747700620553566</v>
      </c>
      <c r="BD13">
        <v>2.9665546752108729</v>
      </c>
      <c r="BE13">
        <v>310.7386760642533</v>
      </c>
      <c r="BF13">
        <v>30.327970546336253</v>
      </c>
      <c r="BG13">
        <v>12.431645331473607</v>
      </c>
      <c r="BH13">
        <v>5.0419690018790799</v>
      </c>
      <c r="BI13">
        <v>1.841382495678725</v>
      </c>
      <c r="BJ13">
        <v>3.0691262135664901</v>
      </c>
      <c r="BK13">
        <v>320.26795828320115</v>
      </c>
      <c r="BL13">
        <v>30.292826139327982</v>
      </c>
      <c r="BM13">
        <v>12.399244572481281</v>
      </c>
      <c r="BN13">
        <v>5.1235069250542082</v>
      </c>
      <c r="BO13">
        <v>1.8685506115278674</v>
      </c>
      <c r="BP13">
        <v>3.1265039362853635</v>
      </c>
      <c r="BQ13">
        <v>324.37362189417973</v>
      </c>
      <c r="BR13">
        <v>30.310046147589983</v>
      </c>
      <c r="BS13">
        <v>12.394282447694867</v>
      </c>
      <c r="BU13">
        <v>17</v>
      </c>
      <c r="BV13">
        <v>4.3245629222480133</v>
      </c>
      <c r="BW13">
        <v>1.6350162550852383</v>
      </c>
      <c r="BX13">
        <v>2.7373401396183499</v>
      </c>
      <c r="BY13">
        <v>300.42774282488011</v>
      </c>
      <c r="BZ13">
        <v>29.309713809705276</v>
      </c>
      <c r="CA13">
        <v>12.258928466779054</v>
      </c>
      <c r="CB13">
        <v>4.3675351528052309</v>
      </c>
      <c r="CC13">
        <v>1.6502293933124506</v>
      </c>
      <c r="CD13">
        <v>2.7582427805490597</v>
      </c>
      <c r="CE13">
        <v>301.47468650760578</v>
      </c>
      <c r="CF13">
        <v>29.350431844500207</v>
      </c>
      <c r="CG13">
        <v>12.266801873274332</v>
      </c>
      <c r="CH13">
        <v>4.5224828289690722</v>
      </c>
      <c r="CI13">
        <v>1.6998394731398543</v>
      </c>
      <c r="CJ13">
        <v>2.8421256093588245</v>
      </c>
      <c r="CK13">
        <v>310.72076648096822</v>
      </c>
      <c r="CL13">
        <v>29.259666606070244</v>
      </c>
      <c r="CM13">
        <v>12.191210988529093</v>
      </c>
      <c r="CN13">
        <v>4.7041945930109126</v>
      </c>
      <c r="CO13">
        <v>1.7554022269828751</v>
      </c>
      <c r="CP13">
        <v>2.94265843868207</v>
      </c>
      <c r="CQ13">
        <v>320.42004471103041</v>
      </c>
      <c r="CR13">
        <v>29.224286445148344</v>
      </c>
      <c r="CS13">
        <v>12.125023196631023</v>
      </c>
      <c r="CT13">
        <v>4.7796442468758604</v>
      </c>
      <c r="CU13">
        <v>1.774705799905949</v>
      </c>
      <c r="CV13">
        <v>2.9924097058237304</v>
      </c>
      <c r="CW13">
        <v>324.4676919445821</v>
      </c>
      <c r="CX13">
        <v>29.241483839678082</v>
      </c>
      <c r="CY13">
        <v>12.101462099921376</v>
      </c>
      <c r="DA13">
        <v>17</v>
      </c>
      <c r="DB13">
        <v>4.1124391583176276</v>
      </c>
      <c r="DC13">
        <v>1.4745630092055828</v>
      </c>
      <c r="DD13">
        <v>2.7768174936736436</v>
      </c>
      <c r="DE13">
        <v>302.60020618278855</v>
      </c>
      <c r="DF13">
        <v>28.398286660689536</v>
      </c>
      <c r="DG13">
        <v>11.640669407603319</v>
      </c>
      <c r="DH13">
        <v>4.1305264294550534</v>
      </c>
      <c r="DI13">
        <v>1.4775069753279528</v>
      </c>
      <c r="DJ13">
        <v>2.7855773951575578</v>
      </c>
      <c r="DK13">
        <v>303.29557978028816</v>
      </c>
      <c r="DL13">
        <v>28.392776189061511</v>
      </c>
      <c r="DM13">
        <v>11.623670327690403</v>
      </c>
      <c r="DN13">
        <v>4.3247401651407076</v>
      </c>
      <c r="DO13">
        <v>1.5309148690835082</v>
      </c>
      <c r="DP13">
        <v>2.8837927395669363</v>
      </c>
      <c r="DQ13">
        <v>314.02258981888127</v>
      </c>
      <c r="DR13">
        <v>28.322304379812518</v>
      </c>
      <c r="DS13">
        <v>11.525087480865707</v>
      </c>
      <c r="DT13">
        <v>4.4243396840193006</v>
      </c>
      <c r="DU13">
        <v>1.5595984373858287</v>
      </c>
      <c r="DV13">
        <v>2.9392951991275194</v>
      </c>
      <c r="DW13">
        <v>320.84418256556955</v>
      </c>
      <c r="DX13">
        <v>28.313408046768259</v>
      </c>
      <c r="DY13">
        <v>11.498717713031251</v>
      </c>
      <c r="DZ13">
        <v>4.4949803521131777</v>
      </c>
      <c r="EA13">
        <v>1.574863682697494</v>
      </c>
      <c r="EB13">
        <v>2.9806288502011857</v>
      </c>
      <c r="EC13">
        <v>324.70865514280274</v>
      </c>
      <c r="ED13">
        <v>28.343109214889846</v>
      </c>
      <c r="EE13">
        <v>11.477031180055604</v>
      </c>
      <c r="EG13">
        <v>17</v>
      </c>
      <c r="EH13">
        <v>3.8722082129956199</v>
      </c>
      <c r="EI13">
        <v>1.3330452955590588</v>
      </c>
      <c r="EJ13">
        <v>2.6665550303775483</v>
      </c>
      <c r="EK13">
        <v>302.11120144708207</v>
      </c>
      <c r="EL13">
        <v>27.649078926667048</v>
      </c>
      <c r="EM13">
        <v>11.191082068475135</v>
      </c>
      <c r="EN13">
        <v>3.9126903539101794</v>
      </c>
      <c r="EO13">
        <v>1.3375490413426039</v>
      </c>
      <c r="EP13">
        <v>2.6731734288790348</v>
      </c>
      <c r="EQ13">
        <v>303.58549757001367</v>
      </c>
      <c r="ER13">
        <v>27.648117276592739</v>
      </c>
      <c r="ES13">
        <v>11.151553431651269</v>
      </c>
      <c r="ET13">
        <v>3.9254538211459513</v>
      </c>
      <c r="EU13">
        <v>1.3856079998532356</v>
      </c>
      <c r="EV13">
        <v>2.7634340203937584</v>
      </c>
      <c r="EW13">
        <v>307.00648909784763</v>
      </c>
      <c r="EX13">
        <v>27.668982020393941</v>
      </c>
      <c r="EY13">
        <v>11.315171088429928</v>
      </c>
      <c r="EZ13">
        <v>4.1313755236480949</v>
      </c>
      <c r="FA13">
        <v>1.411904040359081</v>
      </c>
      <c r="FB13">
        <v>2.8134152817797018</v>
      </c>
      <c r="FC13">
        <v>318.01832080874942</v>
      </c>
      <c r="FD13">
        <v>27.643778753634965</v>
      </c>
      <c r="FE13">
        <v>11.13647251251558</v>
      </c>
      <c r="FF13">
        <v>4.2340973161972064</v>
      </c>
      <c r="FG13">
        <v>1.4256256486184307</v>
      </c>
      <c r="FH13">
        <v>2.8508496654419853</v>
      </c>
      <c r="FI13">
        <v>324.04697113451516</v>
      </c>
      <c r="FJ13">
        <v>27.595906261701863</v>
      </c>
      <c r="FK13">
        <v>11.039922122721428</v>
      </c>
      <c r="FN13">
        <v>17</v>
      </c>
      <c r="FO13">
        <v>4.6657764297960131</v>
      </c>
      <c r="FP13">
        <v>1.672971056128739</v>
      </c>
      <c r="FQ13">
        <v>2.8434011491425375</v>
      </c>
      <c r="FR13">
        <v>295.7892386783825</v>
      </c>
      <c r="FS13">
        <v>30.303707966028803</v>
      </c>
      <c r="FT13">
        <v>12.296491724647977</v>
      </c>
      <c r="FU13">
        <v>4.8742080397566916</v>
      </c>
      <c r="FV13">
        <v>1.7849305446567476</v>
      </c>
      <c r="FW13">
        <v>2.9985161493180739</v>
      </c>
      <c r="FX13">
        <v>314.58385365839888</v>
      </c>
      <c r="FY13">
        <v>30.551555228241931</v>
      </c>
      <c r="FZ13">
        <v>12.555648748334219</v>
      </c>
      <c r="GB13">
        <v>17</v>
      </c>
      <c r="GC13">
        <v>4.3854034186206627</v>
      </c>
      <c r="GD13">
        <v>1.6395397239882727</v>
      </c>
      <c r="GE13">
        <v>2.7198098485566713</v>
      </c>
      <c r="GF13">
        <v>295.55988632586042</v>
      </c>
      <c r="GG13">
        <v>29.378606837245218</v>
      </c>
      <c r="GH13">
        <v>12.192921841683884</v>
      </c>
      <c r="GI13">
        <v>4.4929576932997364</v>
      </c>
      <c r="GJ13">
        <v>1.6771946613230397</v>
      </c>
      <c r="GK13">
        <v>2.8759452982405733</v>
      </c>
      <c r="GL13">
        <v>314.48418097790164</v>
      </c>
      <c r="GM13">
        <v>29.348934511746897</v>
      </c>
      <c r="GN13">
        <v>12.217048479676949</v>
      </c>
      <c r="GP13">
        <v>17</v>
      </c>
      <c r="GQ13">
        <v>4.1708247306200947</v>
      </c>
      <c r="GR13">
        <v>1.4976736691469894</v>
      </c>
      <c r="GS13">
        <v>2.749217193601146</v>
      </c>
      <c r="GT13">
        <v>297.84202374004769</v>
      </c>
      <c r="GU13">
        <v>28.433056231913778</v>
      </c>
      <c r="GV13">
        <v>11.623183643448444</v>
      </c>
      <c r="GW13">
        <v>4.254391580203178</v>
      </c>
      <c r="GX13">
        <v>1.5036073313746026</v>
      </c>
      <c r="GY13">
        <v>2.9090426888621255</v>
      </c>
      <c r="GZ13">
        <v>316.57517937829465</v>
      </c>
      <c r="HA13">
        <v>28.401498617363497</v>
      </c>
      <c r="HB13">
        <v>11.588025196272252</v>
      </c>
      <c r="HD13">
        <v>17</v>
      </c>
      <c r="HE13">
        <v>3.8505098809264457</v>
      </c>
      <c r="HF13">
        <v>1.346681803828905</v>
      </c>
      <c r="HG13">
        <v>2.5948129941792111</v>
      </c>
      <c r="HH13">
        <v>294.94101796735555</v>
      </c>
      <c r="HI13">
        <v>27.626690297908937</v>
      </c>
      <c r="HJ13">
        <v>11.225568746478231</v>
      </c>
      <c r="HK13">
        <v>3.9994030388120558</v>
      </c>
      <c r="HL13">
        <v>1.3759526879185477</v>
      </c>
      <c r="HM13">
        <v>2.8406342647036937</v>
      </c>
      <c r="HN13">
        <v>313.92068819494108</v>
      </c>
      <c r="HO13">
        <v>27.829389099032632</v>
      </c>
      <c r="HP13">
        <v>11.279366556100371</v>
      </c>
      <c r="HT13" t="s">
        <v>7696</v>
      </c>
      <c r="HV13" t="s">
        <v>7697</v>
      </c>
      <c r="HX13" t="s">
        <v>7698</v>
      </c>
      <c r="IA13">
        <v>31</v>
      </c>
      <c r="IB13">
        <v>28</v>
      </c>
      <c r="IC13">
        <v>24.4</v>
      </c>
      <c r="ID13">
        <v>23.3</v>
      </c>
      <c r="IE13">
        <v>22.3</v>
      </c>
      <c r="IF13">
        <v>13</v>
      </c>
      <c r="IG13">
        <v>11.3</v>
      </c>
      <c r="IH13">
        <v>10.31</v>
      </c>
      <c r="II13">
        <v>9.74</v>
      </c>
      <c r="IJ13">
        <v>12.5</v>
      </c>
      <c r="IK13">
        <v>12.1</v>
      </c>
      <c r="IL13">
        <v>12.1</v>
      </c>
      <c r="IM13">
        <v>11.3</v>
      </c>
      <c r="IN13">
        <v>4.5999999999999996</v>
      </c>
      <c r="IO13">
        <v>1.5</v>
      </c>
      <c r="IP13">
        <v>6.25</v>
      </c>
      <c r="IQ13">
        <v>8</v>
      </c>
      <c r="IR13">
        <v>11</v>
      </c>
    </row>
    <row r="14" spans="1:252" x14ac:dyDescent="0.25">
      <c r="B14">
        <v>491.360453705618</v>
      </c>
      <c r="C14">
        <v>2.035165818613307</v>
      </c>
      <c r="D14">
        <v>492.76106959198688</v>
      </c>
      <c r="E14">
        <v>2.029381097065996</v>
      </c>
      <c r="F14">
        <v>507.58867230002215</v>
      </c>
      <c r="G14">
        <v>1.9700991266584582</v>
      </c>
      <c r="H14">
        <v>521.67225496874698</v>
      </c>
      <c r="I14">
        <v>1.9169123726158472</v>
      </c>
      <c r="J14">
        <v>529.49734484047121</v>
      </c>
      <c r="K14">
        <v>1.8885835967719222</v>
      </c>
      <c r="L14">
        <v>476.4585935700282</v>
      </c>
      <c r="M14">
        <v>2.0988182677263927</v>
      </c>
      <c r="N14">
        <v>521.8428967212966</v>
      </c>
      <c r="O14">
        <v>1.9162855454830026</v>
      </c>
      <c r="Q14">
        <v>3.1459374955994712E-2</v>
      </c>
      <c r="R14">
        <v>3.1689768902259649E-2</v>
      </c>
      <c r="S14">
        <v>3.2339897986885052E-2</v>
      </c>
      <c r="T14">
        <v>3.2874333195211353E-2</v>
      </c>
      <c r="U14">
        <v>3.3355035239404106E-2</v>
      </c>
      <c r="V14">
        <v>3.2129231610021111E-2</v>
      </c>
      <c r="W14">
        <v>3.1663323586685437E-2</v>
      </c>
      <c r="Y14">
        <v>0.73506338048898523</v>
      </c>
      <c r="Z14">
        <v>0.73671160678286607</v>
      </c>
      <c r="AA14">
        <v>0.76495903722539638</v>
      </c>
      <c r="AB14">
        <v>0.77878056494387904</v>
      </c>
      <c r="AC14">
        <v>0.78770356560191712</v>
      </c>
      <c r="AD14">
        <v>0.76488352153232553</v>
      </c>
      <c r="AE14">
        <v>0.73260102566859686</v>
      </c>
      <c r="AG14">
        <v>0.36466319723518198</v>
      </c>
      <c r="AH14">
        <v>0.36529005124561775</v>
      </c>
      <c r="AI14">
        <v>0.37570271389857995</v>
      </c>
      <c r="AJ14">
        <v>0.38097161545447639</v>
      </c>
      <c r="AK14">
        <v>0.38411747353999393</v>
      </c>
      <c r="AL14">
        <v>0.37685461093697714</v>
      </c>
      <c r="AM14">
        <v>0.36243195397344397</v>
      </c>
      <c r="AO14">
        <v>18</v>
      </c>
      <c r="AP14">
        <v>4.9045124446385602</v>
      </c>
      <c r="AQ14">
        <v>1.8125514978929256</v>
      </c>
      <c r="AR14">
        <v>2.9810191545140037</v>
      </c>
      <c r="AS14">
        <v>313.21264626607706</v>
      </c>
      <c r="AT14">
        <v>30.317372677210155</v>
      </c>
      <c r="AU14">
        <v>12.48642531540829</v>
      </c>
      <c r="AV14">
        <v>4.9643260452411955</v>
      </c>
      <c r="AW14">
        <v>1.8279676033634011</v>
      </c>
      <c r="AX14">
        <v>3.0147008530367216</v>
      </c>
      <c r="AY14">
        <v>315.66652410717245</v>
      </c>
      <c r="AZ14">
        <v>30.312639284677651</v>
      </c>
      <c r="BA14">
        <v>12.457145280697924</v>
      </c>
      <c r="BB14">
        <v>5.1843042496720519</v>
      </c>
      <c r="BC14">
        <v>1.899827905858511</v>
      </c>
      <c r="BD14">
        <v>3.1299681251100422</v>
      </c>
      <c r="BE14">
        <v>328.03053967480662</v>
      </c>
      <c r="BF14">
        <v>30.263074936512957</v>
      </c>
      <c r="BG14">
        <v>12.399715389146571</v>
      </c>
      <c r="BH14">
        <v>5.4177692337430265</v>
      </c>
      <c r="BI14">
        <v>1.9798299782442883</v>
      </c>
      <c r="BJ14">
        <v>3.2625623503952612</v>
      </c>
      <c r="BK14">
        <v>340.48185900101055</v>
      </c>
      <c r="BL14">
        <v>30.228555537052717</v>
      </c>
      <c r="BM14">
        <v>12.357872326689316</v>
      </c>
      <c r="BN14">
        <v>5.5110660799623963</v>
      </c>
      <c r="BO14">
        <v>2.0089414914235437</v>
      </c>
      <c r="BP14">
        <v>3.3377790452652145</v>
      </c>
      <c r="BQ14">
        <v>345.7915815956307</v>
      </c>
      <c r="BR14">
        <v>30.245644563962145</v>
      </c>
      <c r="BS14">
        <v>12.348941182606085</v>
      </c>
      <c r="BU14">
        <v>18</v>
      </c>
      <c r="BV14">
        <v>4.5732663306193544</v>
      </c>
      <c r="BW14">
        <v>1.7206257434088905</v>
      </c>
      <c r="BX14">
        <v>2.8571145664404689</v>
      </c>
      <c r="BY14">
        <v>313.78090364713626</v>
      </c>
      <c r="BZ14">
        <v>29.206807372671321</v>
      </c>
      <c r="CA14">
        <v>12.170850796112767</v>
      </c>
      <c r="CB14">
        <v>4.629042926362998</v>
      </c>
      <c r="CC14">
        <v>1.7369248909285915</v>
      </c>
      <c r="CD14">
        <v>2.8893451593895247</v>
      </c>
      <c r="CE14">
        <v>315.7077804475332</v>
      </c>
      <c r="CF14">
        <v>29.246673450814761</v>
      </c>
      <c r="CG14">
        <v>12.167140870509977</v>
      </c>
      <c r="CH14">
        <v>4.8438979890292266</v>
      </c>
      <c r="CI14">
        <v>1.8052660063883113</v>
      </c>
      <c r="CJ14">
        <v>3.0008601053707484</v>
      </c>
      <c r="CK14">
        <v>328.36004829385166</v>
      </c>
      <c r="CL14">
        <v>29.196020017701226</v>
      </c>
      <c r="CM14">
        <v>12.099289947387749</v>
      </c>
      <c r="CN14">
        <v>5.0706584023967247</v>
      </c>
      <c r="CO14">
        <v>1.8701552272435853</v>
      </c>
      <c r="CP14">
        <v>3.1314612830585293</v>
      </c>
      <c r="CQ14">
        <v>341.03879023701768</v>
      </c>
      <c r="CR14">
        <v>29.161386439099587</v>
      </c>
      <c r="CS14">
        <v>12.016101128084555</v>
      </c>
      <c r="CT14">
        <v>5.1526644745399599</v>
      </c>
      <c r="CU14">
        <v>1.8882683465723955</v>
      </c>
      <c r="CV14">
        <v>3.193537703825732</v>
      </c>
      <c r="CW14">
        <v>346.15542003711283</v>
      </c>
      <c r="CX14">
        <v>29.178476141284825</v>
      </c>
      <c r="CY14">
        <v>11.987351685172928</v>
      </c>
      <c r="DA14">
        <v>18</v>
      </c>
      <c r="DB14">
        <v>4.3747230827548309</v>
      </c>
      <c r="DC14">
        <v>1.5514371443177313</v>
      </c>
      <c r="DD14">
        <v>2.9062552040876803</v>
      </c>
      <c r="DE14">
        <v>316.50484637472454</v>
      </c>
      <c r="DF14">
        <v>28.328144939571867</v>
      </c>
      <c r="DG14">
        <v>11.531551581824493</v>
      </c>
      <c r="DH14">
        <v>4.3983663870295331</v>
      </c>
      <c r="DI14">
        <v>1.5589334175260756</v>
      </c>
      <c r="DJ14">
        <v>2.920197878484601</v>
      </c>
      <c r="DK14">
        <v>317.86133808218301</v>
      </c>
      <c r="DL14">
        <v>28.322808541658517</v>
      </c>
      <c r="DM14">
        <v>11.524740905329976</v>
      </c>
      <c r="DN14">
        <v>4.656565382855228</v>
      </c>
      <c r="DO14">
        <v>1.6216192596612031</v>
      </c>
      <c r="DP14">
        <v>3.0482227057800477</v>
      </c>
      <c r="DQ14">
        <v>332.31215936400895</v>
      </c>
      <c r="DR14">
        <v>28.285073753592673</v>
      </c>
      <c r="DS14">
        <v>11.402762667398335</v>
      </c>
      <c r="DT14">
        <v>4.7694100441182741</v>
      </c>
      <c r="DU14">
        <v>1.6479607908731739</v>
      </c>
      <c r="DV14">
        <v>3.1177469876136321</v>
      </c>
      <c r="DW14">
        <v>341.06462272838161</v>
      </c>
      <c r="DX14">
        <v>28.275918849040249</v>
      </c>
      <c r="DY14">
        <v>11.363717892265251</v>
      </c>
      <c r="DZ14">
        <v>4.8434488067728987</v>
      </c>
      <c r="EA14">
        <v>1.6638891186242244</v>
      </c>
      <c r="EB14">
        <v>3.168245935703335</v>
      </c>
      <c r="EC14">
        <v>345.91507826382087</v>
      </c>
      <c r="ED14">
        <v>28.304843044438943</v>
      </c>
      <c r="EE14">
        <v>11.3470264131472</v>
      </c>
      <c r="EG14">
        <v>18</v>
      </c>
      <c r="EH14">
        <v>4.1246818261243892</v>
      </c>
      <c r="EI14">
        <v>1.4047192760206646</v>
      </c>
      <c r="EJ14">
        <v>2.7824471125743733</v>
      </c>
      <c r="EK14">
        <v>315.95038590405039</v>
      </c>
      <c r="EL14">
        <v>27.586463870300808</v>
      </c>
      <c r="EM14">
        <v>11.087418309513758</v>
      </c>
      <c r="EN14">
        <v>4.1742357833092791</v>
      </c>
      <c r="EO14">
        <v>1.4106283956065573</v>
      </c>
      <c r="EP14">
        <v>2.7949048570934267</v>
      </c>
      <c r="EQ14">
        <v>318.17392944851048</v>
      </c>
      <c r="ER14">
        <v>27.590554740901322</v>
      </c>
      <c r="ES14">
        <v>11.047305319425796</v>
      </c>
      <c r="ET14">
        <v>4.1685116766210895</v>
      </c>
      <c r="EU14">
        <v>1.4676986064535233</v>
      </c>
      <c r="EV14">
        <v>2.9127873142974154</v>
      </c>
      <c r="EW14">
        <v>323.25966566354276</v>
      </c>
      <c r="EX14">
        <v>27.567374396370688</v>
      </c>
      <c r="EY14">
        <v>11.245931421876005</v>
      </c>
      <c r="EZ14">
        <v>4.4241401145459722</v>
      </c>
      <c r="FA14">
        <v>1.4931826032122002</v>
      </c>
      <c r="FB14">
        <v>2.9757029869057146</v>
      </c>
      <c r="FC14">
        <v>337.25487024899149</v>
      </c>
      <c r="FD14">
        <v>27.571568227046978</v>
      </c>
      <c r="FE14">
        <v>11.03315117527902</v>
      </c>
      <c r="FF14">
        <v>4.5412058363022263</v>
      </c>
      <c r="FG14">
        <v>1.5066956423835154</v>
      </c>
      <c r="FH14">
        <v>3.0217535656303047</v>
      </c>
      <c r="FI14">
        <v>343.99214790543135</v>
      </c>
      <c r="FJ14">
        <v>27.584434947916929</v>
      </c>
      <c r="FK14">
        <v>10.953488550443902</v>
      </c>
      <c r="FN14">
        <v>18</v>
      </c>
      <c r="FO14">
        <v>4.9735074869465681</v>
      </c>
      <c r="FP14">
        <v>1.7780855479711146</v>
      </c>
      <c r="FQ14">
        <v>2.9979466848638934</v>
      </c>
      <c r="FR14">
        <v>311.87851113677476</v>
      </c>
      <c r="FS14">
        <v>30.221821153722672</v>
      </c>
      <c r="FT14">
        <v>12.225279510007056</v>
      </c>
      <c r="FU14">
        <v>5.1632978115379835</v>
      </c>
      <c r="FV14">
        <v>1.8829893851733219</v>
      </c>
      <c r="FW14">
        <v>3.1411094928291772</v>
      </c>
      <c r="FX14">
        <v>329.60842263559061</v>
      </c>
      <c r="FY14">
        <v>30.458559760777607</v>
      </c>
      <c r="FZ14">
        <v>12.473951492942412</v>
      </c>
      <c r="GB14">
        <v>18</v>
      </c>
      <c r="GC14">
        <v>4.6834908264018891</v>
      </c>
      <c r="GD14">
        <v>1.7227489155968918</v>
      </c>
      <c r="GE14">
        <v>2.8703506425524572</v>
      </c>
      <c r="GF14">
        <v>311.88407407315685</v>
      </c>
      <c r="GG14">
        <v>29.291396015871481</v>
      </c>
      <c r="GH14">
        <v>12.047634527681366</v>
      </c>
      <c r="GI14">
        <v>4.7769235600683961</v>
      </c>
      <c r="GJ14">
        <v>1.7569102944290516</v>
      </c>
      <c r="GK14">
        <v>3.0146419512621834</v>
      </c>
      <c r="GL14">
        <v>329.87062868396174</v>
      </c>
      <c r="GM14">
        <v>29.263058749860502</v>
      </c>
      <c r="GN14">
        <v>12.081828566482251</v>
      </c>
      <c r="GP14">
        <v>18</v>
      </c>
      <c r="GQ14">
        <v>4.4739761733756316</v>
      </c>
      <c r="GR14">
        <v>1.5843080117616937</v>
      </c>
      <c r="GS14">
        <v>2.9023365367110152</v>
      </c>
      <c r="GT14">
        <v>314.55630481525827</v>
      </c>
      <c r="GU14">
        <v>28.376494557743161</v>
      </c>
      <c r="GV14">
        <v>11.505172143117537</v>
      </c>
      <c r="GW14">
        <v>4.546576286620847</v>
      </c>
      <c r="GX14">
        <v>1.5880515719847474</v>
      </c>
      <c r="GY14">
        <v>3.0526583066705419</v>
      </c>
      <c r="GZ14">
        <v>332.4147332916699</v>
      </c>
      <c r="HA14">
        <v>28.346145251380673</v>
      </c>
      <c r="HB14">
        <v>11.481385390593594</v>
      </c>
      <c r="HD14">
        <v>18</v>
      </c>
      <c r="HE14">
        <v>4.1108941252197315</v>
      </c>
      <c r="HF14">
        <v>1.4257381524468242</v>
      </c>
      <c r="HG14">
        <v>2.7360800964681031</v>
      </c>
      <c r="HH14">
        <v>310.81985882998174</v>
      </c>
      <c r="HI14">
        <v>27.549472726007473</v>
      </c>
      <c r="HJ14">
        <v>11.133312360779676</v>
      </c>
      <c r="HK14">
        <v>4.2490319102987497</v>
      </c>
      <c r="HL14">
        <v>1.45230507858505</v>
      </c>
      <c r="HM14">
        <v>2.9700782880680445</v>
      </c>
      <c r="HN14">
        <v>328.8985565980027</v>
      </c>
      <c r="HO14">
        <v>27.744518041214047</v>
      </c>
      <c r="HP14">
        <v>11.191399582614341</v>
      </c>
      <c r="HS14" t="s">
        <v>7710</v>
      </c>
      <c r="HT14" t="s">
        <v>7711</v>
      </c>
      <c r="HU14" t="s">
        <v>7712</v>
      </c>
      <c r="HV14" t="s">
        <v>7711</v>
      </c>
      <c r="HW14" t="s">
        <v>7712</v>
      </c>
      <c r="HX14" t="s">
        <v>7711</v>
      </c>
      <c r="HY14" t="s">
        <v>7712</v>
      </c>
      <c r="IA14">
        <v>32</v>
      </c>
      <c r="IB14">
        <v>28.066666666666666</v>
      </c>
      <c r="IC14">
        <v>24.433333333333334</v>
      </c>
      <c r="ID14">
        <v>23.333333333333332</v>
      </c>
      <c r="IE14">
        <v>22.333333333333332</v>
      </c>
      <c r="IF14">
        <v>13.033333333333333</v>
      </c>
      <c r="IG14">
        <v>11.3</v>
      </c>
      <c r="IH14">
        <v>10.326666666666666</v>
      </c>
      <c r="II14">
        <v>9.7466666666666661</v>
      </c>
      <c r="IJ14">
        <v>12.6</v>
      </c>
      <c r="IK14">
        <v>12.166666666666666</v>
      </c>
      <c r="IL14">
        <v>12.166666666666666</v>
      </c>
      <c r="IM14">
        <v>11.4</v>
      </c>
      <c r="IN14">
        <v>4.6666666666666661</v>
      </c>
      <c r="IO14">
        <v>1.5333333333333334</v>
      </c>
      <c r="IP14">
        <v>6.25</v>
      </c>
      <c r="IQ14">
        <v>8</v>
      </c>
      <c r="IR14">
        <v>11</v>
      </c>
    </row>
    <row r="15" spans="1:252" x14ac:dyDescent="0.25">
      <c r="B15">
        <v>501.51895369232471</v>
      </c>
      <c r="C15">
        <v>1.993942587090112</v>
      </c>
      <c r="D15">
        <v>504.94762092126638</v>
      </c>
      <c r="E15">
        <v>1.9804034291230463</v>
      </c>
      <c r="F15">
        <v>524.13809828124761</v>
      </c>
      <c r="G15">
        <v>1.9078941280536517</v>
      </c>
      <c r="H15">
        <v>541.7484728193665</v>
      </c>
      <c r="I15">
        <v>1.8458750696532684</v>
      </c>
      <c r="J15">
        <v>553.42210237931113</v>
      </c>
      <c r="K15">
        <v>1.8069390356849315</v>
      </c>
      <c r="L15">
        <v>491.88450263477893</v>
      </c>
      <c r="M15">
        <v>2.0329975728926217</v>
      </c>
      <c r="N15">
        <v>535.1418344928677</v>
      </c>
      <c r="O15">
        <v>1.8686634748854192</v>
      </c>
      <c r="Q15">
        <v>3.3203251708705299E-2</v>
      </c>
      <c r="R15">
        <v>3.3446821957336677E-2</v>
      </c>
      <c r="S15">
        <v>3.4133688694626296E-2</v>
      </c>
      <c r="T15">
        <v>3.4698383423598211E-2</v>
      </c>
      <c r="U15">
        <v>3.5206644267504382E-2</v>
      </c>
      <c r="V15">
        <v>3.3914188921688945E-2</v>
      </c>
      <c r="W15">
        <v>3.3422397119279072E-2</v>
      </c>
      <c r="Y15">
        <v>0.76622278864563798</v>
      </c>
      <c r="Z15">
        <v>0.76802042477182653</v>
      </c>
      <c r="AA15">
        <v>0.79662608773133192</v>
      </c>
      <c r="AB15">
        <v>0.81029111959885569</v>
      </c>
      <c r="AC15">
        <v>0.82085642245195123</v>
      </c>
      <c r="AD15">
        <v>0.79608947575551758</v>
      </c>
      <c r="AE15">
        <v>0.76498334648577504</v>
      </c>
      <c r="AG15">
        <v>0.37328652009623969</v>
      </c>
      <c r="AH15">
        <v>0.37400559944053252</v>
      </c>
      <c r="AI15">
        <v>0.38494662716008216</v>
      </c>
      <c r="AJ15">
        <v>0.38992308515131607</v>
      </c>
      <c r="AK15">
        <v>0.39395403330930268</v>
      </c>
      <c r="AL15">
        <v>0.38570548766366441</v>
      </c>
      <c r="AM15">
        <v>0.37177971980284824</v>
      </c>
      <c r="AO15">
        <v>19</v>
      </c>
      <c r="AP15">
        <v>5.1269516717271513</v>
      </c>
      <c r="AQ15">
        <v>1.9207647349030892</v>
      </c>
      <c r="AR15">
        <v>3.0880004299905881</v>
      </c>
      <c r="AS15">
        <v>325.06965016104039</v>
      </c>
      <c r="AT15">
        <v>30.187822118019252</v>
      </c>
      <c r="AU15">
        <v>12.497326110369231</v>
      </c>
      <c r="AV15">
        <v>5.1989497882311282</v>
      </c>
      <c r="AW15">
        <v>1.9384616171037385</v>
      </c>
      <c r="AX15">
        <v>3.1319651430528697</v>
      </c>
      <c r="AY15">
        <v>328.55720765055889</v>
      </c>
      <c r="AZ15">
        <v>30.184029225945281</v>
      </c>
      <c r="BA15">
        <v>12.463097253380376</v>
      </c>
      <c r="BB15">
        <v>5.4613424173738467</v>
      </c>
      <c r="BC15">
        <v>2.0173496096804202</v>
      </c>
      <c r="BD15">
        <v>3.2641936976857502</v>
      </c>
      <c r="BE15">
        <v>343.15074917170352</v>
      </c>
      <c r="BF15">
        <v>30.187574506883887</v>
      </c>
      <c r="BG15">
        <v>12.401783672810978</v>
      </c>
      <c r="BH15">
        <v>5.7096797337628571</v>
      </c>
      <c r="BI15">
        <v>2.0996053947715847</v>
      </c>
      <c r="BJ15">
        <v>3.4093205022378776</v>
      </c>
      <c r="BK15">
        <v>357.09247102484971</v>
      </c>
      <c r="BL15">
        <v>30.16523264372443</v>
      </c>
      <c r="BM15">
        <v>12.358541851305466</v>
      </c>
      <c r="BN15">
        <v>5.8215508079395093</v>
      </c>
      <c r="BO15">
        <v>2.133690202387549</v>
      </c>
      <c r="BP15">
        <v>3.5041507503385865</v>
      </c>
      <c r="BQ15">
        <v>364.3299303439361</v>
      </c>
      <c r="BR15">
        <v>30.172450894150799</v>
      </c>
      <c r="BS15">
        <v>12.343425329763733</v>
      </c>
      <c r="BU15">
        <v>19</v>
      </c>
      <c r="BV15">
        <v>4.7972380238153933</v>
      </c>
      <c r="BW15">
        <v>1.804749304660821</v>
      </c>
      <c r="BX15">
        <v>2.9628327970695905</v>
      </c>
      <c r="BY15">
        <v>325.92782454091753</v>
      </c>
      <c r="BZ15">
        <v>29.096721461183222</v>
      </c>
      <c r="CA15">
        <v>12.108466044476804</v>
      </c>
      <c r="CB15">
        <v>4.8605523929330134</v>
      </c>
      <c r="CC15">
        <v>1.8199881395159885</v>
      </c>
      <c r="CD15">
        <v>3.0042025554091749</v>
      </c>
      <c r="CE15">
        <v>328.95664208201305</v>
      </c>
      <c r="CF15">
        <v>29.118679295228258</v>
      </c>
      <c r="CG15">
        <v>12.087814763347742</v>
      </c>
      <c r="CH15">
        <v>5.1174506244177111</v>
      </c>
      <c r="CI15">
        <v>1.9016833207613133</v>
      </c>
      <c r="CJ15">
        <v>3.1315129097475878</v>
      </c>
      <c r="CK15">
        <v>343.90271496421764</v>
      </c>
      <c r="CL15">
        <v>29.121599158644994</v>
      </c>
      <c r="CM15">
        <v>12.038332032075235</v>
      </c>
      <c r="CN15">
        <v>5.3588160792428976</v>
      </c>
      <c r="CO15">
        <v>1.9660372167203588</v>
      </c>
      <c r="CP15">
        <v>3.2751028897485028</v>
      </c>
      <c r="CQ15">
        <v>358.11386781241407</v>
      </c>
      <c r="CR15">
        <v>29.09944223306567</v>
      </c>
      <c r="CS15">
        <v>11.950316518144934</v>
      </c>
      <c r="CT15">
        <v>5.4538174790082792</v>
      </c>
      <c r="CU15">
        <v>1.9856511520714664</v>
      </c>
      <c r="CV15">
        <v>3.3518310400799556</v>
      </c>
      <c r="CW15">
        <v>365.03808433027137</v>
      </c>
      <c r="CX15">
        <v>29.106534522648623</v>
      </c>
      <c r="CY15">
        <v>11.913935632939282</v>
      </c>
      <c r="DA15">
        <v>19</v>
      </c>
      <c r="DB15">
        <v>4.5966062296700443</v>
      </c>
      <c r="DC15">
        <v>1.6251419188264808</v>
      </c>
      <c r="DD15">
        <v>3.0060091148130228</v>
      </c>
      <c r="DE15">
        <v>328.51146492142078</v>
      </c>
      <c r="DF15">
        <v>28.257154846000738</v>
      </c>
      <c r="DG15">
        <v>11.466505777722499</v>
      </c>
      <c r="DH15">
        <v>4.6311770676655373</v>
      </c>
      <c r="DI15">
        <v>1.6396732645585974</v>
      </c>
      <c r="DJ15">
        <v>3.0279090663903276</v>
      </c>
      <c r="DK15">
        <v>330.91859388373416</v>
      </c>
      <c r="DL15">
        <v>28.25289303881998</v>
      </c>
      <c r="DM15">
        <v>11.47125652611887</v>
      </c>
      <c r="DN15">
        <v>4.9200564364872665</v>
      </c>
      <c r="DO15">
        <v>1.702156754125755</v>
      </c>
      <c r="DP15">
        <v>3.1681998682924961</v>
      </c>
      <c r="DQ15">
        <v>347.41577506283284</v>
      </c>
      <c r="DR15">
        <v>28.258943696646057</v>
      </c>
      <c r="DS15">
        <v>11.342284333873884</v>
      </c>
      <c r="DT15">
        <v>5.0418335365633098</v>
      </c>
      <c r="DU15">
        <v>1.7221464259140147</v>
      </c>
      <c r="DV15">
        <v>3.2490588435711238</v>
      </c>
      <c r="DW15">
        <v>357.65502556956483</v>
      </c>
      <c r="DX15">
        <v>28.250494315009224</v>
      </c>
      <c r="DY15">
        <v>11.283731502618485</v>
      </c>
      <c r="DZ15">
        <v>5.1242042035773689</v>
      </c>
      <c r="EA15">
        <v>1.7411636353212592</v>
      </c>
      <c r="EB15">
        <v>3.3121657084818965</v>
      </c>
      <c r="EC15">
        <v>364.24243553543897</v>
      </c>
      <c r="ED15">
        <v>28.265186380810821</v>
      </c>
      <c r="EE15">
        <v>11.268738409071929</v>
      </c>
      <c r="EG15">
        <v>19</v>
      </c>
      <c r="EH15">
        <v>4.3483106657419857</v>
      </c>
      <c r="EI15">
        <v>1.4741333814069419</v>
      </c>
      <c r="EJ15">
        <v>2.8688499155799558</v>
      </c>
      <c r="EK15">
        <v>328.13051654416296</v>
      </c>
      <c r="EL15">
        <v>27.533262874156108</v>
      </c>
      <c r="EM15">
        <v>11.019609243394939</v>
      </c>
      <c r="EN15">
        <v>4.4026424082251765</v>
      </c>
      <c r="EO15">
        <v>1.4829512231339113</v>
      </c>
      <c r="EP15">
        <v>2.8901767535774554</v>
      </c>
      <c r="EQ15">
        <v>331.20130656145585</v>
      </c>
      <c r="ER15">
        <v>27.538759049010793</v>
      </c>
      <c r="ES15">
        <v>10.988271984980488</v>
      </c>
      <c r="ET15">
        <v>4.4043175561872241</v>
      </c>
      <c r="EU15">
        <v>1.5405863627384184</v>
      </c>
      <c r="EV15">
        <v>3.0192413473249289</v>
      </c>
      <c r="EW15">
        <v>338.51036776775118</v>
      </c>
      <c r="EX15">
        <v>27.478815517133953</v>
      </c>
      <c r="EY15">
        <v>11.163374807004926</v>
      </c>
      <c r="EZ15">
        <v>4.6623835451831273</v>
      </c>
      <c r="FA15">
        <v>1.5618688787627781</v>
      </c>
      <c r="FB15">
        <v>3.0928059221547164</v>
      </c>
      <c r="FC15">
        <v>353.52824332068849</v>
      </c>
      <c r="FD15">
        <v>27.506943105493637</v>
      </c>
      <c r="FE15">
        <v>10.962082394142605</v>
      </c>
      <c r="FF15">
        <v>4.7838051365367766</v>
      </c>
      <c r="FG15">
        <v>1.5772239805444697</v>
      </c>
      <c r="FH15">
        <v>3.1507448125781545</v>
      </c>
      <c r="FI15">
        <v>361.07524584126196</v>
      </c>
      <c r="FJ15">
        <v>27.570378683742636</v>
      </c>
      <c r="FK15">
        <v>10.913550884869338</v>
      </c>
      <c r="FN15">
        <v>19</v>
      </c>
      <c r="FO15">
        <v>5.2384423736320143</v>
      </c>
      <c r="FP15">
        <v>1.8824141381497994</v>
      </c>
      <c r="FQ15">
        <v>3.1287514803738663</v>
      </c>
      <c r="FR15">
        <v>326.48100055969917</v>
      </c>
      <c r="FS15">
        <v>30.12307346948683</v>
      </c>
      <c r="FT15">
        <v>12.199812239681323</v>
      </c>
      <c r="FU15">
        <v>5.4109266882381633</v>
      </c>
      <c r="FV15">
        <v>1.9804237203928019</v>
      </c>
      <c r="FW15">
        <v>3.2620867438121381</v>
      </c>
      <c r="FX15">
        <v>343.09804136264194</v>
      </c>
      <c r="FY15">
        <v>30.344947317070716</v>
      </c>
      <c r="FZ15">
        <v>12.433026162588485</v>
      </c>
      <c r="GB15">
        <v>19</v>
      </c>
      <c r="GC15">
        <v>4.9420354676286387</v>
      </c>
      <c r="GD15">
        <v>1.8031840741641514</v>
      </c>
      <c r="GE15">
        <v>2.9981036472352676</v>
      </c>
      <c r="GF15">
        <v>326.81750848696078</v>
      </c>
      <c r="GG15">
        <v>29.185107935025343</v>
      </c>
      <c r="GH15">
        <v>11.944821624578678</v>
      </c>
      <c r="GI15">
        <v>5.0244548722592661</v>
      </c>
      <c r="GJ15">
        <v>1.8343045454989761</v>
      </c>
      <c r="GK15">
        <v>3.1326530940393615</v>
      </c>
      <c r="GL15">
        <v>343.80846584746172</v>
      </c>
      <c r="GM15">
        <v>29.158153942050852</v>
      </c>
      <c r="GN15">
        <v>11.982333650645273</v>
      </c>
      <c r="GP15">
        <v>19</v>
      </c>
      <c r="GQ15">
        <v>4.7276268993638713</v>
      </c>
      <c r="GR15">
        <v>1.6663383399371969</v>
      </c>
      <c r="GS15">
        <v>3.0210178780448387</v>
      </c>
      <c r="GT15">
        <v>329.22482251176461</v>
      </c>
      <c r="GU15">
        <v>28.320451723077678</v>
      </c>
      <c r="GV15">
        <v>11.441819847300279</v>
      </c>
      <c r="GW15">
        <v>4.7940730151190998</v>
      </c>
      <c r="GX15">
        <v>1.6688962986929035</v>
      </c>
      <c r="GY15">
        <v>3.1626421365120869</v>
      </c>
      <c r="GZ15">
        <v>346.19262156635591</v>
      </c>
      <c r="HA15">
        <v>28.291874830564876</v>
      </c>
      <c r="HB15">
        <v>11.422021315774275</v>
      </c>
      <c r="HD15">
        <v>19</v>
      </c>
      <c r="HE15">
        <v>4.3487521076805269</v>
      </c>
      <c r="HF15">
        <v>1.4996407500112463</v>
      </c>
      <c r="HG15">
        <v>2.8427852411553394</v>
      </c>
      <c r="HH15">
        <v>325.60130269363304</v>
      </c>
      <c r="HI15">
        <v>27.472005874363521</v>
      </c>
      <c r="HJ15">
        <v>11.057184012253863</v>
      </c>
      <c r="HK15">
        <v>4.4783869022820841</v>
      </c>
      <c r="HL15">
        <v>1.5238531210594506</v>
      </c>
      <c r="HM15">
        <v>3.0642705491269608</v>
      </c>
      <c r="HN15">
        <v>342.6919727986288</v>
      </c>
      <c r="HO15">
        <v>27.659685537347865</v>
      </c>
      <c r="HP15">
        <v>11.115452440140972</v>
      </c>
      <c r="HS15">
        <v>450</v>
      </c>
      <c r="HT15">
        <v>7.67</v>
      </c>
      <c r="HU15">
        <v>4.4649999999999999</v>
      </c>
      <c r="HV15">
        <v>8</v>
      </c>
      <c r="HW15">
        <v>6</v>
      </c>
      <c r="HX15">
        <v>11</v>
      </c>
      <c r="HY15">
        <v>11</v>
      </c>
      <c r="IA15">
        <v>33</v>
      </c>
      <c r="IB15">
        <v>28.133333333333333</v>
      </c>
      <c r="IC15">
        <v>24.466666666666669</v>
      </c>
      <c r="ID15">
        <v>23.366666666666664</v>
      </c>
      <c r="IE15">
        <v>22.366666666666664</v>
      </c>
      <c r="IF15">
        <v>13.066666666666666</v>
      </c>
      <c r="IG15">
        <v>11.3</v>
      </c>
      <c r="IH15">
        <v>10.343333333333332</v>
      </c>
      <c r="II15">
        <v>9.7533333333333321</v>
      </c>
      <c r="IJ15">
        <v>12.7</v>
      </c>
      <c r="IK15">
        <v>12.233333333333333</v>
      </c>
      <c r="IL15">
        <v>12.233333333333333</v>
      </c>
      <c r="IM15">
        <v>11.5</v>
      </c>
      <c r="IN15">
        <v>4.7333333333333325</v>
      </c>
      <c r="IO15">
        <v>1.5666666666666669</v>
      </c>
      <c r="IP15">
        <v>6.25</v>
      </c>
      <c r="IQ15">
        <v>8</v>
      </c>
      <c r="IR15">
        <v>11</v>
      </c>
    </row>
    <row r="16" spans="1:252" x14ac:dyDescent="0.25">
      <c r="B16">
        <v>511.3522094967999</v>
      </c>
      <c r="C16">
        <v>1.9555992551280021</v>
      </c>
      <c r="D16">
        <v>516.83087788063062</v>
      </c>
      <c r="E16">
        <v>1.9348689151482241</v>
      </c>
      <c r="F16">
        <v>540.16612673311806</v>
      </c>
      <c r="G16">
        <v>1.8512823194744195</v>
      </c>
      <c r="H16">
        <v>561.11244119637217</v>
      </c>
      <c r="I16">
        <v>1.7821739932692573</v>
      </c>
      <c r="J16">
        <v>576.73901593887206</v>
      </c>
      <c r="K16">
        <v>1.7338865108199804</v>
      </c>
      <c r="L16">
        <v>506.9333573663713</v>
      </c>
      <c r="M16">
        <v>1.9726458822816806</v>
      </c>
      <c r="N16">
        <v>548.05393910390421</v>
      </c>
      <c r="O16">
        <v>1.8246379209226202</v>
      </c>
      <c r="Q16">
        <v>3.4947055092521467E-2</v>
      </c>
      <c r="R16">
        <v>3.5203805331044544E-2</v>
      </c>
      <c r="S16">
        <v>3.5927350941421965E-2</v>
      </c>
      <c r="T16">
        <v>3.6522249573494557E-2</v>
      </c>
      <c r="U16">
        <v>3.7058092973094509E-2</v>
      </c>
      <c r="V16">
        <v>3.5699146233356786E-2</v>
      </c>
      <c r="W16">
        <v>3.5181470651872708E-2</v>
      </c>
      <c r="Y16">
        <v>0.79678028973390491</v>
      </c>
      <c r="Z16">
        <v>0.79875865410986668</v>
      </c>
      <c r="AA16">
        <v>0.8273226768543005</v>
      </c>
      <c r="AB16">
        <v>0.84068022558276212</v>
      </c>
      <c r="AC16">
        <v>0.85285635249766711</v>
      </c>
      <c r="AD16">
        <v>0.82650374617377986</v>
      </c>
      <c r="AE16">
        <v>0.79671362435813076</v>
      </c>
      <c r="AG16">
        <v>0.38163982163588223</v>
      </c>
      <c r="AH16">
        <v>0.38244659156646016</v>
      </c>
      <c r="AI16">
        <v>0.39373625217230196</v>
      </c>
      <c r="AJ16">
        <v>0.39832857809663602</v>
      </c>
      <c r="AK16">
        <v>0.40321608973835094</v>
      </c>
      <c r="AL16">
        <v>0.39417045010672769</v>
      </c>
      <c r="AM16">
        <v>0.38082051737683192</v>
      </c>
      <c r="AO16">
        <v>20</v>
      </c>
      <c r="AP16">
        <v>5.3457905164864581</v>
      </c>
      <c r="AQ16">
        <v>2.0279165322627311</v>
      </c>
      <c r="AR16">
        <v>3.1929613317611962</v>
      </c>
      <c r="AS16">
        <v>336.78089936957326</v>
      </c>
      <c r="AT16">
        <v>30.060688064482328</v>
      </c>
      <c r="AU16">
        <v>12.505596816216944</v>
      </c>
      <c r="AV16">
        <v>5.4294021080786958</v>
      </c>
      <c r="AW16">
        <v>2.0479079815771275</v>
      </c>
      <c r="AX16">
        <v>3.2468433133214827</v>
      </c>
      <c r="AY16">
        <v>341.29851710139047</v>
      </c>
      <c r="AZ16">
        <v>30.057762682712561</v>
      </c>
      <c r="BA16">
        <v>12.46719230339435</v>
      </c>
      <c r="BB16">
        <v>5.7316809494678349</v>
      </c>
      <c r="BC16">
        <v>2.1332432816174811</v>
      </c>
      <c r="BD16">
        <v>3.3945629096494963</v>
      </c>
      <c r="BE16">
        <v>357.95232488621139</v>
      </c>
      <c r="BF16">
        <v>30.112929818485181</v>
      </c>
      <c r="BG16">
        <v>12.403949959656469</v>
      </c>
      <c r="BH16">
        <v>5.9914218670808461</v>
      </c>
      <c r="BI16">
        <v>2.2167161701315989</v>
      </c>
      <c r="BJ16">
        <v>3.5501873109689037</v>
      </c>
      <c r="BK16">
        <v>373.20801614663492</v>
      </c>
      <c r="BL16">
        <v>30.102398746991774</v>
      </c>
      <c r="BM16">
        <v>12.360256614767517</v>
      </c>
      <c r="BN16">
        <v>6.1214364409182878</v>
      </c>
      <c r="BO16">
        <v>2.2558310630176202</v>
      </c>
      <c r="BP16">
        <v>3.6640419506784525</v>
      </c>
      <c r="BQ16">
        <v>382.40890208156173</v>
      </c>
      <c r="BR16">
        <v>30.099942086066044</v>
      </c>
      <c r="BS16">
        <v>12.339657902571863</v>
      </c>
      <c r="BU16">
        <v>20</v>
      </c>
      <c r="BV16">
        <v>5.0177389895868716</v>
      </c>
      <c r="BW16">
        <v>1.8880911645333931</v>
      </c>
      <c r="BX16">
        <v>3.0665791725117741</v>
      </c>
      <c r="BY16">
        <v>337.92204686000241</v>
      </c>
      <c r="BZ16">
        <v>28.98838393691215</v>
      </c>
      <c r="CA16">
        <v>12.049586030343825</v>
      </c>
      <c r="CB16">
        <v>5.0880881397490105</v>
      </c>
      <c r="CC16">
        <v>1.9021860675170776</v>
      </c>
      <c r="CD16">
        <v>3.1167438002370895</v>
      </c>
      <c r="CE16">
        <v>342.05876249854015</v>
      </c>
      <c r="CF16">
        <v>28.993134952091598</v>
      </c>
      <c r="CG16">
        <v>12.01346897676345</v>
      </c>
      <c r="CH16">
        <v>5.3846170919399601</v>
      </c>
      <c r="CI16">
        <v>1.9966125206554757</v>
      </c>
      <c r="CJ16">
        <v>3.2584309287271931</v>
      </c>
      <c r="CK16">
        <v>359.12624839766966</v>
      </c>
      <c r="CL16">
        <v>29.04808386097881</v>
      </c>
      <c r="CM16">
        <v>11.982950241231046</v>
      </c>
      <c r="CN16">
        <v>5.6372694010683668</v>
      </c>
      <c r="CO16">
        <v>2.0595188680500129</v>
      </c>
      <c r="CP16">
        <v>3.4130160542286974</v>
      </c>
      <c r="CQ16">
        <v>374.69192167261747</v>
      </c>
      <c r="CR16">
        <v>29.03800008027342</v>
      </c>
      <c r="CS16">
        <v>11.891768384780599</v>
      </c>
      <c r="CT16">
        <v>5.744933595845108</v>
      </c>
      <c r="CU16">
        <v>2.0806900810746325</v>
      </c>
      <c r="CV16">
        <v>3.5039500086062612</v>
      </c>
      <c r="CW16">
        <v>383.46357319868906</v>
      </c>
      <c r="CX16">
        <v>29.035308016099176</v>
      </c>
      <c r="CY16">
        <v>11.848984795975186</v>
      </c>
      <c r="DA16">
        <v>20</v>
      </c>
      <c r="DB16">
        <v>4.8134801897045252</v>
      </c>
      <c r="DC16">
        <v>1.6980912719542838</v>
      </c>
      <c r="DD16">
        <v>3.1028618396380527</v>
      </c>
      <c r="DE16">
        <v>340.29396565147482</v>
      </c>
      <c r="DF16">
        <v>28.186086746734102</v>
      </c>
      <c r="DG16">
        <v>11.407257472752496</v>
      </c>
      <c r="DH16">
        <v>4.859001823938649</v>
      </c>
      <c r="DI16">
        <v>1.7197755700680109</v>
      </c>
      <c r="DJ16">
        <v>3.1326285131605482</v>
      </c>
      <c r="DK16">
        <v>343.76459172820461</v>
      </c>
      <c r="DL16">
        <v>28.182860538805095</v>
      </c>
      <c r="DM16">
        <v>11.423229525517929</v>
      </c>
      <c r="DN16">
        <v>5.1750574925593442</v>
      </c>
      <c r="DO16">
        <v>1.7813296142604726</v>
      </c>
      <c r="DP16">
        <v>3.2832273524891065</v>
      </c>
      <c r="DQ16">
        <v>362.08916393106665</v>
      </c>
      <c r="DR16">
        <v>28.231636842630564</v>
      </c>
      <c r="DS16">
        <v>11.290338031912308</v>
      </c>
      <c r="DT16">
        <v>5.3048109207408869</v>
      </c>
      <c r="DU16">
        <v>1.7947296484951198</v>
      </c>
      <c r="DV16">
        <v>3.3746706652555059</v>
      </c>
      <c r="DW16">
        <v>373.71956646697083</v>
      </c>
      <c r="DX16">
        <v>28.223958598143145</v>
      </c>
      <c r="DY16">
        <v>11.214184925462344</v>
      </c>
      <c r="DZ16">
        <v>5.3951617387473725</v>
      </c>
      <c r="EA16">
        <v>1.8169085300401948</v>
      </c>
      <c r="EB16">
        <v>3.4500687302869752</v>
      </c>
      <c r="EC16">
        <v>382.08369874774394</v>
      </c>
      <c r="ED16">
        <v>28.224734891922346</v>
      </c>
      <c r="EE16">
        <v>11.201400404241713</v>
      </c>
      <c r="EG16">
        <v>20</v>
      </c>
      <c r="EH16">
        <v>4.5673981253325655</v>
      </c>
      <c r="EI16">
        <v>1.5428643521095731</v>
      </c>
      <c r="EJ16">
        <v>2.952549618849611</v>
      </c>
      <c r="EK16">
        <v>340.09333101643546</v>
      </c>
      <c r="EL16">
        <v>27.479142689860719</v>
      </c>
      <c r="EM16">
        <v>10.957562595032375</v>
      </c>
      <c r="EN16">
        <v>4.6260906120515255</v>
      </c>
      <c r="EO16">
        <v>1.5546972228024358</v>
      </c>
      <c r="EP16">
        <v>2.982653224953713</v>
      </c>
      <c r="EQ16">
        <v>344.0043865320435</v>
      </c>
      <c r="ER16">
        <v>27.486156296694158</v>
      </c>
      <c r="ES16">
        <v>10.935393948650303</v>
      </c>
      <c r="ET16">
        <v>4.637020005638786</v>
      </c>
      <c r="EU16">
        <v>1.6122389988757617</v>
      </c>
      <c r="EV16">
        <v>3.1210502249633061</v>
      </c>
      <c r="EW16">
        <v>353.56676783287077</v>
      </c>
      <c r="EX16">
        <v>27.390391787077615</v>
      </c>
      <c r="EY16">
        <v>11.084238677493701</v>
      </c>
      <c r="EZ16">
        <v>4.8932471470301975</v>
      </c>
      <c r="FA16">
        <v>1.629109982637962</v>
      </c>
      <c r="FB16">
        <v>3.2045643417610212</v>
      </c>
      <c r="FC16">
        <v>369.37093182950684</v>
      </c>
      <c r="FD16">
        <v>27.442012687256547</v>
      </c>
      <c r="FE16">
        <v>10.897827403010355</v>
      </c>
      <c r="FF16">
        <v>5.0173828306541681</v>
      </c>
      <c r="FG16">
        <v>1.6463713658647037</v>
      </c>
      <c r="FH16">
        <v>3.2740856974587396</v>
      </c>
      <c r="FI16">
        <v>377.66005053294646</v>
      </c>
      <c r="FJ16">
        <v>27.555025163243076</v>
      </c>
      <c r="FK16">
        <v>10.881043222953139</v>
      </c>
      <c r="FN16">
        <v>20</v>
      </c>
      <c r="FO16">
        <v>5.4976006510098197</v>
      </c>
      <c r="FP16">
        <v>1.9859936566156795</v>
      </c>
      <c r="FQ16">
        <v>3.2562008927541175</v>
      </c>
      <c r="FR16">
        <v>340.8528046738499</v>
      </c>
      <c r="FS16">
        <v>30.025822882795751</v>
      </c>
      <c r="FT16">
        <v>12.177844812574076</v>
      </c>
      <c r="FU16">
        <v>5.6536786596979445</v>
      </c>
      <c r="FV16">
        <v>2.0772489821503481</v>
      </c>
      <c r="FW16">
        <v>3.3803028527625023</v>
      </c>
      <c r="FX16">
        <v>356.38568126132213</v>
      </c>
      <c r="FY16">
        <v>30.233242336086477</v>
      </c>
      <c r="FZ16">
        <v>12.395877728472076</v>
      </c>
      <c r="GB16">
        <v>20</v>
      </c>
      <c r="GC16">
        <v>5.1950738306633664</v>
      </c>
      <c r="GD16">
        <v>1.882988313375358</v>
      </c>
      <c r="GE16">
        <v>3.1226015364417257</v>
      </c>
      <c r="GF16">
        <v>341.52855692877381</v>
      </c>
      <c r="GG16">
        <v>29.080611036476345</v>
      </c>
      <c r="GH16">
        <v>11.852148623848841</v>
      </c>
      <c r="GI16">
        <v>5.2673416725422584</v>
      </c>
      <c r="GJ16">
        <v>1.9111838874359453</v>
      </c>
      <c r="GK16">
        <v>3.2479890212657967</v>
      </c>
      <c r="GL16">
        <v>357.54061683590146</v>
      </c>
      <c r="GM16">
        <v>29.055042113710481</v>
      </c>
      <c r="GN16">
        <v>11.891371313292009</v>
      </c>
      <c r="GP16">
        <v>20</v>
      </c>
      <c r="GQ16">
        <v>4.9744184343195705</v>
      </c>
      <c r="GR16">
        <v>1.7474112238890656</v>
      </c>
      <c r="GS16">
        <v>3.1355844875318137</v>
      </c>
      <c r="GT16">
        <v>343.5895275318702</v>
      </c>
      <c r="GU16">
        <v>28.263968914623472</v>
      </c>
      <c r="GV16">
        <v>11.386464991018288</v>
      </c>
      <c r="GW16">
        <v>5.0357046696559333</v>
      </c>
      <c r="GX16">
        <v>1.7489184061580139</v>
      </c>
      <c r="GY16">
        <v>3.2691173920879697</v>
      </c>
      <c r="GZ16">
        <v>359.69398887855596</v>
      </c>
      <c r="HA16">
        <v>28.237115411100302</v>
      </c>
      <c r="HB16">
        <v>11.369060589116325</v>
      </c>
      <c r="HD16">
        <v>20</v>
      </c>
      <c r="HE16">
        <v>4.5820830140206716</v>
      </c>
      <c r="HF16">
        <v>1.5726030287380597</v>
      </c>
      <c r="HG16">
        <v>2.9455225266146159</v>
      </c>
      <c r="HH16">
        <v>340.17332049872761</v>
      </c>
      <c r="HI16">
        <v>27.394471417069592</v>
      </c>
      <c r="HJ16">
        <v>10.986934324807308</v>
      </c>
      <c r="HK16">
        <v>4.7037467668021655</v>
      </c>
      <c r="HL16">
        <v>1.5945798117368353</v>
      </c>
      <c r="HM16">
        <v>3.155069465098387</v>
      </c>
      <c r="HN16">
        <v>356.29295348357857</v>
      </c>
      <c r="HO16">
        <v>27.574956725159783</v>
      </c>
      <c r="HP16">
        <v>11.044406352149267</v>
      </c>
      <c r="HS16">
        <v>500</v>
      </c>
      <c r="HT16">
        <v>7.67</v>
      </c>
      <c r="HU16">
        <v>4.4649999999999999</v>
      </c>
      <c r="HV16">
        <v>8</v>
      </c>
      <c r="HW16">
        <v>6</v>
      </c>
      <c r="HX16">
        <v>11</v>
      </c>
      <c r="HY16">
        <v>11</v>
      </c>
      <c r="IA16">
        <v>34</v>
      </c>
      <c r="IB16">
        <v>28.2</v>
      </c>
      <c r="IC16">
        <v>24.5</v>
      </c>
      <c r="ID16">
        <v>23.4</v>
      </c>
      <c r="IE16">
        <v>22.4</v>
      </c>
      <c r="IF16">
        <v>13.1</v>
      </c>
      <c r="IG16">
        <v>11.3</v>
      </c>
      <c r="IH16">
        <v>10.36</v>
      </c>
      <c r="II16">
        <v>9.76</v>
      </c>
      <c r="IJ16">
        <v>12.8</v>
      </c>
      <c r="IK16">
        <v>12.3</v>
      </c>
      <c r="IL16">
        <v>12.3</v>
      </c>
      <c r="IM16">
        <v>11.6</v>
      </c>
      <c r="IN16">
        <v>4.8</v>
      </c>
      <c r="IO16">
        <v>1.6</v>
      </c>
      <c r="IP16">
        <v>6.25</v>
      </c>
      <c r="IQ16">
        <v>8</v>
      </c>
      <c r="IR16">
        <v>11</v>
      </c>
    </row>
    <row r="17" spans="2:224" x14ac:dyDescent="0.25">
      <c r="B17">
        <v>520.86007439820025</v>
      </c>
      <c r="C17">
        <v>1.9199014267995029</v>
      </c>
      <c r="D17">
        <v>528.4097298553346</v>
      </c>
      <c r="E17">
        <v>1.8924708299254349</v>
      </c>
      <c r="F17">
        <v>555.66771159361861</v>
      </c>
      <c r="G17">
        <v>1.7996366877824619</v>
      </c>
      <c r="H17">
        <v>579.75232106421254</v>
      </c>
      <c r="I17">
        <v>1.7248745087632715</v>
      </c>
      <c r="J17">
        <v>599.4368746969858</v>
      </c>
      <c r="K17">
        <v>1.6682323731010011</v>
      </c>
      <c r="L17">
        <v>521.60224791938617</v>
      </c>
      <c r="M17">
        <v>1.9171696517583841</v>
      </c>
      <c r="N17">
        <v>560.57757787382309</v>
      </c>
      <c r="O17">
        <v>1.7838744171553071</v>
      </c>
      <c r="Q17">
        <v>3.669078507434579E-2</v>
      </c>
      <c r="R17">
        <v>3.6960718768221407E-2</v>
      </c>
      <c r="S17">
        <v>3.7720883484032748E-2</v>
      </c>
      <c r="T17">
        <v>3.8345928585141326E-2</v>
      </c>
      <c r="U17">
        <v>3.8909378399252625E-2</v>
      </c>
      <c r="V17">
        <v>3.7484103545024627E-2</v>
      </c>
      <c r="W17">
        <v>3.6940544184466344E-2</v>
      </c>
      <c r="Y17">
        <v>0.82674387425881035</v>
      </c>
      <c r="Z17">
        <v>0.82893243973861297</v>
      </c>
      <c r="AA17">
        <v>0.85707023261456783</v>
      </c>
      <c r="AB17">
        <v>0.8699792343110816</v>
      </c>
      <c r="AC17">
        <v>0.88372741986858772</v>
      </c>
      <c r="AD17">
        <v>0.85613874772930454</v>
      </c>
      <c r="AE17">
        <v>0.82780080863981298</v>
      </c>
      <c r="AG17">
        <v>0.38972947962483662</v>
      </c>
      <c r="AH17">
        <v>0.39061856953836266</v>
      </c>
      <c r="AI17">
        <v>0.40208467589759722</v>
      </c>
      <c r="AJ17">
        <v>0.40620723528241504</v>
      </c>
      <c r="AK17">
        <v>0.41191861653055056</v>
      </c>
      <c r="AL17">
        <v>0.40225823443652331</v>
      </c>
      <c r="AM17">
        <v>0.38956140296322472</v>
      </c>
      <c r="AO17">
        <v>21</v>
      </c>
      <c r="AP17">
        <v>5.5610780645714692</v>
      </c>
      <c r="AQ17">
        <v>2.1340068837873782</v>
      </c>
      <c r="AR17">
        <v>3.2959268491266087</v>
      </c>
      <c r="AS17">
        <v>348.34459631505996</v>
      </c>
      <c r="AT17">
        <v>29.935858658524051</v>
      </c>
      <c r="AU17">
        <v>12.511575829248679</v>
      </c>
      <c r="AV17">
        <v>5.6557369222928697</v>
      </c>
      <c r="AW17">
        <v>2.156306589707492</v>
      </c>
      <c r="AX17">
        <v>3.359362072290446</v>
      </c>
      <c r="AY17">
        <v>353.88839454279457</v>
      </c>
      <c r="AZ17">
        <v>29.933723742896341</v>
      </c>
      <c r="BA17">
        <v>12.469694991710341</v>
      </c>
      <c r="BB17">
        <v>5.9954529900546243</v>
      </c>
      <c r="BC17">
        <v>2.247525304465376</v>
      </c>
      <c r="BD17">
        <v>3.5211500472896433</v>
      </c>
      <c r="BE17">
        <v>372.4351246950298</v>
      </c>
      <c r="BF17">
        <v>30.039089616873337</v>
      </c>
      <c r="BG17">
        <v>12.406198987298646</v>
      </c>
      <c r="BH17">
        <v>6.2632731178612167</v>
      </c>
      <c r="BI17">
        <v>2.3312212843283273</v>
      </c>
      <c r="BJ17">
        <v>3.6853173256031475</v>
      </c>
      <c r="BK17">
        <v>388.8303463556004</v>
      </c>
      <c r="BL17">
        <v>30.040039095104394</v>
      </c>
      <c r="BM17">
        <v>12.362855976875863</v>
      </c>
      <c r="BN17">
        <v>6.4109374076839423</v>
      </c>
      <c r="BO17">
        <v>2.3754047646575431</v>
      </c>
      <c r="BP17">
        <v>3.8175776580172043</v>
      </c>
      <c r="BQ17">
        <v>400.02812601048845</v>
      </c>
      <c r="BR17">
        <v>30.028077487075567</v>
      </c>
      <c r="BS17">
        <v>12.337382341764691</v>
      </c>
      <c r="BU17">
        <v>21</v>
      </c>
      <c r="BV17">
        <v>5.2348104095756636</v>
      </c>
      <c r="BW17">
        <v>1.9706525625100666</v>
      </c>
      <c r="BX17">
        <v>3.1683770822812169</v>
      </c>
      <c r="BY17">
        <v>349.761782155785</v>
      </c>
      <c r="BZ17">
        <v>28.881734540834156</v>
      </c>
      <c r="CA17">
        <v>11.993836160061425</v>
      </c>
      <c r="CB17">
        <v>5.3116975086129203</v>
      </c>
      <c r="CC17">
        <v>1.9835236237298453</v>
      </c>
      <c r="CD17">
        <v>3.2269941859338545</v>
      </c>
      <c r="CE17">
        <v>355.01176421816911</v>
      </c>
      <c r="CF17">
        <v>28.869910964648046</v>
      </c>
      <c r="CG17">
        <v>11.943540475101946</v>
      </c>
      <c r="CH17">
        <v>5.6455181014613185</v>
      </c>
      <c r="CI17">
        <v>2.0900752166213534</v>
      </c>
      <c r="CJ17">
        <v>3.3816855591971988</v>
      </c>
      <c r="CK17">
        <v>374.03008579260933</v>
      </c>
      <c r="CL17">
        <v>28.975415642369796</v>
      </c>
      <c r="CM17">
        <v>11.93234006704091</v>
      </c>
      <c r="CN17">
        <v>5.9062758291511237</v>
      </c>
      <c r="CO17">
        <v>2.150661946088638</v>
      </c>
      <c r="CP17">
        <v>3.5453502122072735</v>
      </c>
      <c r="CQ17">
        <v>390.77422415289129</v>
      </c>
      <c r="CR17">
        <v>28.977043052729055</v>
      </c>
      <c r="CS17">
        <v>11.839302459681248</v>
      </c>
      <c r="CT17">
        <v>6.0262118274552989</v>
      </c>
      <c r="CU17">
        <v>2.1734294163462784</v>
      </c>
      <c r="CV17">
        <v>3.6500138788614285</v>
      </c>
      <c r="CW17">
        <v>401.43103051035843</v>
      </c>
      <c r="CX17">
        <v>28.964751354277542</v>
      </c>
      <c r="CY17">
        <v>11.791127815211629</v>
      </c>
      <c r="DA17">
        <v>21</v>
      </c>
      <c r="DB17">
        <v>5.0254146316258534</v>
      </c>
      <c r="DC17">
        <v>1.7702897894134235</v>
      </c>
      <c r="DD17">
        <v>3.1968661004569086</v>
      </c>
      <c r="DE17">
        <v>351.85333814603507</v>
      </c>
      <c r="DF17">
        <v>28.114927710865921</v>
      </c>
      <c r="DG17">
        <v>11.353090347754462</v>
      </c>
      <c r="DH17">
        <v>5.0818959804513115</v>
      </c>
      <c r="DI17">
        <v>1.7992402589412786</v>
      </c>
      <c r="DJ17">
        <v>3.2344003498598806</v>
      </c>
      <c r="DK17">
        <v>356.39963145315568</v>
      </c>
      <c r="DL17">
        <v>28.112701619155516</v>
      </c>
      <c r="DM17">
        <v>11.379961291631055</v>
      </c>
      <c r="DN17">
        <v>5.4217484372477323</v>
      </c>
      <c r="DO17">
        <v>1.8591635632710497</v>
      </c>
      <c r="DP17">
        <v>3.3934241914447467</v>
      </c>
      <c r="DQ17">
        <v>376.3367251941666</v>
      </c>
      <c r="DR17">
        <v>28.203220211639938</v>
      </c>
      <c r="DS17">
        <v>11.24562723302668</v>
      </c>
      <c r="DT17">
        <v>5.5585850319793195</v>
      </c>
      <c r="DU17">
        <v>1.8657583061316201</v>
      </c>
      <c r="DV17">
        <v>3.4947430737989786</v>
      </c>
      <c r="DW17">
        <v>389.26252374658537</v>
      </c>
      <c r="DX17">
        <v>28.196371472812764</v>
      </c>
      <c r="DY17">
        <v>11.153374209901511</v>
      </c>
      <c r="DZ17">
        <v>5.6565124443512236</v>
      </c>
      <c r="EA17">
        <v>1.8911570077611535</v>
      </c>
      <c r="EB17">
        <v>3.5820803305163889</v>
      </c>
      <c r="EC17">
        <v>399.44107605758626</v>
      </c>
      <c r="ED17">
        <v>28.183507596742196</v>
      </c>
      <c r="EE17">
        <v>11.143200957412139</v>
      </c>
      <c r="EG17">
        <v>21</v>
      </c>
      <c r="EH17">
        <v>4.7819920464155761</v>
      </c>
      <c r="EI17">
        <v>1.6109151328635603</v>
      </c>
      <c r="EJ17">
        <v>3.0335989512965349</v>
      </c>
      <c r="EK17">
        <v>351.8397675141685</v>
      </c>
      <c r="EL17">
        <v>27.424155744997755</v>
      </c>
      <c r="EM17">
        <v>10.900553134394139</v>
      </c>
      <c r="EN17">
        <v>4.8446324422808953</v>
      </c>
      <c r="EO17">
        <v>1.6258665771842358</v>
      </c>
      <c r="EP17">
        <v>3.0723779277318828</v>
      </c>
      <c r="EQ17">
        <v>356.58408854568546</v>
      </c>
      <c r="ER17">
        <v>27.432780295792316</v>
      </c>
      <c r="ES17">
        <v>10.887867555632743</v>
      </c>
      <c r="ET17">
        <v>4.8666286801369845</v>
      </c>
      <c r="EU17">
        <v>1.6826797994437714</v>
      </c>
      <c r="EV17">
        <v>3.2183292166692832</v>
      </c>
      <c r="EW17">
        <v>368.42466388619505</v>
      </c>
      <c r="EX17">
        <v>27.302156351766062</v>
      </c>
      <c r="EY17">
        <v>11.008108737956523</v>
      </c>
      <c r="EZ17">
        <v>5.1169107041573705</v>
      </c>
      <c r="FA17">
        <v>1.6949482628713299</v>
      </c>
      <c r="FB17">
        <v>3.3111326838472994</v>
      </c>
      <c r="FC17">
        <v>384.7825542085518</v>
      </c>
      <c r="FD17">
        <v>27.376803539985577</v>
      </c>
      <c r="FE17">
        <v>10.839318218454078</v>
      </c>
      <c r="FF17">
        <v>5.2421222730570181</v>
      </c>
      <c r="FG17">
        <v>1.7141675334739672</v>
      </c>
      <c r="FH17">
        <v>3.3918968762647275</v>
      </c>
      <c r="FI17">
        <v>393.75049274609819</v>
      </c>
      <c r="FJ17">
        <v>27.53840472580108</v>
      </c>
      <c r="FK17">
        <v>10.854748846304263</v>
      </c>
      <c r="FN17">
        <v>21</v>
      </c>
      <c r="FO17">
        <v>5.7510679952724146</v>
      </c>
      <c r="FP17">
        <v>2.0888239523732661</v>
      </c>
      <c r="FQ17">
        <v>3.3803421965031348</v>
      </c>
      <c r="FR17">
        <v>354.99253503017661</v>
      </c>
      <c r="FS17">
        <v>29.92997979218908</v>
      </c>
      <c r="FT17">
        <v>12.158921459421927</v>
      </c>
      <c r="FU17">
        <v>5.8916330438719733</v>
      </c>
      <c r="FV17">
        <v>2.1734651497987554</v>
      </c>
      <c r="FW17">
        <v>3.4957985997824852</v>
      </c>
      <c r="FX17">
        <v>369.46987695955517</v>
      </c>
      <c r="FY17">
        <v>30.123348683019454</v>
      </c>
      <c r="FZ17">
        <v>12.362067873286724</v>
      </c>
      <c r="GB17">
        <v>21</v>
      </c>
      <c r="GC17">
        <v>5.4426845487244009</v>
      </c>
      <c r="GD17">
        <v>1.9621665606974914</v>
      </c>
      <c r="GE17">
        <v>3.243889601623136</v>
      </c>
      <c r="GF17">
        <v>356.01521325652232</v>
      </c>
      <c r="GG17">
        <v>28.977795243400724</v>
      </c>
      <c r="GH17">
        <v>11.768230132958998</v>
      </c>
      <c r="GI17">
        <v>5.5056526592870156</v>
      </c>
      <c r="GJ17">
        <v>1.9875522968443535</v>
      </c>
      <c r="GK17">
        <v>3.3606886762820909</v>
      </c>
      <c r="GL17">
        <v>371.0654656710733</v>
      </c>
      <c r="GM17">
        <v>28.953622853342107</v>
      </c>
      <c r="GN17">
        <v>11.807886339491491</v>
      </c>
      <c r="GP17">
        <v>21</v>
      </c>
      <c r="GQ17">
        <v>5.2144512786720556</v>
      </c>
      <c r="GR17">
        <v>1.8275348321760576</v>
      </c>
      <c r="GS17">
        <v>3.2461080989358946</v>
      </c>
      <c r="GT17">
        <v>357.65179775832422</v>
      </c>
      <c r="GU17">
        <v>28.207051513404558</v>
      </c>
      <c r="GV17">
        <v>11.337947292119873</v>
      </c>
      <c r="GW17">
        <v>5.2715565203191481</v>
      </c>
      <c r="GX17">
        <v>1.8281237024095656</v>
      </c>
      <c r="GY17">
        <v>3.3721504071607775</v>
      </c>
      <c r="GZ17">
        <v>372.92030284007507</v>
      </c>
      <c r="HA17">
        <v>28.181875129708708</v>
      </c>
      <c r="HB17">
        <v>11.321642229091344</v>
      </c>
      <c r="HD17">
        <v>21</v>
      </c>
      <c r="HE17">
        <v>4.8109286096127661</v>
      </c>
      <c r="HF17">
        <v>1.6446345883103304</v>
      </c>
      <c r="HG17">
        <v>3.0443644081349079</v>
      </c>
      <c r="HH17">
        <v>354.53453061560919</v>
      </c>
      <c r="HI17">
        <v>27.316887856748355</v>
      </c>
      <c r="HJ17">
        <v>10.921748528490413</v>
      </c>
      <c r="HK17">
        <v>4.9251467934586399</v>
      </c>
      <c r="HL17">
        <v>1.6644936908179047</v>
      </c>
      <c r="HM17">
        <v>3.2425452299315443</v>
      </c>
      <c r="HN17">
        <v>369.70015675575382</v>
      </c>
      <c r="HO17">
        <v>27.490341822673486</v>
      </c>
      <c r="HP17">
        <v>10.977653546977844</v>
      </c>
    </row>
    <row r="18" spans="2:224" x14ac:dyDescent="0.25">
      <c r="B18">
        <v>530.04281225464649</v>
      </c>
      <c r="C18">
        <v>1.8866400541237294</v>
      </c>
      <c r="D18">
        <v>539.68333504788245</v>
      </c>
      <c r="E18">
        <v>1.8529384456744005</v>
      </c>
      <c r="F18">
        <v>570.63900064909365</v>
      </c>
      <c r="G18">
        <v>1.7524214062875381</v>
      </c>
      <c r="H18">
        <v>597.65890762959839</v>
      </c>
      <c r="I18">
        <v>1.6731951740937729</v>
      </c>
      <c r="J18">
        <v>621.50588247909002</v>
      </c>
      <c r="K18">
        <v>1.608995229475795</v>
      </c>
      <c r="L18">
        <v>535.88871838283785</v>
      </c>
      <c r="M18">
        <v>1.8660590635640175</v>
      </c>
      <c r="N18">
        <v>572.71165619336625</v>
      </c>
      <c r="O18">
        <v>1.7460793563146324</v>
      </c>
      <c r="Q18">
        <v>3.8434441713699641E-2</v>
      </c>
      <c r="R18">
        <v>3.87175620754657E-2</v>
      </c>
      <c r="S18">
        <v>3.9514285373357494E-2</v>
      </c>
      <c r="T18">
        <v>4.0169418079590506E-2</v>
      </c>
      <c r="U18">
        <v>4.0760497962178704E-2</v>
      </c>
      <c r="V18">
        <v>3.9269060856692461E-2</v>
      </c>
      <c r="W18">
        <v>3.8699617717059979E-2</v>
      </c>
      <c r="Y18">
        <v>0.85612156457641686</v>
      </c>
      <c r="Z18">
        <v>0.85854797419931206</v>
      </c>
      <c r="AA18">
        <v>0.88589059705346451</v>
      </c>
      <c r="AB18">
        <v>0.89822055371759346</v>
      </c>
      <c r="AC18">
        <v>0.91349448995885651</v>
      </c>
      <c r="AD18">
        <v>0.88500707200982687</v>
      </c>
      <c r="AE18">
        <v>0.85825393790691185</v>
      </c>
      <c r="AG18">
        <v>0.39756189323450408</v>
      </c>
      <c r="AH18">
        <v>0.39852711361246362</v>
      </c>
      <c r="AI18">
        <v>0.41000522724742383</v>
      </c>
      <c r="AJ18">
        <v>0.41357880376748968</v>
      </c>
      <c r="AK18">
        <v>0.42007705967344044</v>
      </c>
      <c r="AL18">
        <v>0.40997769371215564</v>
      </c>
      <c r="AM18">
        <v>0.3980094959583384</v>
      </c>
      <c r="AO18">
        <v>22</v>
      </c>
      <c r="AP18">
        <v>5.7728636484191957</v>
      </c>
      <c r="AQ18">
        <v>2.2390358005989901</v>
      </c>
      <c r="AR18">
        <v>3.3969221101590588</v>
      </c>
      <c r="AS18">
        <v>359.75909946504527</v>
      </c>
      <c r="AT18">
        <v>29.81323808647327</v>
      </c>
      <c r="AU18">
        <v>12.515551759573869</v>
      </c>
      <c r="AV18">
        <v>5.8780085903102242</v>
      </c>
      <c r="AW18">
        <v>2.263657360335841</v>
      </c>
      <c r="AX18">
        <v>3.4695483580271533</v>
      </c>
      <c r="AY18">
        <v>366.32489565159977</v>
      </c>
      <c r="AZ18">
        <v>29.811814055313569</v>
      </c>
      <c r="BA18">
        <v>12.47082875580114</v>
      </c>
      <c r="BB18">
        <v>6.2527946298825166</v>
      </c>
      <c r="BC18">
        <v>2.3602125428815013</v>
      </c>
      <c r="BD18">
        <v>3.6440309975055936</v>
      </c>
      <c r="BE18">
        <v>386.59949999738649</v>
      </c>
      <c r="BF18">
        <v>29.966012506549966</v>
      </c>
      <c r="BG18">
        <v>12.408516811806237</v>
      </c>
      <c r="BH18">
        <v>6.5255211218269169</v>
      </c>
      <c r="BI18">
        <v>2.4431820695091568</v>
      </c>
      <c r="BJ18">
        <v>3.8148705917468768</v>
      </c>
      <c r="BK18">
        <v>403.9625273500871</v>
      </c>
      <c r="BL18">
        <v>29.978141869141549</v>
      </c>
      <c r="BM18">
        <v>12.366207497786316</v>
      </c>
      <c r="BN18">
        <v>6.6902758350095874</v>
      </c>
      <c r="BO18">
        <v>2.4924536267155744</v>
      </c>
      <c r="BP18">
        <v>3.9648872396010306</v>
      </c>
      <c r="BQ18">
        <v>417.18795801756892</v>
      </c>
      <c r="BR18">
        <v>29.956825360639719</v>
      </c>
      <c r="BS18">
        <v>12.336392743209982</v>
      </c>
      <c r="BU18">
        <v>22</v>
      </c>
      <c r="BV18">
        <v>5.4484936940660234</v>
      </c>
      <c r="BW18">
        <v>2.0524347637827511</v>
      </c>
      <c r="BX18">
        <v>3.2682500483735608</v>
      </c>
      <c r="BY18">
        <v>361.44539878036971</v>
      </c>
      <c r="BZ18">
        <v>28.776721925000018</v>
      </c>
      <c r="CA18">
        <v>11.940897873038915</v>
      </c>
      <c r="CB18">
        <v>5.531428240747795</v>
      </c>
      <c r="CC18">
        <v>2.0640058083868564</v>
      </c>
      <c r="CD18">
        <v>3.3349792232293729</v>
      </c>
      <c r="CE18">
        <v>367.81338224422274</v>
      </c>
      <c r="CF18">
        <v>28.748897766895482</v>
      </c>
      <c r="CG18">
        <v>11.877554492587953</v>
      </c>
      <c r="CH18">
        <v>5.9002770897367336</v>
      </c>
      <c r="CI18">
        <v>2.1820935457255519</v>
      </c>
      <c r="CJ18">
        <v>3.5013497366686233</v>
      </c>
      <c r="CK18">
        <v>388.61416518251133</v>
      </c>
      <c r="CL18">
        <v>28.903547318010499</v>
      </c>
      <c r="CM18">
        <v>11.885844140107977</v>
      </c>
      <c r="CN18">
        <v>6.1661023589481569</v>
      </c>
      <c r="CO18">
        <v>2.2395305104976821</v>
      </c>
      <c r="CP18">
        <v>3.6722601115909597</v>
      </c>
      <c r="CQ18">
        <v>406.36327952067757</v>
      </c>
      <c r="CR18">
        <v>28.916557632125322</v>
      </c>
      <c r="CS18">
        <v>11.791992822732528</v>
      </c>
      <c r="CT18">
        <v>6.2978583751796942</v>
      </c>
      <c r="CU18">
        <v>2.2639150733382456</v>
      </c>
      <c r="CV18">
        <v>3.7901460766704673</v>
      </c>
      <c r="CW18">
        <v>418.94033212912433</v>
      </c>
      <c r="CX18">
        <v>28.894829198095181</v>
      </c>
      <c r="CY18">
        <v>11.739275422518578</v>
      </c>
      <c r="DA18">
        <v>22</v>
      </c>
      <c r="DB18">
        <v>5.2324794422311784</v>
      </c>
      <c r="DC18">
        <v>1.8417420959761068</v>
      </c>
      <c r="DD18">
        <v>3.288074784157776</v>
      </c>
      <c r="DE18">
        <v>363.19071720105183</v>
      </c>
      <c r="DF18">
        <v>28.043666860296888</v>
      </c>
      <c r="DG18">
        <v>11.303399925381367</v>
      </c>
      <c r="DH18">
        <v>5.2999152516258077</v>
      </c>
      <c r="DI18">
        <v>1.8780672742459978</v>
      </c>
      <c r="DJ18">
        <v>3.3332690086556838</v>
      </c>
      <c r="DK18">
        <v>368.82411060589749</v>
      </c>
      <c r="DL18">
        <v>28.042408391692174</v>
      </c>
      <c r="DM18">
        <v>11.340866381258472</v>
      </c>
      <c r="DN18">
        <v>5.6603124328755321</v>
      </c>
      <c r="DO18">
        <v>1.9356848909050755</v>
      </c>
      <c r="DP18">
        <v>3.4989115474129782</v>
      </c>
      <c r="DQ18">
        <v>390.16333912875336</v>
      </c>
      <c r="DR18">
        <v>28.173747127259436</v>
      </c>
      <c r="DS18">
        <v>11.207097911713529</v>
      </c>
      <c r="DT18">
        <v>5.80340683257187</v>
      </c>
      <c r="DU18">
        <v>1.935281917540514</v>
      </c>
      <c r="DV18">
        <v>3.6094418565304967</v>
      </c>
      <c r="DW18">
        <v>404.28930140893181</v>
      </c>
      <c r="DX18">
        <v>28.167778929040065</v>
      </c>
      <c r="DY18">
        <v>11.09993330749457</v>
      </c>
      <c r="DZ18">
        <v>5.908453689528252</v>
      </c>
      <c r="EA18">
        <v>1.9639434365733317</v>
      </c>
      <c r="EB18">
        <v>3.7083298703048149</v>
      </c>
      <c r="EC18">
        <v>416.31741351589847</v>
      </c>
      <c r="ED18">
        <v>28.141519607527691</v>
      </c>
      <c r="EE18">
        <v>11.092700323773336</v>
      </c>
      <c r="EG18">
        <v>22</v>
      </c>
      <c r="EH18">
        <v>4.9921404202313013</v>
      </c>
      <c r="EI18">
        <v>1.6782887012786898</v>
      </c>
      <c r="EJ18">
        <v>3.1120508068499384</v>
      </c>
      <c r="EK18">
        <v>363.37089834977706</v>
      </c>
      <c r="EL18">
        <v>27.368345960291787</v>
      </c>
      <c r="EM18">
        <v>10.847969798665018</v>
      </c>
      <c r="EN18">
        <v>5.0583202957721776</v>
      </c>
      <c r="EO18">
        <v>1.6964594869135696</v>
      </c>
      <c r="EP18">
        <v>3.1593948170664738</v>
      </c>
      <c r="EQ18">
        <v>368.94141985504837</v>
      </c>
      <c r="ER18">
        <v>27.378659144392554</v>
      </c>
      <c r="ES18">
        <v>10.845020249576626</v>
      </c>
      <c r="ET18">
        <v>5.0931537859505642</v>
      </c>
      <c r="EU18">
        <v>1.7519325618312336</v>
      </c>
      <c r="EV18">
        <v>3.3111956537573746</v>
      </c>
      <c r="EW18">
        <v>383.0802515720037</v>
      </c>
      <c r="EX18">
        <v>27.214153079504737</v>
      </c>
      <c r="EY18">
        <v>10.934644625803301</v>
      </c>
      <c r="EZ18">
        <v>5.333560219150983</v>
      </c>
      <c r="FA18">
        <v>1.7594275570155709</v>
      </c>
      <c r="FB18">
        <v>3.4126703513072232</v>
      </c>
      <c r="FC18">
        <v>399.76385384404875</v>
      </c>
      <c r="FD18">
        <v>27.311336297806424</v>
      </c>
      <c r="FE18">
        <v>10.785692304561913</v>
      </c>
      <c r="FF18">
        <v>5.4582128606876292</v>
      </c>
      <c r="FG18">
        <v>1.7806432630622113</v>
      </c>
      <c r="FH18">
        <v>3.5043028811239094</v>
      </c>
      <c r="FI18">
        <v>409.35109306420827</v>
      </c>
      <c r="FJ18">
        <v>27.520541699897699</v>
      </c>
      <c r="FK18">
        <v>10.833693153211033</v>
      </c>
      <c r="FN18">
        <v>22</v>
      </c>
      <c r="FO18">
        <v>5.9989314071049007</v>
      </c>
      <c r="FP18">
        <v>2.1909048979822909</v>
      </c>
      <c r="FQ18">
        <v>3.501223386465306</v>
      </c>
      <c r="FR18">
        <v>368.89901000403268</v>
      </c>
      <c r="FS18">
        <v>29.83547066595224</v>
      </c>
      <c r="FT18">
        <v>12.142666551984602</v>
      </c>
      <c r="FU18">
        <v>6.1248699968638851</v>
      </c>
      <c r="FV18">
        <v>2.2690722094953744</v>
      </c>
      <c r="FW18">
        <v>3.6086152088004981</v>
      </c>
      <c r="FX18">
        <v>382.3493836855572</v>
      </c>
      <c r="FY18">
        <v>30.015185592067692</v>
      </c>
      <c r="FZ18">
        <v>12.331227768230457</v>
      </c>
      <c r="GB18">
        <v>22</v>
      </c>
      <c r="GC18">
        <v>5.6849474858880074</v>
      </c>
      <c r="GD18">
        <v>2.0407238233285616</v>
      </c>
      <c r="GE18">
        <v>3.3620138249767324</v>
      </c>
      <c r="GF18">
        <v>370.27567969199561</v>
      </c>
      <c r="GG18">
        <v>28.876570233700885</v>
      </c>
      <c r="GH18">
        <v>11.691928021801582</v>
      </c>
      <c r="GI18">
        <v>5.7394572861040931</v>
      </c>
      <c r="GJ18">
        <v>2.0634137845638487</v>
      </c>
      <c r="GK18">
        <v>3.4707914275545866</v>
      </c>
      <c r="GL18">
        <v>384.38161798304867</v>
      </c>
      <c r="GM18">
        <v>28.853812156189058</v>
      </c>
      <c r="GN18">
        <v>11.730995191701584</v>
      </c>
      <c r="GP18">
        <v>22</v>
      </c>
      <c r="GQ18">
        <v>5.4478272878178258</v>
      </c>
      <c r="GR18">
        <v>1.9067174893233996</v>
      </c>
      <c r="GS18">
        <v>3.3526613845423623</v>
      </c>
      <c r="GT18">
        <v>371.41319566283642</v>
      </c>
      <c r="GU18">
        <v>28.149703872875104</v>
      </c>
      <c r="GV18">
        <v>11.295318287467843</v>
      </c>
      <c r="GW18">
        <v>5.5017145957320457</v>
      </c>
      <c r="GX18">
        <v>1.9065180844415974</v>
      </c>
      <c r="GY18">
        <v>3.4718080835964393</v>
      </c>
      <c r="GZ18">
        <v>385.87322420155112</v>
      </c>
      <c r="HA18">
        <v>28.12616069347688</v>
      </c>
      <c r="HB18">
        <v>11.279049540742589</v>
      </c>
      <c r="HD18">
        <v>22</v>
      </c>
      <c r="HE18">
        <v>5.0353312935497021</v>
      </c>
      <c r="HF18">
        <v>1.7157451934374075</v>
      </c>
      <c r="HG18">
        <v>3.139384280298644</v>
      </c>
      <c r="HH18">
        <v>368.68371779453844</v>
      </c>
      <c r="HI18">
        <v>27.239270391961178</v>
      </c>
      <c r="HJ18">
        <v>10.860956890759208</v>
      </c>
      <c r="HK18">
        <v>5.1426226453328221</v>
      </c>
      <c r="HL18">
        <v>1.7336034011243102</v>
      </c>
      <c r="HM18">
        <v>3.3267686337385269</v>
      </c>
      <c r="HN18">
        <v>382.91242918104359</v>
      </c>
      <c r="HO18">
        <v>27.405849382449752</v>
      </c>
      <c r="HP18">
        <v>10.914684952475247</v>
      </c>
    </row>
    <row r="19" spans="2:224" x14ac:dyDescent="0.25">
      <c r="B19">
        <v>538.90108061744286</v>
      </c>
      <c r="C19">
        <v>1.855628121684699</v>
      </c>
      <c r="D19">
        <v>550.65111299347848</v>
      </c>
      <c r="E19">
        <v>1.8160319236689588</v>
      </c>
      <c r="F19">
        <v>585.0772978010898</v>
      </c>
      <c r="G19">
        <v>1.7091758708777869</v>
      </c>
      <c r="H19">
        <v>614.82555110030989</v>
      </c>
      <c r="I19">
        <v>1.6264776215145427</v>
      </c>
      <c r="J19">
        <v>642.93763625898953</v>
      </c>
      <c r="K19">
        <v>1.5553608057830011</v>
      </c>
      <c r="L19">
        <v>549.79075615743807</v>
      </c>
      <c r="M19">
        <v>1.8188737966224373</v>
      </c>
      <c r="N19">
        <v>584.45559956645377</v>
      </c>
      <c r="O19">
        <v>1.7109939587229466</v>
      </c>
      <c r="Q19">
        <v>4.0178025158914075E-2</v>
      </c>
      <c r="R19">
        <v>4.0474335119416623E-2</v>
      </c>
      <c r="S19">
        <v>4.13075559451365E-2</v>
      </c>
      <c r="T19">
        <v>4.1992716338225586E-2</v>
      </c>
      <c r="U19">
        <v>4.2611449445523981E-2</v>
      </c>
      <c r="V19">
        <v>4.1054018168360303E-2</v>
      </c>
      <c r="W19">
        <v>4.0458691249653615E-2</v>
      </c>
      <c r="Y19">
        <v>0.88492139708579287</v>
      </c>
      <c r="Z19">
        <v>0.88761148801114653</v>
      </c>
      <c r="AA19">
        <v>0.9138059385372076</v>
      </c>
      <c r="AB19">
        <v>0.92543743630288255</v>
      </c>
      <c r="AC19">
        <v>0.94218312787201985</v>
      </c>
      <c r="AD19">
        <v>0.91312146073993972</v>
      </c>
      <c r="AE19">
        <v>0.88808211778019963</v>
      </c>
      <c r="AG19">
        <v>0.40514346899151366</v>
      </c>
      <c r="AH19">
        <v>0.40617783386129042</v>
      </c>
      <c r="AI19">
        <v>0.41751142401599955</v>
      </c>
      <c r="AJ19">
        <v>0.42046350932109161</v>
      </c>
      <c r="AK19">
        <v>0.427707275258841</v>
      </c>
      <c r="AL19">
        <v>0.41733777947977113</v>
      </c>
      <c r="AM19">
        <v>0.4061719616875259</v>
      </c>
      <c r="AO19">
        <v>23</v>
      </c>
      <c r="AP19">
        <v>5.981196735713862</v>
      </c>
      <c r="AQ19">
        <v>2.3430033104141956</v>
      </c>
      <c r="AR19">
        <v>3.4959723243704093</v>
      </c>
      <c r="AS19">
        <v>371.02291840447901</v>
      </c>
      <c r="AT19">
        <v>29.692743726933752</v>
      </c>
      <c r="AU19">
        <v>12.517772204378515</v>
      </c>
      <c r="AV19">
        <v>6.0962718282643911</v>
      </c>
      <c r="AW19">
        <v>2.3699602374986717</v>
      </c>
      <c r="AX19">
        <v>3.5774292956429186</v>
      </c>
      <c r="AY19">
        <v>378.60618766088675</v>
      </c>
      <c r="AZ19">
        <v>29.691949562494706</v>
      </c>
      <c r="BA19">
        <v>12.470783546111321</v>
      </c>
      <c r="BB19">
        <v>6.5038443445286074</v>
      </c>
      <c r="BC19">
        <v>2.4713222688622709</v>
      </c>
      <c r="BD19">
        <v>3.7632829363110618</v>
      </c>
      <c r="BE19">
        <v>400.44627166244203</v>
      </c>
      <c r="BF19">
        <v>29.893664799238877</v>
      </c>
      <c r="BG19">
        <v>12.410890600852492</v>
      </c>
      <c r="BH19">
        <v>6.7784617482870173</v>
      </c>
      <c r="BI19">
        <v>2.5526617920862278</v>
      </c>
      <c r="BJ19">
        <v>3.9390115916230659</v>
      </c>
      <c r="BK19">
        <v>418.60876173069767</v>
      </c>
      <c r="BL19">
        <v>29.916697505306761</v>
      </c>
      <c r="BM19">
        <v>12.370200486609559</v>
      </c>
      <c r="BN19">
        <v>6.9596806212450391</v>
      </c>
      <c r="BO19">
        <v>2.6070214144261774</v>
      </c>
      <c r="BP19">
        <v>4.1061038831890162</v>
      </c>
      <c r="BQ19">
        <v>433.88945195115161</v>
      </c>
      <c r="BR19">
        <v>29.886160717059628</v>
      </c>
      <c r="BS19">
        <v>12.33652158631598</v>
      </c>
      <c r="BU19">
        <v>23</v>
      </c>
      <c r="BV19">
        <v>5.6588303875054589</v>
      </c>
      <c r="BW19">
        <v>2.1334390556200216</v>
      </c>
      <c r="BX19">
        <v>3.3662216714957949</v>
      </c>
      <c r="BY19">
        <v>372.97141670437361</v>
      </c>
      <c r="BZ19">
        <v>28.673302043602526</v>
      </c>
      <c r="CA19">
        <v>11.890498632799938</v>
      </c>
      <c r="CB19">
        <v>5.747328401583176</v>
      </c>
      <c r="CC19">
        <v>2.1436376649709197</v>
      </c>
      <c r="CD19">
        <v>3.440724601164332</v>
      </c>
      <c r="CE19">
        <v>380.46146238734042</v>
      </c>
      <c r="CF19">
        <v>28.630001927250866</v>
      </c>
      <c r="CG19">
        <v>11.815107934461704</v>
      </c>
      <c r="CH19">
        <v>6.1490197085537348</v>
      </c>
      <c r="CI19">
        <v>2.2726900781808324</v>
      </c>
      <c r="CJ19">
        <v>3.6174976358827973</v>
      </c>
      <c r="CK19">
        <v>402.87890227063826</v>
      </c>
      <c r="CL19">
        <v>28.832440501945065</v>
      </c>
      <c r="CM19">
        <v>11.842920171667961</v>
      </c>
      <c r="CN19">
        <v>6.4170237344748156</v>
      </c>
      <c r="CO19">
        <v>2.326190486977318</v>
      </c>
      <c r="CP19">
        <v>3.7939047877131236</v>
      </c>
      <c r="CQ19">
        <v>421.46274889349291</v>
      </c>
      <c r="CR19">
        <v>28.856532910408024</v>
      </c>
      <c r="CS19">
        <v>11.749088183835086</v>
      </c>
      <c r="CT19">
        <v>6.5600857774242671</v>
      </c>
      <c r="CU19">
        <v>2.3521944072195078</v>
      </c>
      <c r="CV19">
        <v>3.924473673764973</v>
      </c>
      <c r="CW19">
        <v>435.99205833543334</v>
      </c>
      <c r="CX19">
        <v>28.825513699974845</v>
      </c>
      <c r="CY19">
        <v>11.692551470608327</v>
      </c>
      <c r="DA19">
        <v>23</v>
      </c>
      <c r="DB19">
        <v>5.4347445735783033</v>
      </c>
      <c r="DC19">
        <v>1.9124528443845636</v>
      </c>
      <c r="DD19">
        <v>3.3765408270148911</v>
      </c>
      <c r="DE19">
        <v>374.30737365702328</v>
      </c>
      <c r="DF19">
        <v>27.972294984660213</v>
      </c>
      <c r="DG19">
        <v>11.257672719593476</v>
      </c>
      <c r="DH19">
        <v>5.5131156563653381</v>
      </c>
      <c r="DI19">
        <v>1.9562565767242037</v>
      </c>
      <c r="DJ19">
        <v>3.429279155072706</v>
      </c>
      <c r="DK19">
        <v>381.03852013505264</v>
      </c>
      <c r="DL19">
        <v>27.971974204599348</v>
      </c>
      <c r="DM19">
        <v>11.305450570288858</v>
      </c>
      <c r="DN19">
        <v>5.8909351907324083</v>
      </c>
      <c r="DO19">
        <v>2.0109203450337305</v>
      </c>
      <c r="DP19">
        <v>3.5998122323905299</v>
      </c>
      <c r="DQ19">
        <v>403.57433155824179</v>
      </c>
      <c r="DR19">
        <v>28.143260294904753</v>
      </c>
      <c r="DS19">
        <v>11.173884443744653</v>
      </c>
      <c r="DT19">
        <v>6.0395337730480723</v>
      </c>
      <c r="DU19">
        <v>2.0033513460806347</v>
      </c>
      <c r="DV19">
        <v>3.7189368940452705</v>
      </c>
      <c r="DW19">
        <v>418.8063498596203</v>
      </c>
      <c r="DX19">
        <v>28.13821644891345</v>
      </c>
      <c r="DY19">
        <v>11.052754724483263</v>
      </c>
      <c r="DZ19">
        <v>6.1511883752104399</v>
      </c>
      <c r="EA19">
        <v>2.0353032053314144</v>
      </c>
      <c r="EB19">
        <v>3.8289502190503448</v>
      </c>
      <c r="EC19">
        <v>432.71616477013373</v>
      </c>
      <c r="ED19">
        <v>28.098783078449127</v>
      </c>
      <c r="EE19">
        <v>11.048739959865289</v>
      </c>
      <c r="EG19">
        <v>23</v>
      </c>
      <c r="EH19">
        <v>5.1978912828344939</v>
      </c>
      <c r="EI19">
        <v>1.7449880603918893</v>
      </c>
      <c r="EJ19">
        <v>3.1879581288316547</v>
      </c>
      <c r="EK19">
        <v>374.68792157612808</v>
      </c>
      <c r="EL19">
        <v>27.311750368352051</v>
      </c>
      <c r="EM19">
        <v>10.799294271743824</v>
      </c>
      <c r="EN19">
        <v>5.2672068390439257</v>
      </c>
      <c r="EO19">
        <v>1.766476169847476</v>
      </c>
      <c r="EP19">
        <v>3.2437480797140243</v>
      </c>
      <c r="EQ19">
        <v>381.07747121701567</v>
      </c>
      <c r="ER19">
        <v>27.323816350521788</v>
      </c>
      <c r="ES19">
        <v>10.806284965455207</v>
      </c>
      <c r="ET19">
        <v>5.3166060244587827</v>
      </c>
      <c r="EU19">
        <v>1.8200214980985161</v>
      </c>
      <c r="EV19">
        <v>3.3997684651232567</v>
      </c>
      <c r="EW19">
        <v>397.53011577057299</v>
      </c>
      <c r="EX19">
        <v>27.126418521045331</v>
      </c>
      <c r="EY19">
        <v>10.863564613178804</v>
      </c>
      <c r="EZ19">
        <v>5.5433866892835413</v>
      </c>
      <c r="FA19">
        <v>1.8225929025703096</v>
      </c>
      <c r="FB19">
        <v>3.5093406803109928</v>
      </c>
      <c r="FC19">
        <v>414.31663955581973</v>
      </c>
      <c r="FD19">
        <v>27.245627042319146</v>
      </c>
      <c r="FE19">
        <v>10.736246131251237</v>
      </c>
      <c r="FF19">
        <v>5.6658492616474891</v>
      </c>
      <c r="FG19">
        <v>1.8458302512953944</v>
      </c>
      <c r="FH19">
        <v>3.611431616548078</v>
      </c>
      <c r="FI19">
        <v>424.46693044951678</v>
      </c>
      <c r="FJ19">
        <v>27.501455820101512</v>
      </c>
      <c r="FK19">
        <v>10.817086320663302</v>
      </c>
      <c r="FN19">
        <v>23</v>
      </c>
      <c r="FO19">
        <v>6.2412790251629708</v>
      </c>
      <c r="FP19">
        <v>2.2922363890064799</v>
      </c>
      <c r="FQ19">
        <v>3.6188930752679198</v>
      </c>
      <c r="FR19">
        <v>382.5712489983527</v>
      </c>
      <c r="FS19">
        <v>29.742234630776103</v>
      </c>
      <c r="FT19">
        <v>12.128767714054742</v>
      </c>
      <c r="FU19">
        <v>6.353470314489134</v>
      </c>
      <c r="FV19">
        <v>2.3640701539750135</v>
      </c>
      <c r="FW19">
        <v>3.7187942450354954</v>
      </c>
      <c r="FX19">
        <v>395.02316973947717</v>
      </c>
      <c r="FY19">
        <v>29.9086847098867</v>
      </c>
      <c r="FZ19">
        <v>12.303044895135592</v>
      </c>
      <c r="GB19">
        <v>23</v>
      </c>
      <c r="GC19">
        <v>5.9219435653811443</v>
      </c>
      <c r="GD19">
        <v>2.1186651773493645</v>
      </c>
      <c r="GE19">
        <v>3.4770207811639779</v>
      </c>
      <c r="GF19">
        <v>384.30836184949669</v>
      </c>
      <c r="GG19">
        <v>28.776861210340407</v>
      </c>
      <c r="GH19">
        <v>11.622298770769131</v>
      </c>
      <c r="GI19">
        <v>5.9688255888124431</v>
      </c>
      <c r="GJ19">
        <v>2.1387723860297156</v>
      </c>
      <c r="GK19">
        <v>3.5783369707067916</v>
      </c>
      <c r="GL19">
        <v>397.4878937342454</v>
      </c>
      <c r="GM19">
        <v>28.755539203423648</v>
      </c>
      <c r="GN19">
        <v>11.659952660286411</v>
      </c>
      <c r="GP19">
        <v>23</v>
      </c>
      <c r="GQ19">
        <v>5.6746494600787472</v>
      </c>
      <c r="GR19">
        <v>1.9849676570303547</v>
      </c>
      <c r="GS19">
        <v>3.455317804781989</v>
      </c>
      <c r="GT19">
        <v>384.87545929158267</v>
      </c>
      <c r="GU19">
        <v>28.091929543948215</v>
      </c>
      <c r="GV19">
        <v>11.257795155804194</v>
      </c>
      <c r="GW19">
        <v>5.7262654753819557</v>
      </c>
      <c r="GX19">
        <v>1.9841075225870044</v>
      </c>
      <c r="GY19">
        <v>3.5681577306838128</v>
      </c>
      <c r="GZ19">
        <v>398.55459557554036</v>
      </c>
      <c r="HA19">
        <v>28.069977669120828</v>
      </c>
      <c r="HB19">
        <v>11.240681227288523</v>
      </c>
      <c r="HD19">
        <v>23</v>
      </c>
      <c r="HE19">
        <v>5.2553340081249251</v>
      </c>
      <c r="HF19">
        <v>1.7859447523908878</v>
      </c>
      <c r="HG19">
        <v>3.2306563253879457</v>
      </c>
      <c r="HH19">
        <v>382.61982860464423</v>
      </c>
      <c r="HI19">
        <v>27.161631616323092</v>
      </c>
      <c r="HJ19">
        <v>10.804004046618955</v>
      </c>
      <c r="HK19">
        <v>5.3562102706774475</v>
      </c>
      <c r="HL19">
        <v>1.8019176662415448</v>
      </c>
      <c r="HM19">
        <v>3.4078108929618249</v>
      </c>
      <c r="HN19">
        <v>395.92879942310145</v>
      </c>
      <c r="HO19">
        <v>27.321486612714502</v>
      </c>
      <c r="HP19">
        <v>10.855071190709946</v>
      </c>
    </row>
    <row r="20" spans="2:224" x14ac:dyDescent="0.25">
      <c r="B20">
        <v>547.43591333141262</v>
      </c>
      <c r="C20">
        <v>1.8266978392311088</v>
      </c>
      <c r="D20">
        <v>561.31273676103774</v>
      </c>
      <c r="E20">
        <v>1.7815380526911513</v>
      </c>
      <c r="F20">
        <v>598.98102146372889</v>
      </c>
      <c r="G20">
        <v>1.6695019778027385</v>
      </c>
      <c r="H20">
        <v>631.2480627463583</v>
      </c>
      <c r="I20">
        <v>1.584163277506659</v>
      </c>
      <c r="J20">
        <v>663.72509917221964</v>
      </c>
      <c r="K20">
        <v>1.5066478595538628</v>
      </c>
      <c r="L20">
        <v>563.30678050839583</v>
      </c>
      <c r="M20">
        <v>1.7752316048769723</v>
      </c>
      <c r="N20">
        <v>595.80933470646175</v>
      </c>
      <c r="O20">
        <v>1.6783892795044433</v>
      </c>
      <c r="Q20">
        <v>4.1921535643204784E-2</v>
      </c>
      <c r="R20">
        <v>4.2231037824962306E-2</v>
      </c>
      <c r="S20">
        <v>4.3100694809701613E-2</v>
      </c>
      <c r="T20">
        <v>4.3815822278483324E-2</v>
      </c>
      <c r="U20">
        <v>4.4462230993273059E-2</v>
      </c>
      <c r="V20">
        <v>4.2838975480028144E-2</v>
      </c>
      <c r="W20">
        <v>4.2217764782247244E-2</v>
      </c>
      <c r="Y20">
        <v>0.91315140522638361</v>
      </c>
      <c r="Z20">
        <v>0.91612924034088516</v>
      </c>
      <c r="AA20">
        <v>0.94083866694095752</v>
      </c>
      <c r="AB20">
        <v>0.9516637731640345</v>
      </c>
      <c r="AC20">
        <v>0.96981949816214363</v>
      </c>
      <c r="AD20">
        <v>0.940494779926069</v>
      </c>
      <c r="AE20">
        <v>0.91729449953849651</v>
      </c>
      <c r="AG20">
        <v>0.41248060738000653</v>
      </c>
      <c r="AH20">
        <v>0.41357636191579</v>
      </c>
      <c r="AI20">
        <v>0.42461692160000836</v>
      </c>
      <c r="AJ20">
        <v>0.42688193287789633</v>
      </c>
      <c r="AK20">
        <v>0.43482546818146534</v>
      </c>
      <c r="AL20">
        <v>0.42434752384086871</v>
      </c>
      <c r="AM20">
        <v>0.41405599483955813</v>
      </c>
      <c r="AO20">
        <v>24</v>
      </c>
      <c r="AP20">
        <v>6.1861268227376254</v>
      </c>
      <c r="AQ20">
        <v>2.4459094568108775</v>
      </c>
      <c r="AR20">
        <v>3.5931027278516003</v>
      </c>
      <c r="AS20">
        <v>382.13470864991513</v>
      </c>
      <c r="AT20">
        <v>29.57430388051943</v>
      </c>
      <c r="AU20">
        <v>12.518450735850834</v>
      </c>
      <c r="AV20">
        <v>6.310581626288883</v>
      </c>
      <c r="AW20">
        <v>2.4752151896760548</v>
      </c>
      <c r="AX20">
        <v>3.6830321559622039</v>
      </c>
      <c r="AY20">
        <v>390.73054716491208</v>
      </c>
      <c r="AZ20">
        <v>29.574057934372103</v>
      </c>
      <c r="BA20">
        <v>12.469721825863946</v>
      </c>
      <c r="BB20">
        <v>6.7487424495518926</v>
      </c>
      <c r="BC20">
        <v>2.5808720890139538</v>
      </c>
      <c r="BD20">
        <v>3.8789840269140421</v>
      </c>
      <c r="BE20">
        <v>413.97670486664293</v>
      </c>
      <c r="BF20">
        <v>29.822018893758656</v>
      </c>
      <c r="BG20">
        <v>12.413308480317051</v>
      </c>
      <c r="BH20">
        <v>7.022397231819185</v>
      </c>
      <c r="BI20">
        <v>2.6597252446148971</v>
      </c>
      <c r="BJ20">
        <v>4.0579082123985915</v>
      </c>
      <c r="BK20">
        <v>432.77430808969541</v>
      </c>
      <c r="BL20">
        <v>29.855698197877398</v>
      </c>
      <c r="BM20">
        <v>12.374741283078341</v>
      </c>
      <c r="BN20">
        <v>7.2193865199324492</v>
      </c>
      <c r="BO20">
        <v>2.7191531580577091</v>
      </c>
      <c r="BP20">
        <v>4.2413640682595108</v>
      </c>
      <c r="BQ20">
        <v>450.1343289698487</v>
      </c>
      <c r="BR20">
        <v>29.816063745488432</v>
      </c>
      <c r="BS20">
        <v>12.337630872949191</v>
      </c>
      <c r="BU20">
        <v>24</v>
      </c>
      <c r="BV20">
        <v>5.8658620780982398</v>
      </c>
      <c r="BW20">
        <v>2.2136667438350575</v>
      </c>
      <c r="BX20">
        <v>3.4623155796060732</v>
      </c>
      <c r="BY20">
        <v>384.33850208815517</v>
      </c>
      <c r="BZ20">
        <v>28.571436878182556</v>
      </c>
      <c r="CA20">
        <v>11.842403992803419</v>
      </c>
      <c r="CB20">
        <v>5.9594463077540842</v>
      </c>
      <c r="CC20">
        <v>2.2224242722530207</v>
      </c>
      <c r="CD20">
        <v>3.5442561479093095</v>
      </c>
      <c r="CE20">
        <v>392.95395942265498</v>
      </c>
      <c r="CF20">
        <v>28.513143210240564</v>
      </c>
      <c r="CG20">
        <v>11.755856389329217</v>
      </c>
      <c r="CH20">
        <v>6.3918733281254472</v>
      </c>
      <c r="CI20">
        <v>2.3618877266116929</v>
      </c>
      <c r="CJ20">
        <v>3.7302043806218377</v>
      </c>
      <c r="CK20">
        <v>416.82516606822276</v>
      </c>
      <c r="CL20">
        <v>28.762063734703347</v>
      </c>
      <c r="CM20">
        <v>11.803116940322424</v>
      </c>
      <c r="CN20">
        <v>6.65932070828402</v>
      </c>
      <c r="CO20">
        <v>2.4107092494081814</v>
      </c>
      <c r="CP20">
        <v>3.9104465659377907</v>
      </c>
      <c r="CQ20">
        <v>436.07737080215873</v>
      </c>
      <c r="CR20">
        <v>28.796960006171055</v>
      </c>
      <c r="CS20">
        <v>11.709972686666239</v>
      </c>
      <c r="CT20">
        <v>6.81311205694516</v>
      </c>
      <c r="CU20">
        <v>2.438316021859257</v>
      </c>
      <c r="CV20">
        <v>4.0531268832411254</v>
      </c>
      <c r="CW20">
        <v>452.58746423858622</v>
      </c>
      <c r="CX20">
        <v>28.756782748073217</v>
      </c>
      <c r="CY20">
        <v>11.650243266779109</v>
      </c>
      <c r="DA20">
        <v>24</v>
      </c>
      <c r="DB20">
        <v>5.6322798973114727</v>
      </c>
      <c r="DC20">
        <v>1.9824267046981396</v>
      </c>
      <c r="DD20">
        <v>3.4623171044494683</v>
      </c>
      <c r="DE20">
        <v>385.20470518542419</v>
      </c>
      <c r="DF20">
        <v>27.900804239415272</v>
      </c>
      <c r="DG20">
        <v>11.215469890224517</v>
      </c>
      <c r="DH20">
        <v>5.7215534353746431</v>
      </c>
      <c r="DI20">
        <v>2.0338081442649112</v>
      </c>
      <c r="DJ20">
        <v>3.5224756223784555</v>
      </c>
      <c r="DK20">
        <v>393.04344001753071</v>
      </c>
      <c r="DL20">
        <v>27.901393411325344</v>
      </c>
      <c r="DM20">
        <v>11.273293828298707</v>
      </c>
      <c r="DN20">
        <v>6.1138042685667182</v>
      </c>
      <c r="DO20">
        <v>2.0848970265192297</v>
      </c>
      <c r="DP20">
        <v>3.6962502451034132</v>
      </c>
      <c r="DQ20">
        <v>416.5754378619298</v>
      </c>
      <c r="DR20">
        <v>28.111794092394867</v>
      </c>
      <c r="DS20">
        <v>11.145269395885299</v>
      </c>
      <c r="DT20">
        <v>6.2672282000042054</v>
      </c>
      <c r="DU20">
        <v>2.0700184820798704</v>
      </c>
      <c r="DV20">
        <v>3.8234011189287389</v>
      </c>
      <c r="DW20">
        <v>432.82108325354272</v>
      </c>
      <c r="DX20">
        <v>28.107711405499334</v>
      </c>
      <c r="DY20">
        <v>11.010931579888984</v>
      </c>
      <c r="DZ20">
        <v>6.3849241391998239</v>
      </c>
      <c r="EA20">
        <v>2.1052725829437389</v>
      </c>
      <c r="EB20">
        <v>3.9440772380786671</v>
      </c>
      <c r="EC20">
        <v>448.6413592503676</v>
      </c>
      <c r="ED20">
        <v>28.055307889794673</v>
      </c>
      <c r="EE20">
        <v>11.010377258156577</v>
      </c>
      <c r="EG20">
        <v>24</v>
      </c>
      <c r="EH20">
        <v>5.3992926150599434</v>
      </c>
      <c r="EI20">
        <v>1.8110162314907474</v>
      </c>
      <c r="EJ20">
        <v>3.2613737997023966</v>
      </c>
      <c r="EK20">
        <v>385.79215254753831</v>
      </c>
      <c r="EL20">
        <v>27.254400380611777</v>
      </c>
      <c r="EM20">
        <v>10.75408421860347</v>
      </c>
      <c r="EN20">
        <v>5.471344931086068</v>
      </c>
      <c r="EO20">
        <v>1.8359168602193492</v>
      </c>
      <c r="EP20">
        <v>3.3254820690973808</v>
      </c>
      <c r="EQ20">
        <v>392.99341228580175</v>
      </c>
      <c r="ER20">
        <v>27.268271702193026</v>
      </c>
      <c r="ES20">
        <v>10.771180305381145</v>
      </c>
      <c r="ET20">
        <v>5.5369965365512792</v>
      </c>
      <c r="EU20">
        <v>1.8869711398128888</v>
      </c>
      <c r="EV20">
        <v>3.4841677288695871</v>
      </c>
      <c r="EW20">
        <v>411.77122065403967</v>
      </c>
      <c r="EX20">
        <v>27.038983403026069</v>
      </c>
      <c r="EY20">
        <v>10.79463393510995</v>
      </c>
      <c r="EZ20">
        <v>5.746584916326861</v>
      </c>
      <c r="FA20">
        <v>1.8844902552330496</v>
      </c>
      <c r="FB20">
        <v>3.6013099392572872</v>
      </c>
      <c r="FC20">
        <v>428.44372145574783</v>
      </c>
      <c r="FD20">
        <v>27.17968832653694</v>
      </c>
      <c r="FE20">
        <v>10.690400810703549</v>
      </c>
      <c r="FF20">
        <v>5.8652306538651482</v>
      </c>
      <c r="FG20">
        <v>1.9097609856843496</v>
      </c>
      <c r="FH20">
        <v>3.7134138625677462</v>
      </c>
      <c r="FI20">
        <v>439.10360950476934</v>
      </c>
      <c r="FJ20">
        <v>27.48116325925875</v>
      </c>
      <c r="FK20">
        <v>10.804281538587041</v>
      </c>
      <c r="FN20">
        <v>24</v>
      </c>
      <c r="FO20">
        <v>6.4781999439188862</v>
      </c>
      <c r="FP20">
        <v>2.392818343419544</v>
      </c>
      <c r="FQ20">
        <v>3.7334003931825754</v>
      </c>
      <c r="FR20">
        <v>396.00846633223432</v>
      </c>
      <c r="FS20">
        <v>29.650220889819355</v>
      </c>
      <c r="FT20">
        <v>12.11696303875225</v>
      </c>
      <c r="FU20">
        <v>6.5775152407766324</v>
      </c>
      <c r="FV20">
        <v>2.4584589823108742</v>
      </c>
      <c r="FW20">
        <v>3.8263775160101581</v>
      </c>
      <c r="FX20">
        <v>407.49040860092146</v>
      </c>
      <c r="FY20">
        <v>29.803787789684794</v>
      </c>
      <c r="FZ20">
        <v>12.277252766148925</v>
      </c>
      <c r="GB20">
        <v>24</v>
      </c>
      <c r="GC20">
        <v>6.1537546018625138</v>
      </c>
      <c r="GD20">
        <v>2.195995757121636</v>
      </c>
      <c r="GE20">
        <v>3.5889575413507355</v>
      </c>
      <c r="GF20">
        <v>398.11186341336662</v>
      </c>
      <c r="GG20">
        <v>28.678605709064708</v>
      </c>
      <c r="GH20">
        <v>11.558553728666007</v>
      </c>
      <c r="GI20">
        <v>6.1938280183743259</v>
      </c>
      <c r="GJ20">
        <v>2.2136321519923881</v>
      </c>
      <c r="GK20">
        <v>3.6833652339379306</v>
      </c>
      <c r="GL20">
        <v>410.3833195637319</v>
      </c>
      <c r="GM20">
        <v>28.658743865063521</v>
      </c>
      <c r="GN20">
        <v>11.594126001306487</v>
      </c>
      <c r="GP20">
        <v>24</v>
      </c>
      <c r="GQ20">
        <v>5.895021730053327</v>
      </c>
      <c r="GR20">
        <v>2.062293915754017</v>
      </c>
      <c r="GS20">
        <v>3.5541514617433809</v>
      </c>
      <c r="GT20">
        <v>398.04049309550805</v>
      </c>
      <c r="GU20">
        <v>28.03373144361554</v>
      </c>
      <c r="GV20">
        <v>11.224726125648401</v>
      </c>
      <c r="GW20">
        <v>5.9452960896142741</v>
      </c>
      <c r="GX20">
        <v>2.0608980453600578</v>
      </c>
      <c r="GY20">
        <v>3.6612669104492337</v>
      </c>
      <c r="GZ20">
        <v>410.9664300253317</v>
      </c>
      <c r="HA20">
        <v>28.013330705385904</v>
      </c>
      <c r="HB20">
        <v>11.206029185741848</v>
      </c>
      <c r="HD20">
        <v>24</v>
      </c>
      <c r="HE20">
        <v>5.470980150458205</v>
      </c>
      <c r="HF20">
        <v>1.8552432960074809</v>
      </c>
      <c r="HG20">
        <v>3.3182553657298968</v>
      </c>
      <c r="HH20">
        <v>396.34196658160732</v>
      </c>
      <c r="HI20">
        <v>27.083982047403012</v>
      </c>
      <c r="HJ20">
        <v>10.750425797494428</v>
      </c>
      <c r="HK20">
        <v>5.5659458176927439</v>
      </c>
      <c r="HL20">
        <v>1.8694452693910419</v>
      </c>
      <c r="HM20">
        <v>3.4857434868929218</v>
      </c>
      <c r="HN20">
        <v>408.74847152844268</v>
      </c>
      <c r="HO20">
        <v>27.23725962707416</v>
      </c>
      <c r="HP20">
        <v>10.798447800306574</v>
      </c>
    </row>
    <row r="21" spans="2:224" x14ac:dyDescent="0.25">
      <c r="B21">
        <v>555.64870272655378</v>
      </c>
      <c r="C21">
        <v>1.7996982537582216</v>
      </c>
      <c r="D21">
        <v>571.66812487596815</v>
      </c>
      <c r="E21">
        <v>1.7492666749907821</v>
      </c>
      <c r="F21">
        <v>612.34965960516809</v>
      </c>
      <c r="G21">
        <v>1.6330539003561817</v>
      </c>
      <c r="H21">
        <v>646.92460824463421</v>
      </c>
      <c r="I21">
        <v>1.5457751757401854</v>
      </c>
      <c r="J21">
        <v>683.8625684903476</v>
      </c>
      <c r="K21">
        <v>1.462282110581864</v>
      </c>
      <c r="L21">
        <v>576.4356303721321</v>
      </c>
      <c r="M21">
        <v>1.7347990778335918</v>
      </c>
      <c r="N21">
        <v>606.7732698210807</v>
      </c>
      <c r="O21">
        <v>1.6480620517361784</v>
      </c>
      <c r="Q21">
        <v>4.3664973480654908E-2</v>
      </c>
      <c r="R21">
        <v>4.3987670173384112E-2</v>
      </c>
      <c r="S21">
        <v>4.4893701840899393E-2</v>
      </c>
      <c r="T21">
        <v>4.5638735426289066E-2</v>
      </c>
      <c r="U21">
        <v>4.6312841101296992E-2</v>
      </c>
      <c r="V21">
        <v>4.4623932791695985E-2</v>
      </c>
      <c r="W21">
        <v>4.397683831484088E-2</v>
      </c>
      <c r="Y21">
        <v>0.94081960331462511</v>
      </c>
      <c r="Z21">
        <v>0.94410750998050108</v>
      </c>
      <c r="AA21">
        <v>0.96701135212889155</v>
      </c>
      <c r="AB21">
        <v>0.97693389574708622</v>
      </c>
      <c r="AC21">
        <v>0.9964302664458714</v>
      </c>
      <c r="AD21">
        <v>0.96713999472532741</v>
      </c>
      <c r="AE21">
        <v>0.94590025958079826</v>
      </c>
      <c r="AG21">
        <v>0.41957969011762541</v>
      </c>
      <c r="AH21">
        <v>0.42072834298887152</v>
      </c>
      <c r="AI21">
        <v>0.43133546375310977</v>
      </c>
      <c r="AJ21">
        <v>0.43285489183395587</v>
      </c>
      <c r="AK21">
        <v>0.44144813206300199</v>
      </c>
      <c r="AL21">
        <v>0.43101602203861566</v>
      </c>
      <c r="AM21">
        <v>0.42166880357877307</v>
      </c>
      <c r="AO21">
        <v>25</v>
      </c>
      <c r="AP21">
        <v>6.3877033328278641</v>
      </c>
      <c r="AQ21">
        <v>2.5477542984775274</v>
      </c>
      <c r="AR21">
        <v>3.688338530999268</v>
      </c>
      <c r="AS21">
        <v>393.09326624392816</v>
      </c>
      <c r="AT21">
        <v>29.457855947904186</v>
      </c>
      <c r="AU21">
        <v>12.517772513604539</v>
      </c>
      <c r="AV21">
        <v>6.5209931685026215</v>
      </c>
      <c r="AW21">
        <v>2.5794222090128991</v>
      </c>
      <c r="AX21">
        <v>3.7863843155121581</v>
      </c>
      <c r="AY21">
        <v>402.69635778106277</v>
      </c>
      <c r="AZ21">
        <v>29.45807653366743</v>
      </c>
      <c r="BA21">
        <v>12.467783329258175</v>
      </c>
      <c r="BB21">
        <v>6.9876305753789723</v>
      </c>
      <c r="BC21">
        <v>2.6888798740132227</v>
      </c>
      <c r="BD21">
        <v>3.9912131288931381</v>
      </c>
      <c r="BE21">
        <v>427.19248306067533</v>
      </c>
      <c r="BF21">
        <v>29.751052040221666</v>
      </c>
      <c r="BG21">
        <v>12.415759419165067</v>
      </c>
      <c r="BH21">
        <v>7.2576343697178869</v>
      </c>
      <c r="BI21">
        <v>2.7644383510227604</v>
      </c>
      <c r="BJ21">
        <v>4.1717307516494353</v>
      </c>
      <c r="BK21">
        <v>446.46539712206436</v>
      </c>
      <c r="BL21">
        <v>29.795137528919906</v>
      </c>
      <c r="BM21">
        <v>12.37974975476172</v>
      </c>
      <c r="BN21">
        <v>7.4696332387924151</v>
      </c>
      <c r="BO21">
        <v>2.8288949746470693</v>
      </c>
      <c r="BP21">
        <v>4.3708070464860906</v>
      </c>
      <c r="BQ21">
        <v>465.92494525751522</v>
      </c>
      <c r="BR21">
        <v>29.746518661081868</v>
      </c>
      <c r="BS21">
        <v>12.339605620831186</v>
      </c>
      <c r="BU21">
        <v>25</v>
      </c>
      <c r="BV21">
        <v>6.0696303116625439</v>
      </c>
      <c r="BW21">
        <v>2.2931191493639056</v>
      </c>
      <c r="BX21">
        <v>3.5565553788725932</v>
      </c>
      <c r="BY21">
        <v>395.54546164646769</v>
      </c>
      <c r="BZ21">
        <v>28.471093418851844</v>
      </c>
      <c r="CA21">
        <v>11.79641125178189</v>
      </c>
      <c r="CB21">
        <v>6.167830456446433</v>
      </c>
      <c r="CC21">
        <v>2.300370736567757</v>
      </c>
      <c r="CD21">
        <v>3.6455997928331993</v>
      </c>
      <c r="CE21">
        <v>405.28893509328839</v>
      </c>
      <c r="CF21">
        <v>28.398252255858534</v>
      </c>
      <c r="CG21">
        <v>11.699503868170373</v>
      </c>
      <c r="CH21">
        <v>6.6289665582626647</v>
      </c>
      <c r="CI21">
        <v>2.449709658426364</v>
      </c>
      <c r="CJ21">
        <v>3.8395457641833408</v>
      </c>
      <c r="CK21">
        <v>430.45425357538835</v>
      </c>
      <c r="CL21">
        <v>28.692391061365793</v>
      </c>
      <c r="CM21">
        <v>11.766056062176212</v>
      </c>
      <c r="CN21">
        <v>6.8932783620935965</v>
      </c>
      <c r="CO21">
        <v>2.4931552165181574</v>
      </c>
      <c r="CP21">
        <v>4.0220501001811488</v>
      </c>
      <c r="CQ21">
        <v>450.21287852660106</v>
      </c>
      <c r="CR21">
        <v>28.737831631724418</v>
      </c>
      <c r="CS21">
        <v>11.674136851054836</v>
      </c>
      <c r="CT21">
        <v>7.057159882270823</v>
      </c>
      <c r="CU21">
        <v>2.5223295818841462</v>
      </c>
      <c r="CV21">
        <v>4.1762385638593349</v>
      </c>
      <c r="CW21">
        <v>468.72844847187434</v>
      </c>
      <c r="CX21">
        <v>28.688618679076221</v>
      </c>
      <c r="CY21">
        <v>11.61176518806659</v>
      </c>
      <c r="DA21">
        <v>25</v>
      </c>
      <c r="DB21">
        <v>5.8251550663615719</v>
      </c>
      <c r="DC21">
        <v>2.0516683541021483</v>
      </c>
      <c r="DD21">
        <v>3.5454563263712138</v>
      </c>
      <c r="DE21">
        <v>395.8842270750053</v>
      </c>
      <c r="DF21">
        <v>27.829187906875493</v>
      </c>
      <c r="DG21">
        <v>11.176414306240106</v>
      </c>
      <c r="DH21">
        <v>5.9252849712843911</v>
      </c>
      <c r="DI21">
        <v>2.1107219713578349</v>
      </c>
      <c r="DJ21">
        <v>3.6129033482129933</v>
      </c>
      <c r="DK21">
        <v>404.8395348364711</v>
      </c>
      <c r="DL21">
        <v>27.830661189442761</v>
      </c>
      <c r="DM21">
        <v>11.24403697499401</v>
      </c>
      <c r="DN21">
        <v>6.3291083961459256</v>
      </c>
      <c r="DO21">
        <v>2.1576422879000536</v>
      </c>
      <c r="DP21">
        <v>3.7883503266435237</v>
      </c>
      <c r="DQ21">
        <v>429.17276677392755</v>
      </c>
      <c r="DR21">
        <v>28.0793762989267</v>
      </c>
      <c r="DS21">
        <v>11.120653216465614</v>
      </c>
      <c r="DT21">
        <v>6.4867558239332688</v>
      </c>
      <c r="DU21">
        <v>2.1353359367586915</v>
      </c>
      <c r="DV21">
        <v>3.9230095148429198</v>
      </c>
      <c r="DW21">
        <v>446.34179454565924</v>
      </c>
      <c r="DX21">
        <v>28.076284848313009</v>
      </c>
      <c r="DY21">
        <v>10.973714619876025</v>
      </c>
      <c r="DZ21">
        <v>6.6098725761535952</v>
      </c>
      <c r="EA21">
        <v>2.1738885801081085</v>
      </c>
      <c r="EB21">
        <v>4.053849274380867</v>
      </c>
      <c r="EC21">
        <v>464.0975691186498</v>
      </c>
      <c r="ED21">
        <v>28.011102149953071</v>
      </c>
      <c r="EE21">
        <v>10.976837669114655</v>
      </c>
      <c r="EG21">
        <v>25</v>
      </c>
      <c r="EH21">
        <v>5.5963922475520471</v>
      </c>
      <c r="EI21">
        <v>1.8763762472261007</v>
      </c>
      <c r="EJ21">
        <v>3.3323505363893338</v>
      </c>
      <c r="EK21">
        <v>396.68501546061128</v>
      </c>
      <c r="EL21">
        <v>27.196322788502691</v>
      </c>
      <c r="EM21">
        <v>10.711960035308616</v>
      </c>
      <c r="EN21">
        <v>5.6707875488232613</v>
      </c>
      <c r="EO21">
        <v>1.9047818077883076</v>
      </c>
      <c r="EP21">
        <v>3.4046412425896393</v>
      </c>
      <c r="EQ21">
        <v>404.6904869774005</v>
      </c>
      <c r="ER21">
        <v>27.212041948194564</v>
      </c>
      <c r="ES21">
        <v>10.739295028978113</v>
      </c>
      <c r="ET21">
        <v>5.7543368477848063</v>
      </c>
      <c r="EU21">
        <v>1.9528062463397364</v>
      </c>
      <c r="EV21">
        <v>3.5645142419925877</v>
      </c>
      <c r="EW21">
        <v>425.8008983407363</v>
      </c>
      <c r="EX21">
        <v>26.951873779167126</v>
      </c>
      <c r="EY21">
        <v>10.727655778753912</v>
      </c>
      <c r="EZ21">
        <v>5.943352360134452</v>
      </c>
      <c r="FA21">
        <v>1.9451662173799609</v>
      </c>
      <c r="FB21">
        <v>3.6887463665421287</v>
      </c>
      <c r="FC21">
        <v>442.14884316776642</v>
      </c>
      <c r="FD21">
        <v>27.113529945443226</v>
      </c>
      <c r="FE21">
        <v>10.64767629642389</v>
      </c>
      <c r="FF21">
        <v>6.0565599781655113</v>
      </c>
      <c r="FG21">
        <v>1.9724686206385473</v>
      </c>
      <c r="FH21">
        <v>3.810382787577117</v>
      </c>
      <c r="FI21">
        <v>453.26722671246995</v>
      </c>
      <c r="FJ21">
        <v>27.459677392547952</v>
      </c>
      <c r="FK21">
        <v>10.794744095805518</v>
      </c>
      <c r="FN21">
        <v>25</v>
      </c>
      <c r="FO21">
        <v>6.7097840363802508</v>
      </c>
      <c r="FP21">
        <v>2.4926507009724532</v>
      </c>
      <c r="FQ21">
        <v>3.8447948906875027</v>
      </c>
      <c r="FR21">
        <v>409.21006485277422</v>
      </c>
      <c r="FS21">
        <v>29.559386744139239</v>
      </c>
      <c r="FT21">
        <v>12.107031292739856</v>
      </c>
      <c r="FU21">
        <v>6.7970862839368316</v>
      </c>
      <c r="FV21">
        <v>2.5522386996652324</v>
      </c>
      <c r="FW21">
        <v>3.9314069763875463</v>
      </c>
      <c r="FX21">
        <v>419.75047072873525</v>
      </c>
      <c r="FY21">
        <v>29.700444875025987</v>
      </c>
      <c r="FZ21">
        <v>12.253622823832716</v>
      </c>
      <c r="GB21">
        <v>25</v>
      </c>
      <c r="GC21">
        <v>6.3804631381581256</v>
      </c>
      <c r="GD21">
        <v>2.2727207449623186</v>
      </c>
      <c r="GE21">
        <v>3.6978715798343527</v>
      </c>
      <c r="GF21">
        <v>411.68498050117336</v>
      </c>
      <c r="GG21">
        <v>28.581751158448668</v>
      </c>
      <c r="GH21">
        <v>11.500028732413314</v>
      </c>
      <c r="GI21">
        <v>6.4145352802622924</v>
      </c>
      <c r="GJ21">
        <v>2.2879971396205194</v>
      </c>
      <c r="GK21">
        <v>3.7859162870912293</v>
      </c>
      <c r="GL21">
        <v>423.06712080771916</v>
      </c>
      <c r="GM21">
        <v>28.563374743939651</v>
      </c>
      <c r="GN21">
        <v>11.532974670960105</v>
      </c>
      <c r="GP21">
        <v>25</v>
      </c>
      <c r="GQ21">
        <v>6.1090487679151666</v>
      </c>
      <c r="GR21">
        <v>2.1387049467231436</v>
      </c>
      <c r="GS21">
        <v>3.6492369569634766</v>
      </c>
      <c r="GT21">
        <v>410.91035864653071</v>
      </c>
      <c r="GU21">
        <v>27.975111983002389</v>
      </c>
      <c r="GV21">
        <v>11.195564213518944</v>
      </c>
      <c r="GW21">
        <v>6.1588935278220163</v>
      </c>
      <c r="GX21">
        <v>2.1368957248129625</v>
      </c>
      <c r="GY21">
        <v>3.7512032893726164</v>
      </c>
      <c r="GZ21">
        <v>423.11089957800505</v>
      </c>
      <c r="HA21">
        <v>27.956223705954113</v>
      </c>
      <c r="HB21">
        <v>11.174661249094596</v>
      </c>
      <c r="HD21">
        <v>25</v>
      </c>
      <c r="HE21">
        <v>5.6823134865106946</v>
      </c>
      <c r="HF21">
        <v>1.9236509572185059</v>
      </c>
      <c r="HG21">
        <v>3.4022567203730936</v>
      </c>
      <c r="HH21">
        <v>409.84938711461052</v>
      </c>
      <c r="HI21">
        <v>27.006330531885578</v>
      </c>
      <c r="HJ21">
        <v>10.699831339497363</v>
      </c>
      <c r="HK21">
        <v>5.7718655526237477</v>
      </c>
      <c r="HL21">
        <v>1.9361950330915352</v>
      </c>
      <c r="HM21">
        <v>3.560638000970878</v>
      </c>
      <c r="HN21">
        <v>421.37081791004601</v>
      </c>
      <c r="HO21">
        <v>27.153173640692085</v>
      </c>
      <c r="HP21">
        <v>10.744503628224606</v>
      </c>
    </row>
    <row r="22" spans="2:224" x14ac:dyDescent="0.25">
      <c r="B22">
        <v>563.54118150205511</v>
      </c>
      <c r="C22">
        <v>1.7744932097679418</v>
      </c>
      <c r="D22">
        <v>581.71743300026901</v>
      </c>
      <c r="E22">
        <v>1.7190476737862135</v>
      </c>
      <c r="F22">
        <v>625.18372194195058</v>
      </c>
      <c r="G22">
        <v>1.5995298100433457</v>
      </c>
      <c r="H22">
        <v>661.8555903058251</v>
      </c>
      <c r="I22">
        <v>1.5109036089548291</v>
      </c>
      <c r="J22">
        <v>703.345639020269</v>
      </c>
      <c r="K22">
        <v>1.4217760721356829</v>
      </c>
      <c r="L22">
        <v>589.17655149493964</v>
      </c>
      <c r="M22">
        <v>1.6972841119740132</v>
      </c>
      <c r="N22">
        <v>617.3482742167896</v>
      </c>
      <c r="O22">
        <v>1.6198312067344298</v>
      </c>
      <c r="Q22">
        <v>4.5408339062128406E-2</v>
      </c>
      <c r="R22">
        <v>4.5744232200445101E-2</v>
      </c>
      <c r="S22">
        <v>4.6686577164312827E-2</v>
      </c>
      <c r="T22">
        <v>4.7461455885722044E-2</v>
      </c>
      <c r="U22">
        <v>4.8163278607699554E-2</v>
      </c>
      <c r="V22">
        <v>4.6408890103363826E-2</v>
      </c>
      <c r="W22">
        <v>4.5735911847434516E-2</v>
      </c>
      <c r="Y22">
        <v>0.96793397124660252</v>
      </c>
      <c r="Z22">
        <v>0.97155258664738176</v>
      </c>
      <c r="AA22">
        <v>0.99234664608790968</v>
      </c>
      <c r="AB22">
        <v>1.0012823868201366</v>
      </c>
      <c r="AC22">
        <v>1.0220425034107412</v>
      </c>
      <c r="AD22">
        <v>0.99307014510137837</v>
      </c>
      <c r="AE22">
        <v>0.97390857978678302</v>
      </c>
      <c r="AG22">
        <v>0.4264470681256039</v>
      </c>
      <c r="AH22">
        <v>0.42763942819293066</v>
      </c>
      <c r="AI22">
        <v>0.43768083558865734</v>
      </c>
      <c r="AJ22">
        <v>0.43840332706508967</v>
      </c>
      <c r="AK22">
        <v>0.44759199071811584</v>
      </c>
      <c r="AL22">
        <v>0.43735241560520904</v>
      </c>
      <c r="AM22">
        <v>0.42901759437229442</v>
      </c>
      <c r="AO22">
        <v>26</v>
      </c>
      <c r="AP22">
        <v>6.5859755201183035</v>
      </c>
      <c r="AQ22">
        <v>2.6485379084496361</v>
      </c>
      <c r="AR22">
        <v>3.7817048689230122</v>
      </c>
      <c r="AS22">
        <v>403.89752216791231</v>
      </c>
      <c r="AT22">
        <v>29.34334495656152</v>
      </c>
      <c r="AU22">
        <v>12.515898827308449</v>
      </c>
      <c r="AV22">
        <v>6.727561755809865</v>
      </c>
      <c r="AW22">
        <v>2.6825813105168184</v>
      </c>
      <c r="AX22">
        <v>3.8875132178991714</v>
      </c>
      <c r="AY22">
        <v>414.50210768338025</v>
      </c>
      <c r="AZ22">
        <v>29.343950788919159</v>
      </c>
      <c r="BA22">
        <v>12.465088867753503</v>
      </c>
      <c r="BB22">
        <v>7.2206511643162168</v>
      </c>
      <c r="BC22">
        <v>2.7953636906067367</v>
      </c>
      <c r="BD22">
        <v>4.1000495197859523</v>
      </c>
      <c r="BE22">
        <v>440.09568129719992</v>
      </c>
      <c r="BF22">
        <v>29.680745386184984</v>
      </c>
      <c r="BG22">
        <v>12.418233142054257</v>
      </c>
      <c r="BH22">
        <v>7.4844827991427909</v>
      </c>
      <c r="BI22">
        <v>2.866867788315425</v>
      </c>
      <c r="BJ22">
        <v>4.2806509675917717</v>
      </c>
      <c r="BK22">
        <v>459.68914583551179</v>
      </c>
      <c r="BL22">
        <v>29.73501018849699</v>
      </c>
      <c r="BM22">
        <v>12.385156661396707</v>
      </c>
      <c r="BN22">
        <v>7.7106645589827671</v>
      </c>
      <c r="BO22">
        <v>2.9362938932578997</v>
      </c>
      <c r="BP22">
        <v>4.4945743342885951</v>
      </c>
      <c r="BQ22">
        <v>481.26425839493305</v>
      </c>
      <c r="BR22">
        <v>29.677512844237707</v>
      </c>
      <c r="BS22">
        <v>12.342349013210027</v>
      </c>
      <c r="BU22">
        <v>26</v>
      </c>
      <c r="BV22">
        <v>6.2701765099052587</v>
      </c>
      <c r="BW22">
        <v>2.3717976049633389</v>
      </c>
      <c r="BX22">
        <v>3.6489646071396655</v>
      </c>
      <c r="BY22">
        <v>406.59123684531079</v>
      </c>
      <c r="BZ22">
        <v>28.372242843613819</v>
      </c>
      <c r="CA22">
        <v>11.752344338857027</v>
      </c>
      <c r="CB22">
        <v>6.3725294572060029</v>
      </c>
      <c r="CC22">
        <v>2.3774821843398715</v>
      </c>
      <c r="CD22">
        <v>3.7447815298842686</v>
      </c>
      <c r="CE22">
        <v>417.46455597430082</v>
      </c>
      <c r="CF22">
        <v>28.285268730424686</v>
      </c>
      <c r="CG22">
        <v>11.645794624698167</v>
      </c>
      <c r="CH22">
        <v>6.8604287895207428</v>
      </c>
      <c r="CI22">
        <v>2.5361792117059094</v>
      </c>
      <c r="CJ22">
        <v>3.945597981783953</v>
      </c>
      <c r="CK22">
        <v>443.76786373642062</v>
      </c>
      <c r="CL22">
        <v>28.623400938493521</v>
      </c>
      <c r="CM22">
        <v>11.731417981521908</v>
      </c>
      <c r="CN22">
        <v>7.1191845010880854</v>
      </c>
      <c r="CO22">
        <v>2.5735974662055963</v>
      </c>
      <c r="CP22">
        <v>4.1288814547239046</v>
      </c>
      <c r="CQ22">
        <v>463.87591528659794</v>
      </c>
      <c r="CR22">
        <v>28.679141767225257</v>
      </c>
      <c r="CS22">
        <v>11.641155719995272</v>
      </c>
      <c r="CT22">
        <v>7.2924557478324532</v>
      </c>
      <c r="CU22">
        <v>2.6042856288390852</v>
      </c>
      <c r="CV22">
        <v>4.293943735862543</v>
      </c>
      <c r="CW22">
        <v>484.41752045926523</v>
      </c>
      <c r="CX22">
        <v>28.621007319663445</v>
      </c>
      <c r="CY22">
        <v>11.576631611008617</v>
      </c>
      <c r="DA22">
        <v>26</v>
      </c>
      <c r="DB22">
        <v>6.0134393842396276</v>
      </c>
      <c r="DC22">
        <v>2.1201824671989993</v>
      </c>
      <c r="DD22">
        <v>3.6260109382660879</v>
      </c>
      <c r="DE22">
        <v>406.34756305844883</v>
      </c>
      <c r="DF22">
        <v>27.757440205375222</v>
      </c>
      <c r="DG22">
        <v>11.140180215999953</v>
      </c>
      <c r="DH22">
        <v>6.1243667117057106</v>
      </c>
      <c r="DI22">
        <v>2.1869980685306993</v>
      </c>
      <c r="DJ22">
        <v>3.7006073135625539</v>
      </c>
      <c r="DK22">
        <v>416.42754932515453</v>
      </c>
      <c r="DL22">
        <v>27.759773397302325</v>
      </c>
      <c r="DM22">
        <v>11.217371121887444</v>
      </c>
      <c r="DN22">
        <v>6.5370368317959127</v>
      </c>
      <c r="DO22">
        <v>2.2291836363551973</v>
      </c>
      <c r="DP22">
        <v>3.8762375366638868</v>
      </c>
      <c r="DQ22">
        <v>441.37276423130675</v>
      </c>
      <c r="DR22">
        <v>28.04602941728924</v>
      </c>
      <c r="DS22">
        <v>11.099531094630253</v>
      </c>
      <c r="DT22">
        <v>6.6983842586090079</v>
      </c>
      <c r="DU22">
        <v>2.1993567500857338</v>
      </c>
      <c r="DV22">
        <v>4.0179381634408013</v>
      </c>
      <c r="DW22">
        <v>459.37756928627175</v>
      </c>
      <c r="DX22">
        <v>28.043952852209131</v>
      </c>
      <c r="DY22">
        <v>10.940479867781287</v>
      </c>
      <c r="DZ22">
        <v>6.8262484766376863</v>
      </c>
      <c r="EA22">
        <v>2.2411888142428911</v>
      </c>
      <c r="EB22">
        <v>4.1584066671047264</v>
      </c>
      <c r="EC22">
        <v>479.08987525510605</v>
      </c>
      <c r="ED22">
        <v>27.966172569413494</v>
      </c>
      <c r="EE22">
        <v>10.947479035924484</v>
      </c>
      <c r="EG22">
        <v>26</v>
      </c>
      <c r="EH22">
        <v>5.7892377710087004</v>
      </c>
      <c r="EI22">
        <v>1.9410711450287828</v>
      </c>
      <c r="EJ22">
        <v>3.4009407913606839</v>
      </c>
      <c r="EK22">
        <v>407.36803491267108</v>
      </c>
      <c r="EL22">
        <v>27.137540561654021</v>
      </c>
      <c r="EM22">
        <v>10.672594283361812</v>
      </c>
      <c r="EN22">
        <v>5.8655877153463498</v>
      </c>
      <c r="EO22">
        <v>1.9730712769870811</v>
      </c>
      <c r="EP22">
        <v>3.4812701011161864</v>
      </c>
      <c r="EQ22">
        <v>416.17000881990816</v>
      </c>
      <c r="ER22">
        <v>27.155141335980517</v>
      </c>
      <c r="ES22">
        <v>10.710275801117525</v>
      </c>
      <c r="ET22">
        <v>5.9686388146253702</v>
      </c>
      <c r="EU22">
        <v>2.0175517170071608</v>
      </c>
      <c r="EV22">
        <v>3.6409291099772649</v>
      </c>
      <c r="EW22">
        <v>439.61683631131206</v>
      </c>
      <c r="EX22">
        <v>26.865111926895185</v>
      </c>
      <c r="EY22">
        <v>10.662464251575903</v>
      </c>
      <c r="EZ22">
        <v>6.1338880447180788</v>
      </c>
      <c r="FA22">
        <v>2.0046677788526011</v>
      </c>
      <c r="FB22">
        <v>3.7718192543207913</v>
      </c>
      <c r="FC22">
        <v>455.43661136500305</v>
      </c>
      <c r="FD22">
        <v>27.047159523728787</v>
      </c>
      <c r="FE22">
        <v>10.607671752110841</v>
      </c>
      <c r="FF22">
        <v>6.2400432097183254</v>
      </c>
      <c r="FG22">
        <v>2.0339868563754533</v>
      </c>
      <c r="FH22">
        <v>3.9024734734671656</v>
      </c>
      <c r="FI22">
        <v>466.96433592045139</v>
      </c>
      <c r="FJ22">
        <v>27.437009371324439</v>
      </c>
      <c r="FK22">
        <v>10.788028164681263</v>
      </c>
      <c r="FN22">
        <v>26</v>
      </c>
      <c r="FO22">
        <v>6.9361217821370538</v>
      </c>
      <c r="FP22">
        <v>2.5917334225260471</v>
      </c>
      <c r="FQ22">
        <v>3.9531264439801754</v>
      </c>
      <c r="FR22">
        <v>422.17562930746618</v>
      </c>
      <c r="FS22">
        <v>29.469696059231392</v>
      </c>
      <c r="FT22">
        <v>12.098784323633279</v>
      </c>
      <c r="FU22">
        <v>7.0122650402479874</v>
      </c>
      <c r="FV22">
        <v>2.6454093170315147</v>
      </c>
      <c r="FW22">
        <v>4.033924636866737</v>
      </c>
      <c r="FX22">
        <v>431.80291510794939</v>
      </c>
      <c r="FY22">
        <v>29.598612856364149</v>
      </c>
      <c r="FZ22">
        <v>12.231958000454632</v>
      </c>
      <c r="GB22">
        <v>26</v>
      </c>
      <c r="GC22">
        <v>6.602152286872224</v>
      </c>
      <c r="GD22">
        <v>2.348845361120794</v>
      </c>
      <c r="GE22">
        <v>3.803810683496649</v>
      </c>
      <c r="GF22">
        <v>425.02669574905053</v>
      </c>
      <c r="GG22">
        <v>28.486252993363856</v>
      </c>
      <c r="GH22">
        <v>11.446160612820286</v>
      </c>
      <c r="GI22">
        <v>6.6310181806569188</v>
      </c>
      <c r="GJ22">
        <v>2.3618714040082738</v>
      </c>
      <c r="GK22">
        <v>3.8860302545971601</v>
      </c>
      <c r="GL22">
        <v>435.5387132508381</v>
      </c>
      <c r="GM22">
        <v>28.469387628918746</v>
      </c>
      <c r="GN22">
        <v>11.47603429266791</v>
      </c>
      <c r="GP22">
        <v>26</v>
      </c>
      <c r="GQ22">
        <v>6.3168357851555665</v>
      </c>
      <c r="GR22">
        <v>2.2142095144310181</v>
      </c>
      <c r="GS22">
        <v>3.7406492538456226</v>
      </c>
      <c r="GT22">
        <v>423.48726527922031</v>
      </c>
      <c r="GU22">
        <v>27.916073165811838</v>
      </c>
      <c r="GV22">
        <v>11.169847042440129</v>
      </c>
      <c r="GW22">
        <v>6.3671448552805359</v>
      </c>
      <c r="GX22">
        <v>2.2121066624465224</v>
      </c>
      <c r="GY22">
        <v>3.8380344968493105</v>
      </c>
      <c r="GZ22">
        <v>434.99032371720921</v>
      </c>
      <c r="HA22">
        <v>27.89865996525408</v>
      </c>
      <c r="HB22">
        <v>11.146207635279186</v>
      </c>
      <c r="HD22">
        <v>26</v>
      </c>
      <c r="HE22">
        <v>5.8893780677090719</v>
      </c>
      <c r="HF22">
        <v>1.9911779511601755</v>
      </c>
      <c r="HG22">
        <v>3.4827360664467695</v>
      </c>
      <c r="HH22">
        <v>423.14149210280976</v>
      </c>
      <c r="HI22">
        <v>26.928684559511964</v>
      </c>
      <c r="HJ22">
        <v>10.651889494269206</v>
      </c>
      <c r="HK22">
        <v>5.9740057813799785</v>
      </c>
      <c r="HL22">
        <v>2.0021757996614378</v>
      </c>
      <c r="HM22">
        <v>3.6325659772238916</v>
      </c>
      <c r="HN22">
        <v>433.79537207658836</v>
      </c>
      <c r="HO22">
        <v>27.069233125863018</v>
      </c>
      <c r="HP22">
        <v>10.692971625075984</v>
      </c>
    </row>
    <row r="23" spans="2:224" x14ac:dyDescent="0.25">
      <c r="B23">
        <v>571.11540439909288</v>
      </c>
      <c r="C23">
        <v>1.7509595999291319</v>
      </c>
      <c r="D23">
        <v>591.46104540464728</v>
      </c>
      <c r="E23">
        <v>1.690728422048237</v>
      </c>
      <c r="F23">
        <v>637.48468978477115</v>
      </c>
      <c r="G23">
        <v>1.5686651240794849</v>
      </c>
      <c r="H23">
        <v>676.04352256356503</v>
      </c>
      <c r="I23">
        <v>1.4791947065892861</v>
      </c>
      <c r="J23">
        <v>722.17116240226278</v>
      </c>
      <c r="K23">
        <v>1.3847132813688583</v>
      </c>
      <c r="L23">
        <v>601.5291829808034</v>
      </c>
      <c r="M23">
        <v>1.6624297345718522</v>
      </c>
      <c r="N23">
        <v>627.53565735005543</v>
      </c>
      <c r="O23">
        <v>1.5935349462415878</v>
      </c>
      <c r="Q23">
        <v>4.7151632851135751E-2</v>
      </c>
      <c r="R23">
        <v>4.7500723994430845E-2</v>
      </c>
      <c r="S23">
        <v>4.8479321144904483E-2</v>
      </c>
      <c r="T23">
        <v>4.9283984306422439E-2</v>
      </c>
      <c r="U23">
        <v>5.0013542682081913E-2</v>
      </c>
      <c r="V23">
        <v>4.819384741503166E-2</v>
      </c>
      <c r="W23">
        <v>4.7494985380028151E-2</v>
      </c>
      <c r="Y23">
        <v>0.99450244008680178</v>
      </c>
      <c r="Z23">
        <v>0.99847076261978596</v>
      </c>
      <c r="AA23">
        <v>1.0168672090148365</v>
      </c>
      <c r="AB23">
        <v>1.024743901917236</v>
      </c>
      <c r="AC23">
        <v>1.0466835916934807</v>
      </c>
      <c r="AD23">
        <v>1.0182983223233852</v>
      </c>
      <c r="AE23">
        <v>1.0013286288169907</v>
      </c>
      <c r="AG23">
        <v>0.43308905020801913</v>
      </c>
      <c r="AH23">
        <v>0.43431526716216085</v>
      </c>
      <c r="AI23">
        <v>0.44366681900895305</v>
      </c>
      <c r="AJ23">
        <v>0.44354819639946325</v>
      </c>
      <c r="AK23">
        <v>0.45327394144692496</v>
      </c>
      <c r="AL23">
        <v>0.44336587610838318</v>
      </c>
      <c r="AM23">
        <v>0.43610955756312325</v>
      </c>
      <c r="AO23">
        <v>27</v>
      </c>
      <c r="AP23">
        <v>6.7809923786991835</v>
      </c>
      <c r="AQ23">
        <v>2.7482603733371738</v>
      </c>
      <c r="AR23">
        <v>3.873226754605255</v>
      </c>
      <c r="AS23">
        <v>414.54653661011253</v>
      </c>
      <c r="AT23">
        <v>29.230722361096454</v>
      </c>
      <c r="AU23">
        <v>12.512970799951827</v>
      </c>
      <c r="AV23">
        <v>6.9303427316287785</v>
      </c>
      <c r="AW23">
        <v>2.7846925312359421</v>
      </c>
      <c r="AX23">
        <v>3.9864463366304674</v>
      </c>
      <c r="AY23">
        <v>426.14638702199341</v>
      </c>
      <c r="AZ23">
        <v>29.231632883108073</v>
      </c>
      <c r="BA23">
        <v>12.461743399369501</v>
      </c>
      <c r="BB23">
        <v>7.4479469917165382</v>
      </c>
      <c r="BC23">
        <v>2.9003417364518862</v>
      </c>
      <c r="BD23">
        <v>4.2055726302019272</v>
      </c>
      <c r="BE23">
        <v>452.68873914006679</v>
      </c>
      <c r="BF23">
        <v>29.611083232441334</v>
      </c>
      <c r="BG23">
        <v>12.420720062219221</v>
      </c>
      <c r="BH23">
        <v>7.7032533656790374</v>
      </c>
      <c r="BI23">
        <v>2.9670806274055224</v>
      </c>
      <c r="BJ23">
        <v>4.3848411804746616</v>
      </c>
      <c r="BK23">
        <v>472.45347087410829</v>
      </c>
      <c r="BL23">
        <v>29.675311760486284</v>
      </c>
      <c r="BM23">
        <v>12.390901647271713</v>
      </c>
      <c r="BN23">
        <v>7.9427274790680746</v>
      </c>
      <c r="BO23">
        <v>3.0413976846694681</v>
      </c>
      <c r="BP23">
        <v>4.6128092199951807</v>
      </c>
      <c r="BQ23">
        <v>496.1557926722549</v>
      </c>
      <c r="BR23">
        <v>29.609036188879152</v>
      </c>
      <c r="BS23">
        <v>12.345778733565243</v>
      </c>
      <c r="BU23">
        <v>27</v>
      </c>
      <c r="BV23">
        <v>6.4675418932330064</v>
      </c>
      <c r="BW23">
        <v>2.4497034520363306</v>
      </c>
      <c r="BX23">
        <v>3.7395666899689357</v>
      </c>
      <c r="BY23">
        <v>417.47489796833383</v>
      </c>
      <c r="BZ23">
        <v>28.274859852372458</v>
      </c>
      <c r="CA23">
        <v>11.710049658826359</v>
      </c>
      <c r="CB23">
        <v>6.5735919663128479</v>
      </c>
      <c r="CC23">
        <v>2.45376375487381</v>
      </c>
      <c r="CD23">
        <v>3.8418273823389768</v>
      </c>
      <c r="CE23">
        <v>429.47909121109694</v>
      </c>
      <c r="CF23">
        <v>28.174139841015911</v>
      </c>
      <c r="CG23">
        <v>11.594506580593444</v>
      </c>
      <c r="CH23">
        <v>7.0863897561844409</v>
      </c>
      <c r="CI23">
        <v>2.621319814960875</v>
      </c>
      <c r="CJ23">
        <v>4.0484373759610621</v>
      </c>
      <c r="CK23">
        <v>456.76807089126487</v>
      </c>
      <c r="CL23">
        <v>28.555075384501386</v>
      </c>
      <c r="CM23">
        <v>11.698931083908501</v>
      </c>
      <c r="CN23">
        <v>7.3373281328546662</v>
      </c>
      <c r="CO23">
        <v>2.652105370154306</v>
      </c>
      <c r="CP23">
        <v>4.2311072354965171</v>
      </c>
      <c r="CQ23">
        <v>477.07394831014915</v>
      </c>
      <c r="CR23">
        <v>28.620885412111992</v>
      </c>
      <c r="CS23">
        <v>11.610672208956945</v>
      </c>
      <c r="CT23">
        <v>7.5192291769427513</v>
      </c>
      <c r="CU23">
        <v>2.6842354023847856</v>
      </c>
      <c r="CV23">
        <v>4.4063791107329626</v>
      </c>
      <c r="CW23">
        <v>499.65776653667467</v>
      </c>
      <c r="CX23">
        <v>28.55393726254086</v>
      </c>
      <c r="CY23">
        <v>11.544436487810021</v>
      </c>
      <c r="DA23">
        <v>27</v>
      </c>
      <c r="DB23">
        <v>6.1972016820844527</v>
      </c>
      <c r="DC23">
        <v>2.1879737067979956</v>
      </c>
      <c r="DD23">
        <v>3.7040330281520051</v>
      </c>
      <c r="DE23">
        <v>416.59643621705283</v>
      </c>
      <c r="DF23">
        <v>27.6855561356275</v>
      </c>
      <c r="DG23">
        <v>11.106484931315224</v>
      </c>
      <c r="DH23">
        <v>6.3188550953236113</v>
      </c>
      <c r="DI23">
        <v>2.262636461772479</v>
      </c>
      <c r="DJ23">
        <v>3.7856324841624551</v>
      </c>
      <c r="DK23">
        <v>427.80830389125242</v>
      </c>
      <c r="DL23">
        <v>27.688726459586718</v>
      </c>
      <c r="DM23">
        <v>11.193029243748013</v>
      </c>
      <c r="DN23">
        <v>6.7377787523484898</v>
      </c>
      <c r="DO23">
        <v>2.299548641338053</v>
      </c>
      <c r="DP23">
        <v>3.960036851723046</v>
      </c>
      <c r="DQ23">
        <v>453.18217751216145</v>
      </c>
      <c r="DR23">
        <v>28.011771697170786</v>
      </c>
      <c r="DS23">
        <v>11.081475084993057</v>
      </c>
      <c r="DT23">
        <v>6.9023816416612824</v>
      </c>
      <c r="DU23">
        <v>2.2621341145208462</v>
      </c>
      <c r="DV23">
        <v>4.1083633453140971</v>
      </c>
      <c r="DW23">
        <v>471.93819913048338</v>
      </c>
      <c r="DX23">
        <v>28.010727550452639</v>
      </c>
      <c r="DY23">
        <v>10.910703958941211</v>
      </c>
      <c r="DZ23">
        <v>7.0342690890002766</v>
      </c>
      <c r="EA23">
        <v>2.3072113782894088</v>
      </c>
      <c r="EB23">
        <v>4.25789126921185</v>
      </c>
      <c r="EC23">
        <v>493.62383254567862</v>
      </c>
      <c r="ED23">
        <v>27.920524743325984</v>
      </c>
      <c r="EE23">
        <v>10.92176465533475</v>
      </c>
      <c r="EG23">
        <v>27</v>
      </c>
      <c r="EH23">
        <v>5.9778764517499603</v>
      </c>
      <c r="EI23">
        <v>2.0051039608429075</v>
      </c>
      <c r="EJ23">
        <v>3.4671966595690287</v>
      </c>
      <c r="EK23">
        <v>417.84282751301544</v>
      </c>
      <c r="EL23">
        <v>27.078073489493249</v>
      </c>
      <c r="EM23">
        <v>10.635703194380678</v>
      </c>
      <c r="EN23">
        <v>6.0557984310119393</v>
      </c>
      <c r="EO23">
        <v>2.040785546071016</v>
      </c>
      <c r="EP23">
        <v>3.555413131159499</v>
      </c>
      <c r="EQ23">
        <v>427.43335630356518</v>
      </c>
      <c r="ER23">
        <v>27.097582040478567</v>
      </c>
      <c r="ES23">
        <v>10.683817425863992</v>
      </c>
      <c r="ET23">
        <v>6.1799145720715734</v>
      </c>
      <c r="EU23">
        <v>2.081232507497552</v>
      </c>
      <c r="EV23">
        <v>3.7135333578414467</v>
      </c>
      <c r="EW23">
        <v>453.21706374963441</v>
      </c>
      <c r="EX23">
        <v>26.778717052288531</v>
      </c>
      <c r="EY23">
        <v>10.598918839201122</v>
      </c>
      <c r="EZ23">
        <v>6.3183915241165511</v>
      </c>
      <c r="FA23">
        <v>2.0630420717896203</v>
      </c>
      <c r="FB23">
        <v>3.8506980842270981</v>
      </c>
      <c r="FC23">
        <v>468.31242353765117</v>
      </c>
      <c r="FD23">
        <v>26.980582969596689</v>
      </c>
      <c r="FE23">
        <v>10.57005043236772</v>
      </c>
      <c r="FF23">
        <v>6.4158886514510352</v>
      </c>
      <c r="FG23">
        <v>2.0943498212920062</v>
      </c>
      <c r="FH23">
        <v>3.9898224553671722</v>
      </c>
      <c r="FI23">
        <v>480.20191333244571</v>
      </c>
      <c r="FJ23">
        <v>27.413168559835349</v>
      </c>
      <c r="FK23">
        <v>10.783759136640205</v>
      </c>
      <c r="FN23">
        <v>27</v>
      </c>
      <c r="FO23">
        <v>7.1573041011431426</v>
      </c>
      <c r="FP23">
        <v>2.6900664893529838</v>
      </c>
      <c r="FQ23">
        <v>4.0584451636623804</v>
      </c>
      <c r="FR23">
        <v>434.90491951372326</v>
      </c>
      <c r="FS23">
        <v>29.381118064157846</v>
      </c>
      <c r="FT23">
        <v>12.092061113386789</v>
      </c>
      <c r="FU23">
        <v>7.2231330262380826</v>
      </c>
      <c r="FV23">
        <v>2.7379708509693681</v>
      </c>
      <c r="FW23">
        <v>4.1339724773346598</v>
      </c>
      <c r="FX23">
        <v>443.64748059701242</v>
      </c>
      <c r="FY23">
        <v>29.498254314227538</v>
      </c>
      <c r="FZ23">
        <v>12.212087552919295</v>
      </c>
      <c r="GB23">
        <v>27</v>
      </c>
      <c r="GC23">
        <v>6.8189055772491605</v>
      </c>
      <c r="GD23">
        <v>2.4243748540831001</v>
      </c>
      <c r="GE23">
        <v>3.9068228642958269</v>
      </c>
      <c r="GF23">
        <v>438.13617215516666</v>
      </c>
      <c r="GG23">
        <v>28.392073180883781</v>
      </c>
      <c r="GH23">
        <v>11.396468831690683</v>
      </c>
      <c r="GI23">
        <v>6.8433474798093235</v>
      </c>
      <c r="GJ23">
        <v>2.4352589901038906</v>
      </c>
      <c r="GK23">
        <v>3.9837472324803</v>
      </c>
      <c r="GL23">
        <v>447.79769466112356</v>
      </c>
      <c r="GM23">
        <v>28.376744261053982</v>
      </c>
      <c r="GN23">
        <v>11.422903859941162</v>
      </c>
      <c r="GP23">
        <v>27</v>
      </c>
      <c r="GQ23">
        <v>6.518488347210539</v>
      </c>
      <c r="GR23">
        <v>2.2888164496514736</v>
      </c>
      <c r="GS23">
        <v>3.8284635450141886</v>
      </c>
      <c r="GT23">
        <v>435.77356069583459</v>
      </c>
      <c r="GU23">
        <v>27.856616664855871</v>
      </c>
      <c r="GV23">
        <v>11.147181159440695</v>
      </c>
      <c r="GW23">
        <v>6.5701369389985773</v>
      </c>
      <c r="GX23">
        <v>2.2865369757092413</v>
      </c>
      <c r="GY23">
        <v>3.9218279906811375</v>
      </c>
      <c r="GZ23">
        <v>446.60715790787782</v>
      </c>
      <c r="HA23">
        <v>27.840642276141566</v>
      </c>
      <c r="HB23">
        <v>11.120350205956806</v>
      </c>
      <c r="HD23">
        <v>27</v>
      </c>
      <c r="HE23">
        <v>6.0922181503745794</v>
      </c>
      <c r="HF23">
        <v>2.0578345559132027</v>
      </c>
      <c r="HG23">
        <v>3.5597693055130035</v>
      </c>
      <c r="HH23">
        <v>436.21782441112231</v>
      </c>
      <c r="HI23">
        <v>26.851050508903871</v>
      </c>
      <c r="HJ23">
        <v>10.606317928614098</v>
      </c>
      <c r="HK23">
        <v>6.1724027748455716</v>
      </c>
      <c r="HL23">
        <v>2.0673964126058961</v>
      </c>
      <c r="HM23">
        <v>3.701598772152543</v>
      </c>
      <c r="HN23">
        <v>446.02182115308511</v>
      </c>
      <c r="HO23">
        <v>26.98544193646844</v>
      </c>
      <c r="HP23">
        <v>10.643621482568514</v>
      </c>
    </row>
    <row r="24" spans="2:224" x14ac:dyDescent="0.25">
      <c r="B24">
        <v>578.3737297537981</v>
      </c>
      <c r="C24">
        <v>1.7289858590667311</v>
      </c>
      <c r="D24">
        <v>600.89956626639616</v>
      </c>
      <c r="E24">
        <v>1.6641716122601944</v>
      </c>
      <c r="F24">
        <v>649.25496401902933</v>
      </c>
      <c r="G24">
        <v>1.5402269607763683</v>
      </c>
      <c r="H24">
        <v>689.49289665461345</v>
      </c>
      <c r="I24">
        <v>1.4503412650832983</v>
      </c>
      <c r="J24">
        <v>740.33720278457292</v>
      </c>
      <c r="K24">
        <v>1.3507358487980579</v>
      </c>
      <c r="L24">
        <v>613.49354332433234</v>
      </c>
      <c r="M24">
        <v>1.6300090047913274</v>
      </c>
      <c r="N24">
        <v>637.33714744773636</v>
      </c>
      <c r="O24">
        <v>1.5690282670711628</v>
      </c>
      <c r="Q24">
        <v>4.8501830897007409E-2</v>
      </c>
      <c r="R24">
        <v>4.8761978760620474E-2</v>
      </c>
      <c r="S24">
        <v>4.8946862892636882E-2</v>
      </c>
      <c r="T24">
        <v>4.9323809931109144E-2</v>
      </c>
      <c r="U24">
        <v>4.9484023518631258E-2</v>
      </c>
      <c r="V24">
        <v>4.9978804726699501E-2</v>
      </c>
      <c r="W24">
        <v>4.9254058912621787E-2</v>
      </c>
      <c r="Y24">
        <v>1.0174371687127193</v>
      </c>
      <c r="Z24">
        <v>1.0198025475652985</v>
      </c>
      <c r="AA24">
        <v>1.0337405098231538</v>
      </c>
      <c r="AB24">
        <v>1.0367303661164069</v>
      </c>
      <c r="AC24">
        <v>1.0551924877569714</v>
      </c>
      <c r="AD24">
        <v>1.042837646357109</v>
      </c>
      <c r="AE24">
        <v>1.0281695443859025</v>
      </c>
      <c r="AG24">
        <v>0.43886000058445618</v>
      </c>
      <c r="AH24">
        <v>0.43985120625323537</v>
      </c>
      <c r="AI24">
        <v>0.44755413783685039</v>
      </c>
      <c r="AJ24">
        <v>0.44630565928109256</v>
      </c>
      <c r="AK24">
        <v>0.45512682320300224</v>
      </c>
      <c r="AL24">
        <v>0.44906558953028547</v>
      </c>
      <c r="AM24">
        <v>0.4429518537136285</v>
      </c>
      <c r="AO24">
        <v>28</v>
      </c>
      <c r="AP24">
        <v>6.9306643474106879</v>
      </c>
      <c r="AQ24">
        <v>2.8390856232854311</v>
      </c>
      <c r="AR24">
        <v>3.9355355617714194</v>
      </c>
      <c r="AS24">
        <v>423.5924364833694</v>
      </c>
      <c r="AT24">
        <v>29.119945060006895</v>
      </c>
      <c r="AU24">
        <v>12.533346157627776</v>
      </c>
      <c r="AV24">
        <v>7.0655835249278267</v>
      </c>
      <c r="AW24">
        <v>2.8645135906368795</v>
      </c>
      <c r="AX24">
        <v>4.0430642294313799</v>
      </c>
      <c r="AY24">
        <v>435.43676169188223</v>
      </c>
      <c r="AZ24">
        <v>29.121080688850419</v>
      </c>
      <c r="BA24">
        <v>12.471742549427395</v>
      </c>
      <c r="BB24">
        <v>7.5436169980953789</v>
      </c>
      <c r="BC24">
        <v>2.9617141441699566</v>
      </c>
      <c r="BD24">
        <v>4.2472266103365106</v>
      </c>
      <c r="BE24">
        <v>460.70784710987607</v>
      </c>
      <c r="BF24">
        <v>29.542052446619657</v>
      </c>
      <c r="BG24">
        <v>12.446841320342457</v>
      </c>
      <c r="BH24">
        <v>7.7281900155063372</v>
      </c>
      <c r="BI24">
        <v>3.0032426975505842</v>
      </c>
      <c r="BJ24">
        <v>4.3989470670031086</v>
      </c>
      <c r="BK24">
        <v>479.08345875659182</v>
      </c>
      <c r="BL24">
        <v>29.579004206544347</v>
      </c>
      <c r="BM24">
        <v>12.414793297499283</v>
      </c>
      <c r="BN24">
        <v>7.9019595032704553</v>
      </c>
      <c r="BO24">
        <v>3.0555493927961876</v>
      </c>
      <c r="BP24">
        <v>4.6022266545034141</v>
      </c>
      <c r="BQ24">
        <v>501.66310858457706</v>
      </c>
      <c r="BR24">
        <v>29.541080602683</v>
      </c>
      <c r="BS24">
        <v>12.393096703541104</v>
      </c>
      <c r="BU24">
        <v>28</v>
      </c>
      <c r="BV24">
        <v>6.6166458951619882</v>
      </c>
      <c r="BW24">
        <v>2.5169649263471823</v>
      </c>
      <c r="BX24">
        <v>3.8015719083677806</v>
      </c>
      <c r="BY24">
        <v>427.14745650767946</v>
      </c>
      <c r="BZ24">
        <v>28.142436160720436</v>
      </c>
      <c r="CA24">
        <v>11.674914279095372</v>
      </c>
      <c r="CB24">
        <v>6.7059566868688059</v>
      </c>
      <c r="CC24">
        <v>2.514693145283101</v>
      </c>
      <c r="CD24">
        <v>3.8977670737840442</v>
      </c>
      <c r="CE24">
        <v>439.01092594698781</v>
      </c>
      <c r="CF24">
        <v>28.064819132883699</v>
      </c>
      <c r="CG24">
        <v>11.573367410079618</v>
      </c>
      <c r="CH24">
        <v>7.1803428141347316</v>
      </c>
      <c r="CI24">
        <v>2.673934702275258</v>
      </c>
      <c r="CJ24">
        <v>4.0898034713496738</v>
      </c>
      <c r="CK24">
        <v>465.01195327079364</v>
      </c>
      <c r="CL24">
        <v>28.487399312538393</v>
      </c>
      <c r="CM24">
        <v>11.712769935930615</v>
      </c>
      <c r="CN24">
        <v>7.362118634927322</v>
      </c>
      <c r="CO24">
        <v>2.6832866454014783</v>
      </c>
      <c r="CP24">
        <v>4.2464887032853467</v>
      </c>
      <c r="CQ24">
        <v>483.94065835266321</v>
      </c>
      <c r="CR24">
        <v>28.525688063200654</v>
      </c>
      <c r="CS24">
        <v>11.629041626140596</v>
      </c>
      <c r="CT24">
        <v>7.4799681369649988</v>
      </c>
      <c r="CU24">
        <v>2.6977814188781326</v>
      </c>
      <c r="CV24">
        <v>4.3957103201064633</v>
      </c>
      <c r="CW24">
        <v>505.405172365</v>
      </c>
      <c r="CX24">
        <v>28.48739931253839</v>
      </c>
      <c r="CY24">
        <v>11.593453656105522</v>
      </c>
      <c r="DA24">
        <v>28</v>
      </c>
      <c r="DB24">
        <v>6.3765102035700831</v>
      </c>
      <c r="DC24">
        <v>2.2438713006111173</v>
      </c>
      <c r="DD24">
        <v>3.7795742394824572</v>
      </c>
      <c r="DE24">
        <v>426.8533043820425</v>
      </c>
      <c r="DF24">
        <v>27.599257668731749</v>
      </c>
      <c r="DG24">
        <v>11.043176344503003</v>
      </c>
      <c r="DH24">
        <v>6.4940875771336826</v>
      </c>
      <c r="DI24">
        <v>2.3227358559092526</v>
      </c>
      <c r="DJ24">
        <v>3.8641358394854266</v>
      </c>
      <c r="DK24">
        <v>438.73105576631457</v>
      </c>
      <c r="DL24">
        <v>27.599808504954709</v>
      </c>
      <c r="DM24">
        <v>11.143221774238624</v>
      </c>
      <c r="DN24">
        <v>6.9184799497183178</v>
      </c>
      <c r="DO24">
        <v>2.3450257845363254</v>
      </c>
      <c r="DP24">
        <v>4.039872787058572</v>
      </c>
      <c r="DQ24">
        <v>464.14181883145756</v>
      </c>
      <c r="DR24">
        <v>27.976617935880018</v>
      </c>
      <c r="DS24">
        <v>11.026089226917849</v>
      </c>
      <c r="DT24">
        <v>7.0232211898803847</v>
      </c>
      <c r="DU24">
        <v>2.3007509252581282</v>
      </c>
      <c r="DV24">
        <v>4.1683935006902324</v>
      </c>
      <c r="DW24">
        <v>481.32489949584465</v>
      </c>
      <c r="DX24">
        <v>27.976617935880018</v>
      </c>
      <c r="DY24">
        <v>10.897483894798876</v>
      </c>
      <c r="DZ24">
        <v>7.1190547187684983</v>
      </c>
      <c r="EA24">
        <v>2.3377750085790918</v>
      </c>
      <c r="EB24">
        <v>4.3059555185166429</v>
      </c>
      <c r="EC24">
        <v>502.57314721452815</v>
      </c>
      <c r="ED24">
        <v>27.929796128951995</v>
      </c>
      <c r="EE24">
        <v>10.942456960843442</v>
      </c>
      <c r="EG24">
        <v>28</v>
      </c>
      <c r="EH24">
        <v>6.1623551526840163</v>
      </c>
      <c r="EI24">
        <v>2.0577770595140086</v>
      </c>
      <c r="EJ24">
        <v>3.5311697913433422</v>
      </c>
      <c r="EK24">
        <v>428.11109357959441</v>
      </c>
      <c r="EL24">
        <v>27.017938700887765</v>
      </c>
      <c r="EM24">
        <v>10.576044723741337</v>
      </c>
      <c r="EN24">
        <v>6.2414726074940869</v>
      </c>
      <c r="EO24">
        <v>2.0944975123435574</v>
      </c>
      <c r="EP24">
        <v>3.6226466358391822</v>
      </c>
      <c r="EQ24">
        <v>438.48196824364305</v>
      </c>
      <c r="ER24">
        <v>27.039374508781023</v>
      </c>
      <c r="ES24">
        <v>10.629032543236789</v>
      </c>
      <c r="ET24">
        <v>6.3037691286723865</v>
      </c>
      <c r="EU24">
        <v>2.1223898470357532</v>
      </c>
      <c r="EV24">
        <v>3.7824475638681516</v>
      </c>
      <c r="EW24">
        <v>463.06421759776663</v>
      </c>
      <c r="EX24">
        <v>26.71423755573262</v>
      </c>
      <c r="EY24">
        <v>10.570959674390151</v>
      </c>
      <c r="EZ24">
        <v>6.4177575558581905</v>
      </c>
      <c r="FA24">
        <v>2.0988101526289702</v>
      </c>
      <c r="FB24">
        <v>3.900781878532162</v>
      </c>
      <c r="FC24">
        <v>477.83578962095095</v>
      </c>
      <c r="FD24">
        <v>26.913804829061785</v>
      </c>
      <c r="FE24">
        <v>10.554440829543447</v>
      </c>
      <c r="FF24">
        <v>6.4830253743498174</v>
      </c>
      <c r="FG24">
        <v>2.1222574859977859</v>
      </c>
      <c r="FH24">
        <v>4.0290244900634136</v>
      </c>
      <c r="FI24">
        <v>487.01481850094098</v>
      </c>
      <c r="FJ24">
        <v>27.516074846381652</v>
      </c>
      <c r="FK24">
        <v>10.84950048697357</v>
      </c>
      <c r="FM24" t="s">
        <v>7725</v>
      </c>
      <c r="FN24">
        <v>28</v>
      </c>
      <c r="FO24">
        <v>7.3734221935894038</v>
      </c>
      <c r="FP24">
        <v>2.7876499024129719</v>
      </c>
      <c r="FQ24">
        <v>4.1608013067930472</v>
      </c>
      <c r="FR24">
        <v>447.39786336115594</v>
      </c>
      <c r="FS24">
        <v>29.293626402127892</v>
      </c>
      <c r="FT24">
        <v>12.086723075864001</v>
      </c>
      <c r="FU24">
        <v>7.4297715194679093</v>
      </c>
      <c r="FV24">
        <v>2.8299233233342971</v>
      </c>
      <c r="FW24">
        <v>4.2315923644341922</v>
      </c>
      <c r="FX24">
        <v>455.28407712635078</v>
      </c>
      <c r="FY24">
        <v>29.399336584979949</v>
      </c>
      <c r="FZ24">
        <v>12.193862887871544</v>
      </c>
      <c r="GB24">
        <v>28</v>
      </c>
      <c r="GC24">
        <v>7.0308068076167762</v>
      </c>
      <c r="GD24">
        <v>2.4993144912243026</v>
      </c>
      <c r="GE24">
        <v>4.0069562749844696</v>
      </c>
      <c r="GF24">
        <v>451.0127467165932</v>
      </c>
      <c r="GG24">
        <v>28.299179057259586</v>
      </c>
      <c r="GH24">
        <v>11.35054098860688</v>
      </c>
      <c r="GI24">
        <v>7.0515937528398807</v>
      </c>
      <c r="GJ24">
        <v>2.508163925073025</v>
      </c>
      <c r="GK24">
        <v>4.0791072095829364</v>
      </c>
      <c r="GL24">
        <v>459.84383615965345</v>
      </c>
      <c r="GM24">
        <v>28.285411341418232</v>
      </c>
      <c r="GN24">
        <v>11.373235437764585</v>
      </c>
      <c r="GP24">
        <v>28</v>
      </c>
      <c r="GQ24">
        <v>6.7141121933561889</v>
      </c>
      <c r="GR24">
        <v>2.3625346330173902</v>
      </c>
      <c r="GS24">
        <v>3.9127551248747672</v>
      </c>
      <c r="GT24">
        <v>447.7717215707624</v>
      </c>
      <c r="GU24">
        <v>27.79674388216538</v>
      </c>
      <c r="GV24">
        <v>11.127229723899752</v>
      </c>
      <c r="GW24">
        <v>6.7679562828810367</v>
      </c>
      <c r="GX24">
        <v>2.3601927851136377</v>
      </c>
      <c r="GY24">
        <v>4.0026509298212956</v>
      </c>
      <c r="GZ24">
        <v>457.9639822016585</v>
      </c>
      <c r="HA24">
        <v>27.782173016021538</v>
      </c>
      <c r="HB24">
        <v>11.096813877933808</v>
      </c>
      <c r="HD24">
        <v>28</v>
      </c>
      <c r="HE24">
        <v>6.2908781181290045</v>
      </c>
      <c r="HF24">
        <v>2.1236310939146983</v>
      </c>
      <c r="HG24">
        <v>3.6334324351822254</v>
      </c>
      <c r="HH24">
        <v>449.58210519492854</v>
      </c>
      <c r="HI24">
        <v>26.743417160116973</v>
      </c>
      <c r="HJ24">
        <v>10.551032204950777</v>
      </c>
      <c r="HK24">
        <v>6.3670926980158971</v>
      </c>
      <c r="HL24">
        <v>2.1318656989242757</v>
      </c>
      <c r="HM24">
        <v>3.7678074222913067</v>
      </c>
      <c r="HN24">
        <v>459.0345981749964</v>
      </c>
      <c r="HO24">
        <v>26.844100755712375</v>
      </c>
      <c r="HP24">
        <v>10.573525408316836</v>
      </c>
    </row>
    <row r="25" spans="2:224" x14ac:dyDescent="0.25">
      <c r="B25">
        <v>587.30167343183086</v>
      </c>
      <c r="C25">
        <v>1.7027024529942392</v>
      </c>
      <c r="D25">
        <v>611.21026590656504</v>
      </c>
      <c r="E25">
        <v>1.6360981740330729</v>
      </c>
      <c r="F25">
        <v>663.30370515135735</v>
      </c>
      <c r="G25">
        <v>1.5076050265267444</v>
      </c>
      <c r="H25">
        <v>706.5765463855206</v>
      </c>
      <c r="I25">
        <v>1.4152748277811962</v>
      </c>
      <c r="J25">
        <v>760.32372882296875</v>
      </c>
      <c r="K25">
        <v>1.3152292399818508</v>
      </c>
      <c r="L25">
        <v>626.3878238943181</v>
      </c>
      <c r="M25">
        <v>1.5964550424733612</v>
      </c>
      <c r="N25">
        <v>648.74598333522647</v>
      </c>
      <c r="O25">
        <v>1.5414353625111696</v>
      </c>
      <c r="Q25">
        <v>5.0133536326416261E-2</v>
      </c>
      <c r="R25">
        <v>5.040763664577802E-2</v>
      </c>
      <c r="S25">
        <v>5.0621299900432376E-2</v>
      </c>
      <c r="T25">
        <v>5.1024962378781395E-2</v>
      </c>
      <c r="U25">
        <v>5.1202260464364664E-2</v>
      </c>
      <c r="V25">
        <v>5.0594095341597083E-2</v>
      </c>
      <c r="W25">
        <v>5.0375995214365296E-2</v>
      </c>
      <c r="Y25">
        <v>1.0477224353929162</v>
      </c>
      <c r="Z25">
        <v>1.0497985624789903</v>
      </c>
      <c r="AA25">
        <v>1.065927539258851</v>
      </c>
      <c r="AB25">
        <v>1.0692363298049972</v>
      </c>
      <c r="AC25">
        <v>1.0882900933210133</v>
      </c>
      <c r="AD25">
        <v>1.0647998418155586</v>
      </c>
      <c r="AE25">
        <v>1.053722694034716</v>
      </c>
      <c r="AG25">
        <v>0.44889700035466867</v>
      </c>
      <c r="AH25">
        <v>0.44981341853456702</v>
      </c>
      <c r="AI25">
        <v>0.45850884132118641</v>
      </c>
      <c r="AJ25">
        <v>0.45724931917443884</v>
      </c>
      <c r="AK25">
        <v>0.46640883920171866</v>
      </c>
      <c r="AL25">
        <v>0.45721123109996009</v>
      </c>
      <c r="AM25">
        <v>0.45213004148186203</v>
      </c>
      <c r="AO25">
        <v>29</v>
      </c>
      <c r="AP25">
        <v>7.148611375226559</v>
      </c>
      <c r="AQ25">
        <v>2.937277420037578</v>
      </c>
      <c r="AR25">
        <v>4.0383314681111635</v>
      </c>
      <c r="AS25">
        <v>435.29056593320917</v>
      </c>
      <c r="AT25">
        <v>29.029708430925435</v>
      </c>
      <c r="AU25">
        <v>12.509688108571929</v>
      </c>
      <c r="AV25">
        <v>7.2968791465904239</v>
      </c>
      <c r="AW25">
        <v>2.9644693411263616</v>
      </c>
      <c r="AX25">
        <v>4.1554115616867815</v>
      </c>
      <c r="AY25">
        <v>448.04545229469448</v>
      </c>
      <c r="AZ25">
        <v>29.032830942931994</v>
      </c>
      <c r="BA25">
        <v>12.4421367366401</v>
      </c>
      <c r="BB25">
        <v>7.8168778576276168</v>
      </c>
      <c r="BC25">
        <v>3.0706348743491798</v>
      </c>
      <c r="BD25">
        <v>4.3781971753727982</v>
      </c>
      <c r="BE25">
        <v>475.4059304313397</v>
      </c>
      <c r="BF25">
        <v>29.47962316298025</v>
      </c>
      <c r="BG25">
        <v>12.41733215621009</v>
      </c>
      <c r="BH25">
        <v>8.0265363080716234</v>
      </c>
      <c r="BI25">
        <v>3.1193655281417314</v>
      </c>
      <c r="BJ25">
        <v>4.5470002375350145</v>
      </c>
      <c r="BK25">
        <v>495.50573479171572</v>
      </c>
      <c r="BL25">
        <v>29.52294298601225</v>
      </c>
      <c r="BM25">
        <v>12.384923601460802</v>
      </c>
      <c r="BN25">
        <v>8.2076151510068502</v>
      </c>
      <c r="BO25">
        <v>3.1730931135886928</v>
      </c>
      <c r="BP25">
        <v>4.7630267451647077</v>
      </c>
      <c r="BQ25">
        <v>520.36367541162508</v>
      </c>
      <c r="BR25">
        <v>29.425728190993159</v>
      </c>
      <c r="BS25">
        <v>12.337632123242848</v>
      </c>
      <c r="BU25">
        <v>29</v>
      </c>
      <c r="BV25">
        <v>6.8323082088653138</v>
      </c>
      <c r="BW25">
        <v>2.594031501931243</v>
      </c>
      <c r="BX25">
        <v>3.9025597246393842</v>
      </c>
      <c r="BY25">
        <v>439.12576018484111</v>
      </c>
      <c r="BZ25">
        <v>28.055869553693377</v>
      </c>
      <c r="CA25">
        <v>11.618774758680178</v>
      </c>
      <c r="CB25">
        <v>6.9313584309184195</v>
      </c>
      <c r="CC25">
        <v>2.5925547419345247</v>
      </c>
      <c r="CD25">
        <v>4.0073944666015322</v>
      </c>
      <c r="CE25">
        <v>451.90076229459942</v>
      </c>
      <c r="CF25">
        <v>27.976290837295743</v>
      </c>
      <c r="CG25">
        <v>11.512988285460759</v>
      </c>
      <c r="CH25">
        <v>7.4473026126708834</v>
      </c>
      <c r="CI25">
        <v>2.7656916877850084</v>
      </c>
      <c r="CJ25">
        <v>4.2170434512735433</v>
      </c>
      <c r="CK25">
        <v>479.97664650950833</v>
      </c>
      <c r="CL25">
        <v>28.428909058046962</v>
      </c>
      <c r="CM25">
        <v>11.663755312568062</v>
      </c>
      <c r="CN25">
        <v>7.6535580139077819</v>
      </c>
      <c r="CO25">
        <v>2.7792337363107866</v>
      </c>
      <c r="CP25">
        <v>4.3910621543991182</v>
      </c>
      <c r="CQ25">
        <v>500.65845596351124</v>
      </c>
      <c r="CR25">
        <v>28.474120617615355</v>
      </c>
      <c r="CS25">
        <v>11.578090429920996</v>
      </c>
      <c r="CT25">
        <v>7.7745304322137772</v>
      </c>
      <c r="CU25">
        <v>2.7925338279816878</v>
      </c>
      <c r="CV25">
        <v>4.5487708094838482</v>
      </c>
      <c r="CW25">
        <v>524.3974772965804</v>
      </c>
      <c r="CX25">
        <v>28.373506735846806</v>
      </c>
      <c r="CY25">
        <v>11.517020148638991</v>
      </c>
      <c r="DA25">
        <v>29</v>
      </c>
      <c r="DB25">
        <v>6.5929130261434805</v>
      </c>
      <c r="DC25">
        <v>2.3129364365543208</v>
      </c>
      <c r="DD25">
        <v>3.8839557974427632</v>
      </c>
      <c r="DE25">
        <v>438.84955721081599</v>
      </c>
      <c r="DF25">
        <v>27.528021081919789</v>
      </c>
      <c r="DG25">
        <v>10.985560207889247</v>
      </c>
      <c r="DH25">
        <v>6.7168465855206589</v>
      </c>
      <c r="DI25">
        <v>2.3969315673179268</v>
      </c>
      <c r="DJ25">
        <v>3.9737480668520044</v>
      </c>
      <c r="DK25">
        <v>451.39502469094282</v>
      </c>
      <c r="DL25">
        <v>27.532415357614305</v>
      </c>
      <c r="DM25">
        <v>11.092512619739512</v>
      </c>
      <c r="DN25">
        <v>7.1830718919487007</v>
      </c>
      <c r="DO25">
        <v>2.424133033766136</v>
      </c>
      <c r="DP25">
        <v>4.1670390514447959</v>
      </c>
      <c r="DQ25">
        <v>479.03608904815479</v>
      </c>
      <c r="DR25">
        <v>27.933139107475199</v>
      </c>
      <c r="DS25">
        <v>10.973644004693295</v>
      </c>
      <c r="DT25">
        <v>7.295752794838462</v>
      </c>
      <c r="DU25">
        <v>2.3775506365015331</v>
      </c>
      <c r="DV25">
        <v>4.3052431925458681</v>
      </c>
      <c r="DW25">
        <v>497.49062177229143</v>
      </c>
      <c r="DX25">
        <v>27.936213138558582</v>
      </c>
      <c r="DY25">
        <v>10.844396942843801</v>
      </c>
      <c r="DZ25">
        <v>7.3929634146506471</v>
      </c>
      <c r="EA25">
        <v>2.4154745544426128</v>
      </c>
      <c r="EB25">
        <v>4.4497396014480213</v>
      </c>
      <c r="EC25">
        <v>520.93448286362741</v>
      </c>
      <c r="ED25">
        <v>27.829657689540337</v>
      </c>
      <c r="EE25">
        <v>10.869768127565935</v>
      </c>
      <c r="EG25">
        <v>29</v>
      </c>
      <c r="EH25">
        <v>6.3702161204838026</v>
      </c>
      <c r="EI25">
        <v>2.1222171480499599</v>
      </c>
      <c r="EJ25">
        <v>3.6242944001733561</v>
      </c>
      <c r="EK25">
        <v>439.978484103131</v>
      </c>
      <c r="EL25">
        <v>26.951233720445572</v>
      </c>
      <c r="EM25">
        <v>10.523898580811633</v>
      </c>
      <c r="EN25">
        <v>6.4577254708159391</v>
      </c>
      <c r="EO25">
        <v>2.1610727956776414</v>
      </c>
      <c r="EP25">
        <v>3.7214354350022987</v>
      </c>
      <c r="EQ25">
        <v>451.08053974009169</v>
      </c>
      <c r="ER25">
        <v>26.97716510328393</v>
      </c>
      <c r="ES25">
        <v>10.577371036624132</v>
      </c>
      <c r="ET25">
        <v>6.5128437457225363</v>
      </c>
      <c r="EU25">
        <v>2.1939843997907413</v>
      </c>
      <c r="EV25">
        <v>3.8974173404584849</v>
      </c>
      <c r="EW25">
        <v>477.53128754953866</v>
      </c>
      <c r="EX25">
        <v>26.617635112208681</v>
      </c>
      <c r="EY25">
        <v>10.526269175856159</v>
      </c>
      <c r="EZ25">
        <v>6.6522305882077459</v>
      </c>
      <c r="FA25">
        <v>2.1695413628627809</v>
      </c>
      <c r="FB25">
        <v>4.0245703005240374</v>
      </c>
      <c r="FC25">
        <v>493.82003798489916</v>
      </c>
      <c r="FD25">
        <v>26.840712846973151</v>
      </c>
      <c r="FE25">
        <v>10.503778917859066</v>
      </c>
      <c r="FF25">
        <v>6.7229549826327393</v>
      </c>
      <c r="FG25">
        <v>2.1930489152782404</v>
      </c>
      <c r="FH25">
        <v>4.1593155928790768</v>
      </c>
      <c r="FI25">
        <v>505.22752465715877</v>
      </c>
      <c r="FJ25">
        <v>27.368698714777423</v>
      </c>
      <c r="FK25">
        <v>10.767448592410425</v>
      </c>
      <c r="FN25">
        <v>29</v>
      </c>
      <c r="FO25">
        <v>7.5132900924722783</v>
      </c>
      <c r="FP25">
        <v>2.8705774038349832</v>
      </c>
      <c r="FQ25">
        <v>4.226697555940512</v>
      </c>
      <c r="FR25">
        <v>457.46496644877305</v>
      </c>
      <c r="FS25">
        <v>29.218101711046632</v>
      </c>
      <c r="FT25">
        <v>12.122385346412448</v>
      </c>
      <c r="FU25">
        <v>7.6052676596380913</v>
      </c>
      <c r="FV25">
        <v>2.9183422926484273</v>
      </c>
      <c r="FW25">
        <v>4.3073274851922569</v>
      </c>
      <c r="FX25">
        <v>466.21491094271289</v>
      </c>
      <c r="FY25">
        <v>29.315128725262557</v>
      </c>
      <c r="FZ25">
        <v>12.202123700802302</v>
      </c>
      <c r="GB25">
        <v>29</v>
      </c>
      <c r="GC25">
        <v>7.164114703179437</v>
      </c>
      <c r="GD25">
        <v>2.5676091573087261</v>
      </c>
      <c r="GE25">
        <v>4.0717786061615486</v>
      </c>
      <c r="GF25">
        <v>461.26191457293845</v>
      </c>
      <c r="GG25">
        <v>28.220588169955182</v>
      </c>
      <c r="GH25">
        <v>11.365773313635261</v>
      </c>
      <c r="GI25">
        <v>7.2196836809965257</v>
      </c>
      <c r="GJ25">
        <v>2.5826274031172725</v>
      </c>
      <c r="GK25">
        <v>4.1529680372229327</v>
      </c>
      <c r="GL25">
        <v>470.84497264524003</v>
      </c>
      <c r="GM25">
        <v>28.207938750336684</v>
      </c>
      <c r="GN25">
        <v>11.369128770508649</v>
      </c>
      <c r="GP25">
        <v>29</v>
      </c>
      <c r="GQ25">
        <v>6.9297822926087429</v>
      </c>
      <c r="GR25">
        <v>2.4122055498300559</v>
      </c>
      <c r="GS25">
        <v>4.0279120914821256</v>
      </c>
      <c r="GT25">
        <v>460.85825618356199</v>
      </c>
      <c r="GU25">
        <v>27.736836538273543</v>
      </c>
      <c r="GV25">
        <v>11.038523631753032</v>
      </c>
      <c r="GW25">
        <v>6.9937325089491731</v>
      </c>
      <c r="GX25">
        <v>2.4190875083486376</v>
      </c>
      <c r="GY25">
        <v>4.1158481419625712</v>
      </c>
      <c r="GZ25">
        <v>470.91918081530213</v>
      </c>
      <c r="HA25">
        <v>27.723684889263485</v>
      </c>
      <c r="HB25">
        <v>11.020059155791962</v>
      </c>
      <c r="HD25">
        <v>29</v>
      </c>
      <c r="HE25">
        <v>6.4572423468242963</v>
      </c>
      <c r="HF25">
        <v>2.1714247095113546</v>
      </c>
      <c r="HG25">
        <v>3.7432396099812522</v>
      </c>
      <c r="HH25">
        <v>461.64839194904209</v>
      </c>
      <c r="HI25">
        <v>26.66577072069957</v>
      </c>
      <c r="HJ25">
        <v>10.498063019327054</v>
      </c>
      <c r="HK25">
        <v>6.5458498727392245</v>
      </c>
      <c r="HL25">
        <v>2.1872957948934095</v>
      </c>
      <c r="HM25">
        <v>3.8707490955441433</v>
      </c>
      <c r="HN25">
        <v>471.12122848644032</v>
      </c>
      <c r="HO25">
        <v>26.761121296801115</v>
      </c>
      <c r="HP25">
        <v>10.523332885368349</v>
      </c>
    </row>
    <row r="26" spans="2:224" x14ac:dyDescent="0.25">
      <c r="B26">
        <v>596.02378934832541</v>
      </c>
      <c r="C26">
        <v>1.6777853801664027</v>
      </c>
      <c r="D26">
        <v>621.2911368689621</v>
      </c>
      <c r="E26">
        <v>1.609551369168996</v>
      </c>
      <c r="F26">
        <v>677.03825970215905</v>
      </c>
      <c r="G26">
        <v>1.4770214026603421</v>
      </c>
      <c r="H26">
        <v>723.29531678206706</v>
      </c>
      <c r="I26">
        <v>1.3825611431427332</v>
      </c>
      <c r="J26">
        <v>779.89115764781764</v>
      </c>
      <c r="K26">
        <v>1.2822302063483311</v>
      </c>
      <c r="L26">
        <v>638.99613130103455</v>
      </c>
      <c r="M26">
        <v>1.5649547016254071</v>
      </c>
      <c r="N26">
        <v>659.89860679035303</v>
      </c>
      <c r="O26">
        <v>1.515384317696697</v>
      </c>
      <c r="Q26">
        <v>5.1763477958966304E-2</v>
      </c>
      <c r="R26">
        <v>5.2051319006822395E-2</v>
      </c>
      <c r="S26">
        <v>5.2293204378288868E-2</v>
      </c>
      <c r="T26">
        <v>5.2723191755459926E-2</v>
      </c>
      <c r="U26">
        <v>5.2917312366270834E-2</v>
      </c>
      <c r="V26">
        <v>5.2262146856469155E-2</v>
      </c>
      <c r="W26">
        <v>5.202313556049367E-2</v>
      </c>
      <c r="Y26">
        <v>1.0775968291674969</v>
      </c>
      <c r="Z26">
        <v>1.0794109252263708</v>
      </c>
      <c r="AA26">
        <v>1.0976776892226918</v>
      </c>
      <c r="AB26">
        <v>1.1013451981878446</v>
      </c>
      <c r="AC26">
        <v>1.1209900243988045</v>
      </c>
      <c r="AD26">
        <v>1.0951584065126363</v>
      </c>
      <c r="AE26">
        <v>1.084583605596757</v>
      </c>
      <c r="AG26">
        <v>0.45881460675689423</v>
      </c>
      <c r="AH26">
        <v>0.45966649955794436</v>
      </c>
      <c r="AI26">
        <v>0.46933115327960501</v>
      </c>
      <c r="AJ26">
        <v>0.46807892097491227</v>
      </c>
      <c r="AK26">
        <v>0.47757497498517476</v>
      </c>
      <c r="AL26">
        <v>0.46738386358797546</v>
      </c>
      <c r="AM26">
        <v>0.4625704086537244</v>
      </c>
      <c r="AO26">
        <v>30</v>
      </c>
      <c r="AP26">
        <v>7.3641550523999699</v>
      </c>
      <c r="AQ26">
        <v>3.0344342730152047</v>
      </c>
      <c r="AR26">
        <v>4.1397224453263552</v>
      </c>
      <c r="AS26">
        <v>446.89329910754611</v>
      </c>
      <c r="AT26">
        <v>28.940692030735203</v>
      </c>
      <c r="AU26">
        <v>12.485651220481703</v>
      </c>
      <c r="AV26">
        <v>7.5256603387943608</v>
      </c>
      <c r="AW26">
        <v>3.0633989558166088</v>
      </c>
      <c r="AX26">
        <v>4.266200970611151</v>
      </c>
      <c r="AY26">
        <v>460.55147542881349</v>
      </c>
      <c r="AZ26">
        <v>28.945743164291503</v>
      </c>
      <c r="BA26">
        <v>12.412559856621538</v>
      </c>
      <c r="BB26">
        <v>8.0868911078358519</v>
      </c>
      <c r="BC26">
        <v>3.1783958824107907</v>
      </c>
      <c r="BD26">
        <v>4.5072215403139069</v>
      </c>
      <c r="BE26">
        <v>489.94780490088067</v>
      </c>
      <c r="BF26">
        <v>29.417698094205544</v>
      </c>
      <c r="BG26">
        <v>12.388437522843466</v>
      </c>
      <c r="BH26">
        <v>8.3213373461166036</v>
      </c>
      <c r="BI26">
        <v>3.2342829651346658</v>
      </c>
      <c r="BJ26">
        <v>4.6928092011195082</v>
      </c>
      <c r="BK26">
        <v>511.74805052678943</v>
      </c>
      <c r="BL26">
        <v>29.467252040540657</v>
      </c>
      <c r="BM26">
        <v>12.355915394193525</v>
      </c>
      <c r="BN26">
        <v>8.5096419516427826</v>
      </c>
      <c r="BO26">
        <v>3.2894237385004037</v>
      </c>
      <c r="BP26">
        <v>4.9213529480396838</v>
      </c>
      <c r="BQ26">
        <v>538.92230749522037</v>
      </c>
      <c r="BR26">
        <v>29.312100666465902</v>
      </c>
      <c r="BS26">
        <v>12.283679549290358</v>
      </c>
      <c r="BU26">
        <v>30</v>
      </c>
      <c r="BV26">
        <v>7.045514007432268</v>
      </c>
      <c r="BW26">
        <v>2.6703555597841691</v>
      </c>
      <c r="BX26">
        <v>4.0021529231471664</v>
      </c>
      <c r="BY26">
        <v>451.0026789330239</v>
      </c>
      <c r="BZ26">
        <v>27.970477525647638</v>
      </c>
      <c r="CA26">
        <v>11.564621222506632</v>
      </c>
      <c r="CB26">
        <v>7.1542492277701228</v>
      </c>
      <c r="CC26">
        <v>2.669710610520299</v>
      </c>
      <c r="CD26">
        <v>4.1154908311867811</v>
      </c>
      <c r="CE26">
        <v>464.68513764566933</v>
      </c>
      <c r="CF26">
        <v>27.888978064445059</v>
      </c>
      <c r="CG26">
        <v>11.454927173887866</v>
      </c>
      <c r="CH26">
        <v>7.7110261240004245</v>
      </c>
      <c r="CI26">
        <v>2.8565384706598138</v>
      </c>
      <c r="CJ26">
        <v>4.3423846078772126</v>
      </c>
      <c r="CK26">
        <v>494.77765715846743</v>
      </c>
      <c r="CL26">
        <v>28.370868044596325</v>
      </c>
      <c r="CM26">
        <v>11.61699659545655</v>
      </c>
      <c r="CN26">
        <v>7.9414687307050809</v>
      </c>
      <c r="CO26">
        <v>2.8742640374552169</v>
      </c>
      <c r="CP26">
        <v>4.5334329609946806</v>
      </c>
      <c r="CQ26">
        <v>517.18727137883195</v>
      </c>
      <c r="CR26">
        <v>28.422857607315763</v>
      </c>
      <c r="CS26">
        <v>11.529859719623985</v>
      </c>
      <c r="CT26">
        <v>8.0655482200571171</v>
      </c>
      <c r="CU26">
        <v>2.8864003155409539</v>
      </c>
      <c r="CV26">
        <v>4.6994799048881815</v>
      </c>
      <c r="CW26">
        <v>543.24506592781711</v>
      </c>
      <c r="CX26">
        <v>28.261372555491032</v>
      </c>
      <c r="CY26">
        <v>11.444053327309968</v>
      </c>
      <c r="DA26">
        <v>30</v>
      </c>
      <c r="DB26">
        <v>6.8059342553615618</v>
      </c>
      <c r="DC26">
        <v>2.3813653412122426</v>
      </c>
      <c r="DD26">
        <v>3.9866642785407005</v>
      </c>
      <c r="DE26">
        <v>450.71763343031415</v>
      </c>
      <c r="DF26">
        <v>27.456615018248783</v>
      </c>
      <c r="DG26">
        <v>10.930757015491794</v>
      </c>
      <c r="DH26">
        <v>6.9362759703755978</v>
      </c>
      <c r="DI26">
        <v>2.4705006925852571</v>
      </c>
      <c r="DJ26">
        <v>4.0816829452297911</v>
      </c>
      <c r="DK26">
        <v>463.92635468429933</v>
      </c>
      <c r="DL26">
        <v>27.464747851951245</v>
      </c>
      <c r="DM26">
        <v>11.044262609462747</v>
      </c>
      <c r="DN26">
        <v>7.4435803599752726</v>
      </c>
      <c r="DO26">
        <v>2.502541571762201</v>
      </c>
      <c r="DP26">
        <v>4.2921468352257639</v>
      </c>
      <c r="DQ26">
        <v>493.73906299066005</v>
      </c>
      <c r="DR26">
        <v>27.888872667327782</v>
      </c>
      <c r="DS26">
        <v>10.924461652170926</v>
      </c>
      <c r="DT26">
        <v>7.5644339018506708</v>
      </c>
      <c r="DU26">
        <v>2.4538689872018633</v>
      </c>
      <c r="DV26">
        <v>4.4400385787898973</v>
      </c>
      <c r="DW26">
        <v>513.45830986641477</v>
      </c>
      <c r="DX26">
        <v>27.894972321294524</v>
      </c>
      <c r="DY26">
        <v>10.794842601654869</v>
      </c>
      <c r="DZ26">
        <v>7.6630595644809745</v>
      </c>
      <c r="EA26">
        <v>2.4927113744812477</v>
      </c>
      <c r="EB26">
        <v>4.5913795063666933</v>
      </c>
      <c r="EC26">
        <v>539.14165818565618</v>
      </c>
      <c r="ED26">
        <v>27.72993389502458</v>
      </c>
      <c r="EE26">
        <v>10.800939743392988</v>
      </c>
      <c r="EG26">
        <v>30</v>
      </c>
      <c r="EH26">
        <v>6.5746240063910966</v>
      </c>
      <c r="EI26">
        <v>2.1860542237984677</v>
      </c>
      <c r="EJ26">
        <v>3.7159474139686028</v>
      </c>
      <c r="EK26">
        <v>451.71290870974588</v>
      </c>
      <c r="EL26">
        <v>26.884045286084692</v>
      </c>
      <c r="EM26">
        <v>10.474294015030457</v>
      </c>
      <c r="EN26">
        <v>6.6705617086031959</v>
      </c>
      <c r="EO26">
        <v>2.2270882984312412</v>
      </c>
      <c r="EP26">
        <v>3.8187296055842799</v>
      </c>
      <c r="EQ26">
        <v>463.54033205538531</v>
      </c>
      <c r="ER26">
        <v>26.914391755701889</v>
      </c>
      <c r="ES26">
        <v>10.528344053235539</v>
      </c>
      <c r="ET26">
        <v>6.719188457712284</v>
      </c>
      <c r="EU26">
        <v>2.2649466163240839</v>
      </c>
      <c r="EV26">
        <v>4.0105447977274249</v>
      </c>
      <c r="EW26">
        <v>491.87685460182757</v>
      </c>
      <c r="EX26">
        <v>26.521747942235432</v>
      </c>
      <c r="EY26">
        <v>10.482783355513057</v>
      </c>
      <c r="EZ26">
        <v>6.8835199398767779</v>
      </c>
      <c r="FA26">
        <v>2.2398223570211027</v>
      </c>
      <c r="FB26">
        <v>4.1465189184798872</v>
      </c>
      <c r="FC26">
        <v>509.64691902623275</v>
      </c>
      <c r="FD26">
        <v>26.767534288157304</v>
      </c>
      <c r="FE26">
        <v>10.4555817143371</v>
      </c>
      <c r="FF26">
        <v>6.9595905871677584</v>
      </c>
      <c r="FG26">
        <v>2.2634160888725083</v>
      </c>
      <c r="FH26">
        <v>4.2876822356717987</v>
      </c>
      <c r="FI26">
        <v>523.34485060656584</v>
      </c>
      <c r="FJ26">
        <v>27.222764392764287</v>
      </c>
      <c r="FK26">
        <v>10.68882453151882</v>
      </c>
      <c r="FN26">
        <v>30</v>
      </c>
      <c r="FO26">
        <v>7.7684334453335229</v>
      </c>
      <c r="FP26">
        <v>2.9667047364059971</v>
      </c>
      <c r="FQ26">
        <v>4.3503016166025903</v>
      </c>
      <c r="FR26">
        <v>471.43455726463384</v>
      </c>
      <c r="FS26">
        <v>29.143415739245555</v>
      </c>
      <c r="FT26">
        <v>12.081290239251484</v>
      </c>
      <c r="FU26">
        <v>7.8492467535037376</v>
      </c>
      <c r="FV26">
        <v>3.009181879084712</v>
      </c>
      <c r="FW26">
        <v>4.4236126685091817</v>
      </c>
      <c r="FX26">
        <v>479.45212554349928</v>
      </c>
      <c r="FY26">
        <v>29.231989157343353</v>
      </c>
      <c r="FZ26">
        <v>12.154037012094175</v>
      </c>
      <c r="GB26">
        <v>30</v>
      </c>
      <c r="GC26">
        <v>7.4113507334050244</v>
      </c>
      <c r="GD26">
        <v>2.6441787520554314</v>
      </c>
      <c r="GE26">
        <v>4.1921847056049701</v>
      </c>
      <c r="GF26">
        <v>475.50550053705575</v>
      </c>
      <c r="GG26">
        <v>28.142956430929939</v>
      </c>
      <c r="GH26">
        <v>11.299578500580951</v>
      </c>
      <c r="GI26">
        <v>7.4593726222219923</v>
      </c>
      <c r="GJ26">
        <v>2.656878851133218</v>
      </c>
      <c r="GK26">
        <v>4.2660732125648231</v>
      </c>
      <c r="GL26">
        <v>484.3506945743319</v>
      </c>
      <c r="GM26">
        <v>28.131404283513401</v>
      </c>
      <c r="GN26">
        <v>11.303743161229619</v>
      </c>
      <c r="GP26">
        <v>30</v>
      </c>
      <c r="GQ26">
        <v>7.1719735663559012</v>
      </c>
      <c r="GR26">
        <v>2.4886882899955247</v>
      </c>
      <c r="GS26">
        <v>4.1471417841219811</v>
      </c>
      <c r="GT26">
        <v>474.87049534756778</v>
      </c>
      <c r="GU26">
        <v>27.676500321657823</v>
      </c>
      <c r="GV26">
        <v>10.987250881733088</v>
      </c>
      <c r="GW26">
        <v>7.2307293660989007</v>
      </c>
      <c r="GX26">
        <v>2.494492491399273</v>
      </c>
      <c r="GY26">
        <v>4.2292993591139778</v>
      </c>
      <c r="GZ26">
        <v>484.25633244110259</v>
      </c>
      <c r="HA26">
        <v>27.664732602288357</v>
      </c>
      <c r="HB26">
        <v>10.97061439530812</v>
      </c>
      <c r="HD26">
        <v>30</v>
      </c>
      <c r="HE26">
        <v>6.6715615798816481</v>
      </c>
      <c r="HF26">
        <v>2.2409277633962037</v>
      </c>
      <c r="HG26">
        <v>3.8526104939037982</v>
      </c>
      <c r="HH26">
        <v>475.47894182088771</v>
      </c>
      <c r="HI26">
        <v>26.588646349601891</v>
      </c>
      <c r="HJ26">
        <v>10.452115340976286</v>
      </c>
      <c r="HK26">
        <v>6.7535013301252036</v>
      </c>
      <c r="HL26">
        <v>2.2551688042352969</v>
      </c>
      <c r="HM26">
        <v>3.9721105089170861</v>
      </c>
      <c r="HN26">
        <v>484.26871061700683</v>
      </c>
      <c r="HO26">
        <v>26.678564253125923</v>
      </c>
      <c r="HP26">
        <v>10.476137923653276</v>
      </c>
    </row>
    <row r="27" spans="2:224" x14ac:dyDescent="0.25">
      <c r="B27">
        <v>604.53989126332829</v>
      </c>
      <c r="C27">
        <v>1.6541505605366502</v>
      </c>
      <c r="D27">
        <v>631.1419032470842</v>
      </c>
      <c r="E27">
        <v>1.5844297373621103</v>
      </c>
      <c r="F27">
        <v>690.45811891375786</v>
      </c>
      <c r="G27">
        <v>1.4483137682169911</v>
      </c>
      <c r="H27">
        <v>739.64841676084745</v>
      </c>
      <c r="I27">
        <v>1.3519937004385325</v>
      </c>
      <c r="J27">
        <v>799.03831828670593</v>
      </c>
      <c r="K27">
        <v>1.2515044361629555</v>
      </c>
      <c r="L27">
        <v>651.31797151271792</v>
      </c>
      <c r="M27">
        <v>1.5353483916272892</v>
      </c>
      <c r="N27">
        <v>670.7946992238036</v>
      </c>
      <c r="O27">
        <v>1.4907690850227791</v>
      </c>
      <c r="Q27">
        <v>5.3391654198714215E-2</v>
      </c>
      <c r="R27">
        <v>5.3693023472161171E-2</v>
      </c>
      <c r="S27">
        <v>5.3962572225318146E-2</v>
      </c>
      <c r="T27">
        <v>5.441849172372646E-2</v>
      </c>
      <c r="U27">
        <v>5.4629170325224831E-2</v>
      </c>
      <c r="V27">
        <v>5.39277587280124E-2</v>
      </c>
      <c r="W27">
        <v>5.3668218638577299E-2</v>
      </c>
      <c r="Y27">
        <v>1.1070603479320273</v>
      </c>
      <c r="Z27">
        <v>1.1086396317898373</v>
      </c>
      <c r="AA27">
        <v>1.1289909529105291</v>
      </c>
      <c r="AB27">
        <v>1.1330569590771638</v>
      </c>
      <c r="AC27">
        <v>1.1532922611448484</v>
      </c>
      <c r="AD27">
        <v>1.1251138080365823</v>
      </c>
      <c r="AE27">
        <v>1.1150301627562265</v>
      </c>
      <c r="AG27">
        <v>0.46861281934798255</v>
      </c>
      <c r="AH27">
        <v>0.46941044860142439</v>
      </c>
      <c r="AI27">
        <v>0.48002107197213045</v>
      </c>
      <c r="AJ27">
        <v>0.47879446238242046</v>
      </c>
      <c r="AK27">
        <v>0.48862522613160242</v>
      </c>
      <c r="AL27">
        <v>0.47743938229537913</v>
      </c>
      <c r="AM27">
        <v>0.47288770225950838</v>
      </c>
      <c r="AO27">
        <v>31</v>
      </c>
      <c r="AP27">
        <v>7.5772953502857483</v>
      </c>
      <c r="AQ27">
        <v>3.1305555152920079</v>
      </c>
      <c r="AR27">
        <v>4.2397084747951608</v>
      </c>
      <c r="AS27">
        <v>458.39831142148694</v>
      </c>
      <c r="AT27">
        <v>28.852890084250703</v>
      </c>
      <c r="AU27">
        <v>12.461309255739758</v>
      </c>
      <c r="AV27">
        <v>7.751927050934416</v>
      </c>
      <c r="AW27">
        <v>3.1613022019549479</v>
      </c>
      <c r="AX27">
        <v>4.3754324243644884</v>
      </c>
      <c r="AY27">
        <v>472.95234118079088</v>
      </c>
      <c r="AZ27">
        <v>28.859814840535019</v>
      </c>
      <c r="BA27">
        <v>12.383052561173129</v>
      </c>
      <c r="BB27">
        <v>8.3536566236137713</v>
      </c>
      <c r="BC27">
        <v>3.2849971265498921</v>
      </c>
      <c r="BD27">
        <v>4.6342996449756031</v>
      </c>
      <c r="BE27">
        <v>504.33166738371779</v>
      </c>
      <c r="BF27">
        <v>29.356271367110885</v>
      </c>
      <c r="BG27">
        <v>12.360117213556407</v>
      </c>
      <c r="BH27">
        <v>8.6125929161594819</v>
      </c>
      <c r="BI27">
        <v>3.3479949375074978</v>
      </c>
      <c r="BJ27">
        <v>4.8363738596286918</v>
      </c>
      <c r="BK27">
        <v>527.80848297644752</v>
      </c>
      <c r="BL27">
        <v>29.411932970136753</v>
      </c>
      <c r="BM27">
        <v>12.327697850917348</v>
      </c>
      <c r="BN27">
        <v>8.8080395600895027</v>
      </c>
      <c r="BO27">
        <v>3.4045411516289148</v>
      </c>
      <c r="BP27">
        <v>5.0772051018551121</v>
      </c>
      <c r="BQ27">
        <v>557.3350743754761</v>
      </c>
      <c r="BR27">
        <v>29.200124582858276</v>
      </c>
      <c r="BS27">
        <v>12.231123794803191</v>
      </c>
      <c r="BU27">
        <v>31</v>
      </c>
      <c r="BV27">
        <v>7.2562632601896482</v>
      </c>
      <c r="BW27">
        <v>2.7459370931943092</v>
      </c>
      <c r="BX27">
        <v>4.1003514856638992</v>
      </c>
      <c r="BY27">
        <v>462.77578129568229</v>
      </c>
      <c r="BZ27">
        <v>27.886256208184573</v>
      </c>
      <c r="CA27">
        <v>11.512323924813089</v>
      </c>
      <c r="CB27">
        <v>7.3746290257860583</v>
      </c>
      <c r="CC27">
        <v>2.7461607395188894</v>
      </c>
      <c r="CD27">
        <v>4.2220561366123279</v>
      </c>
      <c r="CE27">
        <v>477.36138187221451</v>
      </c>
      <c r="CF27">
        <v>27.802875292663739</v>
      </c>
      <c r="CG27">
        <v>11.399020624571996</v>
      </c>
      <c r="CH27">
        <v>7.9715132224288539</v>
      </c>
      <c r="CI27">
        <v>2.9464750199116514</v>
      </c>
      <c r="CJ27">
        <v>4.4658268832578107</v>
      </c>
      <c r="CK27">
        <v>509.41314783311225</v>
      </c>
      <c r="CL27">
        <v>28.313273708993755</v>
      </c>
      <c r="CM27">
        <v>11.572289489991977</v>
      </c>
      <c r="CN27">
        <v>8.2258505720521757</v>
      </c>
      <c r="CO27">
        <v>2.9683774966748082</v>
      </c>
      <c r="CP27">
        <v>4.6736010285253267</v>
      </c>
      <c r="CQ27">
        <v>533.52516809113899</v>
      </c>
      <c r="CR27">
        <v>28.37190498889407</v>
      </c>
      <c r="CS27">
        <v>11.484080652415182</v>
      </c>
      <c r="CT27">
        <v>8.3530211637267922</v>
      </c>
      <c r="CU27">
        <v>2.9793807973465016</v>
      </c>
      <c r="CV27">
        <v>4.8478374521767611</v>
      </c>
      <c r="CW27">
        <v>561.94383720703934</v>
      </c>
      <c r="CX27">
        <v>28.1509185836474</v>
      </c>
      <c r="CY27">
        <v>11.374221963813381</v>
      </c>
      <c r="DA27">
        <v>31</v>
      </c>
      <c r="DB27">
        <v>7.0155742660146387</v>
      </c>
      <c r="DC27">
        <v>2.4491580069879357</v>
      </c>
      <c r="DD27">
        <v>4.0877000930113878</v>
      </c>
      <c r="DE27">
        <v>462.45673044592706</v>
      </c>
      <c r="DF27">
        <v>27.385037726161858</v>
      </c>
      <c r="DG27">
        <v>10.878521776030704</v>
      </c>
      <c r="DH27">
        <v>7.1523757200251215</v>
      </c>
      <c r="DI27">
        <v>2.5434432100538102</v>
      </c>
      <c r="DJ27">
        <v>4.1879404715353328</v>
      </c>
      <c r="DK27">
        <v>476.32426567900785</v>
      </c>
      <c r="DL27">
        <v>27.396810543261378</v>
      </c>
      <c r="DM27">
        <v>10.998252840221321</v>
      </c>
      <c r="DN27">
        <v>7.7000053408523055</v>
      </c>
      <c r="DO27">
        <v>2.5802513749620082</v>
      </c>
      <c r="DP27">
        <v>4.4151965003440248</v>
      </c>
      <c r="DQ27">
        <v>508.25079517920375</v>
      </c>
      <c r="DR27">
        <v>27.843824620073132</v>
      </c>
      <c r="DS27">
        <v>10.878197976716979</v>
      </c>
      <c r="DT27">
        <v>7.8292644239552782</v>
      </c>
      <c r="DU27">
        <v>2.5297059510044804</v>
      </c>
      <c r="DV27">
        <v>4.5727796295143568</v>
      </c>
      <c r="DW27">
        <v>529.2280995726951</v>
      </c>
      <c r="DX27">
        <v>27.852903581783202</v>
      </c>
      <c r="DY27">
        <v>10.748436296890771</v>
      </c>
      <c r="DZ27">
        <v>7.9293430178714646</v>
      </c>
      <c r="EA27">
        <v>2.5694854239835094</v>
      </c>
      <c r="EB27">
        <v>4.7308751725281821</v>
      </c>
      <c r="EC27">
        <v>557.19285020888299</v>
      </c>
      <c r="ED27">
        <v>27.630571817586834</v>
      </c>
      <c r="EE27">
        <v>10.735562310220617</v>
      </c>
      <c r="EG27">
        <v>31</v>
      </c>
      <c r="EH27">
        <v>6.7755801083341574</v>
      </c>
      <c r="EI27">
        <v>2.2492882794853171</v>
      </c>
      <c r="EJ27">
        <v>3.8061291285046877</v>
      </c>
      <c r="EK27">
        <v>463.31390385323982</v>
      </c>
      <c r="EL27">
        <v>26.816378159534519</v>
      </c>
      <c r="EM27">
        <v>10.427003905878095</v>
      </c>
      <c r="EN27">
        <v>6.8799814718080894</v>
      </c>
      <c r="EO27">
        <v>2.2925440099552628</v>
      </c>
      <c r="EP27">
        <v>3.9145291440415204</v>
      </c>
      <c r="EQ27">
        <v>475.86100053553582</v>
      </c>
      <c r="ER27">
        <v>26.851058190036884</v>
      </c>
      <c r="ES27">
        <v>10.481706847500858</v>
      </c>
      <c r="ET27">
        <v>6.9228031808620267</v>
      </c>
      <c r="EU27">
        <v>2.3352764753118547</v>
      </c>
      <c r="EV27">
        <v>4.1218301812454943</v>
      </c>
      <c r="EW27">
        <v>506.09822991977785</v>
      </c>
      <c r="EX27">
        <v>26.426577002871909</v>
      </c>
      <c r="EY27">
        <v>10.440419586076423</v>
      </c>
      <c r="EZ27">
        <v>7.1116255198761538</v>
      </c>
      <c r="FA27">
        <v>2.3096531104062885</v>
      </c>
      <c r="FB27">
        <v>4.2666277039802623</v>
      </c>
      <c r="FC27">
        <v>525.31498929488862</v>
      </c>
      <c r="FD27">
        <v>26.694270317532624</v>
      </c>
      <c r="FE27">
        <v>10.40960525707332</v>
      </c>
      <c r="FF27">
        <v>7.1929320556212177</v>
      </c>
      <c r="FG27">
        <v>2.3333589658389498</v>
      </c>
      <c r="FH27">
        <v>4.4141243615485459</v>
      </c>
      <c r="FI27">
        <v>541.36402394473839</v>
      </c>
      <c r="FJ27">
        <v>27.078168207181385</v>
      </c>
      <c r="FK27">
        <v>10.613287640016569</v>
      </c>
      <c r="FN27">
        <v>31</v>
      </c>
      <c r="FO27">
        <v>8.0205467435926074</v>
      </c>
      <c r="FP27">
        <v>3.0621037616626681</v>
      </c>
      <c r="FQ27">
        <v>4.4720592935923156</v>
      </c>
      <c r="FR27">
        <v>485.26574080652085</v>
      </c>
      <c r="FS27">
        <v>29.069560620459701</v>
      </c>
      <c r="FT27">
        <v>12.041973433557514</v>
      </c>
      <c r="FU27">
        <v>8.0904786346942839</v>
      </c>
      <c r="FV27">
        <v>3.0994194695227093</v>
      </c>
      <c r="FW27">
        <v>4.5382379405944659</v>
      </c>
      <c r="FX27">
        <v>492.57047717286093</v>
      </c>
      <c r="FY27">
        <v>29.149908428642231</v>
      </c>
      <c r="FZ27">
        <v>12.108009937560592</v>
      </c>
      <c r="GB27">
        <v>31</v>
      </c>
      <c r="GC27">
        <v>7.6556107084717961</v>
      </c>
      <c r="GD27">
        <v>2.720277592887006</v>
      </c>
      <c r="GE27">
        <v>4.3107817724869228</v>
      </c>
      <c r="GF27">
        <v>489.60987751565398</v>
      </c>
      <c r="GG27">
        <v>28.066275754102371</v>
      </c>
      <c r="GH27">
        <v>11.236968947907231</v>
      </c>
      <c r="GI27">
        <v>7.696275875305755</v>
      </c>
      <c r="GJ27">
        <v>2.7307183721175208</v>
      </c>
      <c r="GK27">
        <v>4.377555430896015</v>
      </c>
      <c r="GL27">
        <v>497.72887544509763</v>
      </c>
      <c r="GM27">
        <v>28.055799520100994</v>
      </c>
      <c r="GN27">
        <v>11.241757131629333</v>
      </c>
      <c r="GP27">
        <v>31</v>
      </c>
      <c r="GQ27">
        <v>7.4104042896857081</v>
      </c>
      <c r="GR27">
        <v>2.5644938463444511</v>
      </c>
      <c r="GS27">
        <v>4.2644507191011325</v>
      </c>
      <c r="GT27">
        <v>488.71842043324347</v>
      </c>
      <c r="GU27">
        <v>27.615737101818684</v>
      </c>
      <c r="GV27">
        <v>10.938706257379025</v>
      </c>
      <c r="GW27">
        <v>7.4640812816101274</v>
      </c>
      <c r="GX27">
        <v>2.5692442330458727</v>
      </c>
      <c r="GY27">
        <v>4.3409583987370661</v>
      </c>
      <c r="GZ27">
        <v>497.43989240391551</v>
      </c>
      <c r="HA27">
        <v>27.605319076434533</v>
      </c>
      <c r="HB27">
        <v>10.923677572020869</v>
      </c>
      <c r="HD27">
        <v>31</v>
      </c>
      <c r="HE27">
        <v>6.8826852242418761</v>
      </c>
      <c r="HF27">
        <v>2.3098085404882811</v>
      </c>
      <c r="HG27">
        <v>3.9602241887915235</v>
      </c>
      <c r="HH27">
        <v>489.16832099599992</v>
      </c>
      <c r="HI27">
        <v>26.511529454015395</v>
      </c>
      <c r="HJ27">
        <v>10.407996019584791</v>
      </c>
      <c r="HK27">
        <v>6.9581054697023097</v>
      </c>
      <c r="HL27">
        <v>2.3224557920752531</v>
      </c>
      <c r="HM27">
        <v>4.0718916886409238</v>
      </c>
      <c r="HN27">
        <v>497.29073748629253</v>
      </c>
      <c r="HO27">
        <v>26.596134096734705</v>
      </c>
      <c r="HP27">
        <v>10.430688054497464</v>
      </c>
    </row>
    <row r="28" spans="2:224" x14ac:dyDescent="0.25">
      <c r="B28">
        <v>612.84979725489904</v>
      </c>
      <c r="C28">
        <v>1.6317211892363177</v>
      </c>
      <c r="D28">
        <v>640.76229527324688</v>
      </c>
      <c r="E28">
        <v>1.5606411416164236</v>
      </c>
      <c r="F28">
        <v>703.56278529093561</v>
      </c>
      <c r="G28">
        <v>1.4213372578916073</v>
      </c>
      <c r="H28">
        <v>755.63507172090397</v>
      </c>
      <c r="I28">
        <v>1.3233901355618296</v>
      </c>
      <c r="J28">
        <v>817.76406335766296</v>
      </c>
      <c r="K28">
        <v>1.2228465945227445</v>
      </c>
      <c r="L28">
        <v>663.35286131365842</v>
      </c>
      <c r="M28">
        <v>1.5074933090959595</v>
      </c>
      <c r="N28">
        <v>681.43394918434399</v>
      </c>
      <c r="O28">
        <v>1.467493659799266</v>
      </c>
      <c r="Q28">
        <v>5.5018063486718928E-2</v>
      </c>
      <c r="R28">
        <v>5.5332747722968999E-2</v>
      </c>
      <c r="S28">
        <v>5.5629399431414095E-2</v>
      </c>
      <c r="T28">
        <v>5.6110856078204666E-2</v>
      </c>
      <c r="U28">
        <v>5.6337825621383758E-2</v>
      </c>
      <c r="V28">
        <v>5.5590926841012217E-2</v>
      </c>
      <c r="W28">
        <v>5.5311241950911742E-2</v>
      </c>
      <c r="Y28">
        <v>1.1361129896308628</v>
      </c>
      <c r="Z28">
        <v>1.1374846782411761</v>
      </c>
      <c r="AA28">
        <v>1.1598673236688408</v>
      </c>
      <c r="AB28">
        <v>1.1643716005391054</v>
      </c>
      <c r="AC28">
        <v>1.1851967841134559</v>
      </c>
      <c r="AD28">
        <v>1.1546660374762274</v>
      </c>
      <c r="AE28">
        <v>1.1450623608526949</v>
      </c>
      <c r="AG28">
        <v>0.47829163769505795</v>
      </c>
      <c r="AH28">
        <v>0.47904526495912686</v>
      </c>
      <c r="AI28">
        <v>0.49057859569730555</v>
      </c>
      <c r="AJ28">
        <v>0.48939594114479379</v>
      </c>
      <c r="AK28">
        <v>0.49955958830831487</v>
      </c>
      <c r="AL28">
        <v>0.48737778505086499</v>
      </c>
      <c r="AM28">
        <v>0.48308192117098242</v>
      </c>
      <c r="AO28">
        <v>32</v>
      </c>
      <c r="AP28">
        <v>7.7880322409028651</v>
      </c>
      <c r="AQ28">
        <v>3.2256404792862123</v>
      </c>
      <c r="AR28">
        <v>4.3382895383274951</v>
      </c>
      <c r="AS28">
        <v>469.80327597832803</v>
      </c>
      <c r="AT28">
        <v>28.766297379067371</v>
      </c>
      <c r="AU28">
        <v>12.436727960859912</v>
      </c>
      <c r="AV28">
        <v>7.97567923353132</v>
      </c>
      <c r="AW28">
        <v>3.2581788468260511</v>
      </c>
      <c r="AX28">
        <v>4.4831058918152182</v>
      </c>
      <c r="AY28">
        <v>485.24555722192849</v>
      </c>
      <c r="AZ28">
        <v>28.775043712926848</v>
      </c>
      <c r="BA28">
        <v>12.353650929046681</v>
      </c>
      <c r="BB28">
        <v>8.6171742826245552</v>
      </c>
      <c r="BC28">
        <v>3.3904385658870289</v>
      </c>
      <c r="BD28">
        <v>4.7594314305059608</v>
      </c>
      <c r="BE28">
        <v>518.55571819720967</v>
      </c>
      <c r="BF28">
        <v>29.295337830226632</v>
      </c>
      <c r="BG28">
        <v>12.332336171519978</v>
      </c>
      <c r="BH28">
        <v>8.900302809166412</v>
      </c>
      <c r="BI28">
        <v>3.4605013757180969</v>
      </c>
      <c r="BJ28">
        <v>4.9776941169791984</v>
      </c>
      <c r="BK28">
        <v>543.6851141280963</v>
      </c>
      <c r="BL28">
        <v>29.356987168800831</v>
      </c>
      <c r="BM28">
        <v>12.300209764298616</v>
      </c>
      <c r="BN28">
        <v>9.1028076382104324</v>
      </c>
      <c r="BO28">
        <v>3.5184452394067969</v>
      </c>
      <c r="BP28">
        <v>5.2305830485867713</v>
      </c>
      <c r="BQ28">
        <v>575.598045878025</v>
      </c>
      <c r="BR28">
        <v>29.089735738562002</v>
      </c>
      <c r="BS28">
        <v>12.179865310837652</v>
      </c>
      <c r="BU28">
        <v>32</v>
      </c>
      <c r="BV28">
        <v>7.4645559371754286</v>
      </c>
      <c r="BW28">
        <v>2.8207760956056229</v>
      </c>
      <c r="BX28">
        <v>4.1971553943849536</v>
      </c>
      <c r="BY28">
        <v>474.44263329300782</v>
      </c>
      <c r="BZ28">
        <v>27.803202151478342</v>
      </c>
      <c r="CA28">
        <v>11.461767499769104</v>
      </c>
      <c r="CB28">
        <v>7.5924977744772884</v>
      </c>
      <c r="CC28">
        <v>2.8219051176651115</v>
      </c>
      <c r="CD28">
        <v>4.3270903526388294</v>
      </c>
      <c r="CE28">
        <v>489.92682202903876</v>
      </c>
      <c r="CF28">
        <v>27.717977565036463</v>
      </c>
      <c r="CG28">
        <v>11.3451239036267</v>
      </c>
      <c r="CH28">
        <v>8.2287637850441904</v>
      </c>
      <c r="CI28">
        <v>3.0355013052384878</v>
      </c>
      <c r="CJ28">
        <v>4.5873702207942788</v>
      </c>
      <c r="CK28">
        <v>523.88128506638793</v>
      </c>
      <c r="CL28">
        <v>28.256123806611697</v>
      </c>
      <c r="CM28">
        <v>11.529455913009016</v>
      </c>
      <c r="CN28">
        <v>8.5067033291255001</v>
      </c>
      <c r="CO28">
        <v>3.0615740628963684</v>
      </c>
      <c r="CP28">
        <v>4.8115662644142496</v>
      </c>
      <c r="CQ28">
        <v>549.67021519222396</v>
      </c>
      <c r="CR28">
        <v>28.321267933067105</v>
      </c>
      <c r="CS28">
        <v>11.440520993995184</v>
      </c>
      <c r="CT28">
        <v>8.6369489332391236</v>
      </c>
      <c r="CU28">
        <v>3.0714751908853914</v>
      </c>
      <c r="CV28">
        <v>4.9938433003122524</v>
      </c>
      <c r="CW28">
        <v>580.4896905137407</v>
      </c>
      <c r="CX28">
        <v>28.042076555824394</v>
      </c>
      <c r="CY28">
        <v>11.30724064650537</v>
      </c>
      <c r="DA28">
        <v>32</v>
      </c>
      <c r="DB28">
        <v>7.2218334333342984</v>
      </c>
      <c r="DC28">
        <v>2.5163144264605926</v>
      </c>
      <c r="DD28">
        <v>4.1870636515729602</v>
      </c>
      <c r="DE28">
        <v>474.06603342219586</v>
      </c>
      <c r="DF28">
        <v>27.313287656178726</v>
      </c>
      <c r="DG28">
        <v>10.828638045590228</v>
      </c>
      <c r="DH28">
        <v>7.3651458230555855</v>
      </c>
      <c r="DI28">
        <v>2.61575909831372</v>
      </c>
      <c r="DJ28">
        <v>4.2925206427537788</v>
      </c>
      <c r="DK28">
        <v>488.58796548620046</v>
      </c>
      <c r="DL28">
        <v>27.32860744288211</v>
      </c>
      <c r="DM28">
        <v>10.954290441747045</v>
      </c>
      <c r="DN28">
        <v>7.9523468219206537</v>
      </c>
      <c r="DO28">
        <v>2.6572624203246513</v>
      </c>
      <c r="DP28">
        <v>4.5361884095050371</v>
      </c>
      <c r="DQ28">
        <v>522.57131556463867</v>
      </c>
      <c r="DR28">
        <v>27.798000110249703</v>
      </c>
      <c r="DS28">
        <v>10.834554301534869</v>
      </c>
      <c r="DT28">
        <v>8.0902442760024282</v>
      </c>
      <c r="DU28">
        <v>2.6050615021038497</v>
      </c>
      <c r="DV28">
        <v>4.7034663154344249</v>
      </c>
      <c r="DW28">
        <v>544.80010361374161</v>
      </c>
      <c r="DX28">
        <v>27.810013775078883</v>
      </c>
      <c r="DY28">
        <v>10.704845753889222</v>
      </c>
      <c r="DZ28">
        <v>8.1918136274638229</v>
      </c>
      <c r="EA28">
        <v>2.6457966591386683</v>
      </c>
      <c r="EB28">
        <v>4.8682265404117748</v>
      </c>
      <c r="EC28">
        <v>575.08620607779972</v>
      </c>
      <c r="ED28">
        <v>27.531526348826876</v>
      </c>
      <c r="EE28">
        <v>10.673283460527289</v>
      </c>
      <c r="EG28">
        <v>32</v>
      </c>
      <c r="EH28">
        <v>6.973085725769435</v>
      </c>
      <c r="EI28">
        <v>2.3119193080049487</v>
      </c>
      <c r="EJ28">
        <v>3.894839839905468</v>
      </c>
      <c r="EK28">
        <v>474.78099022577999</v>
      </c>
      <c r="EL28">
        <v>26.748236540136109</v>
      </c>
      <c r="EM28">
        <v>10.38182755555985</v>
      </c>
      <c r="EN28">
        <v>7.0859849116188069</v>
      </c>
      <c r="EO28">
        <v>2.3574399198375486</v>
      </c>
      <c r="EP28">
        <v>4.0088340469092625</v>
      </c>
      <c r="EQ28">
        <v>488.04218344973469</v>
      </c>
      <c r="ER28">
        <v>26.787167671129172</v>
      </c>
      <c r="ES28">
        <v>10.437243899279826</v>
      </c>
      <c r="ET28">
        <v>7.1236878332467928</v>
      </c>
      <c r="EU28">
        <v>2.404973955902177</v>
      </c>
      <c r="EV28">
        <v>4.2312737371008362</v>
      </c>
      <c r="EW28">
        <v>520.1927101430756</v>
      </c>
      <c r="EX28">
        <v>26.33212313805361</v>
      </c>
      <c r="EY28">
        <v>10.399105418065659</v>
      </c>
      <c r="EZ28">
        <v>7.336547239112523</v>
      </c>
      <c r="FA28">
        <v>2.3790335988352744</v>
      </c>
      <c r="FB28">
        <v>4.3848966291978373</v>
      </c>
      <c r="FC28">
        <v>540.82279260392124</v>
      </c>
      <c r="FD28">
        <v>26.620921947379227</v>
      </c>
      <c r="FE28">
        <v>10.365637782439032</v>
      </c>
      <c r="FF28">
        <v>7.4229792583254586</v>
      </c>
      <c r="FG28">
        <v>2.4028775060607361</v>
      </c>
      <c r="FH28">
        <v>4.5386419147624544</v>
      </c>
      <c r="FI28">
        <v>559.28221867679804</v>
      </c>
      <c r="FJ28">
        <v>26.934821389422446</v>
      </c>
      <c r="FK28">
        <v>10.540544186398245</v>
      </c>
      <c r="FN28">
        <v>32</v>
      </c>
      <c r="FO28">
        <v>8.2696298674431361</v>
      </c>
      <c r="FP28">
        <v>3.1567741274261829</v>
      </c>
      <c r="FQ28">
        <v>4.5919705265999529</v>
      </c>
      <c r="FR28">
        <v>498.95623035063289</v>
      </c>
      <c r="FS28">
        <v>28.996529401769013</v>
      </c>
      <c r="FT28">
        <v>12.004304500731571</v>
      </c>
      <c r="FU28">
        <v>8.3289632451956788</v>
      </c>
      <c r="FV28">
        <v>3.1890549106992765</v>
      </c>
      <c r="FW28">
        <v>4.6512032670698176</v>
      </c>
      <c r="FX28">
        <v>505.56757035138548</v>
      </c>
      <c r="FY28">
        <v>29.068878085198001</v>
      </c>
      <c r="FZ28">
        <v>12.063903913876313</v>
      </c>
      <c r="GB28">
        <v>32</v>
      </c>
      <c r="GC28">
        <v>7.8968945099924408</v>
      </c>
      <c r="GD28">
        <v>2.7959056709468144</v>
      </c>
      <c r="GE28">
        <v>4.4275697486864845</v>
      </c>
      <c r="GF28">
        <v>503.57242688751211</v>
      </c>
      <c r="GG28">
        <v>27.990538984089099</v>
      </c>
      <c r="GH28">
        <v>11.177645487814093</v>
      </c>
      <c r="GI28">
        <v>7.9303933796645261</v>
      </c>
      <c r="GJ28">
        <v>2.8041459659073729</v>
      </c>
      <c r="GK28">
        <v>4.4874146589317672</v>
      </c>
      <c r="GL28">
        <v>510.97717874587823</v>
      </c>
      <c r="GM28">
        <v>27.981116956993588</v>
      </c>
      <c r="GN28">
        <v>11.182905780496577</v>
      </c>
      <c r="GP28">
        <v>32</v>
      </c>
      <c r="GQ28">
        <v>7.6450744319322652</v>
      </c>
      <c r="GR28">
        <v>2.6396221910390847</v>
      </c>
      <c r="GS28">
        <v>4.3798388903500562</v>
      </c>
      <c r="GT28">
        <v>502.40139370237807</v>
      </c>
      <c r="GU28">
        <v>27.554548497626037</v>
      </c>
      <c r="GV28">
        <v>10.892626202627428</v>
      </c>
      <c r="GW28">
        <v>7.6937882433754607</v>
      </c>
      <c r="GX28">
        <v>2.6433427193094676</v>
      </c>
      <c r="GY28">
        <v>4.4508252591653035</v>
      </c>
      <c r="GZ28">
        <v>510.46937568528909</v>
      </c>
      <c r="HA28">
        <v>27.545446865793618</v>
      </c>
      <c r="HB28">
        <v>10.879019709744458</v>
      </c>
      <c r="HD28">
        <v>32</v>
      </c>
      <c r="HE28">
        <v>7.0906132281054575</v>
      </c>
      <c r="HF28">
        <v>2.3780670181725578</v>
      </c>
      <c r="HG28">
        <v>4.0660806933067732</v>
      </c>
      <c r="HH28">
        <v>502.71501589422826</v>
      </c>
      <c r="HI28">
        <v>26.434424960594963</v>
      </c>
      <c r="HJ28">
        <v>10.365545582805742</v>
      </c>
      <c r="HK28">
        <v>7.1596622654554141</v>
      </c>
      <c r="HL28">
        <v>2.3891567478017457</v>
      </c>
      <c r="HM28">
        <v>4.1700926609889084</v>
      </c>
      <c r="HN28">
        <v>510.18575033305893</v>
      </c>
      <c r="HO28">
        <v>26.513835554605858</v>
      </c>
      <c r="HP28">
        <v>10.386845231043898</v>
      </c>
    </row>
    <row r="29" spans="2:224" x14ac:dyDescent="0.25">
      <c r="B29">
        <v>620.95332972878566</v>
      </c>
      <c r="C29">
        <v>1.6104269872210379</v>
      </c>
      <c r="D29">
        <v>650.15204933695145</v>
      </c>
      <c r="E29">
        <v>1.5381017425382819</v>
      </c>
      <c r="F29">
        <v>716.35177264669937</v>
      </c>
      <c r="G29">
        <v>1.3959622048610387</v>
      </c>
      <c r="H29">
        <v>771.25452363450995</v>
      </c>
      <c r="I29">
        <v>1.2965888294405523</v>
      </c>
      <c r="J29">
        <v>836.06726923874908</v>
      </c>
      <c r="K29">
        <v>1.1960760058344515</v>
      </c>
      <c r="L29">
        <v>675.10032835120103</v>
      </c>
      <c r="M29">
        <v>1.4812613148067963</v>
      </c>
      <c r="N29">
        <v>691.81605238094801</v>
      </c>
      <c r="O29">
        <v>1.4454709406617681</v>
      </c>
      <c r="Q29">
        <v>5.66427043011246E-2</v>
      </c>
      <c r="R29">
        <v>5.6970489493345454E-2</v>
      </c>
      <c r="S29">
        <v>5.7293682077621567E-2</v>
      </c>
      <c r="T29">
        <v>5.7800278746287376E-2</v>
      </c>
      <c r="U29">
        <v>5.8043269715475569E-2</v>
      </c>
      <c r="V29">
        <v>5.7251647172767157E-2</v>
      </c>
      <c r="W29">
        <v>5.6952203057214351E-2</v>
      </c>
      <c r="Y29">
        <v>1.164754752257261</v>
      </c>
      <c r="Z29">
        <v>1.1659460607418324</v>
      </c>
      <c r="AA29">
        <v>1.1903067949953396</v>
      </c>
      <c r="AB29">
        <v>1.1952891108951547</v>
      </c>
      <c r="AC29">
        <v>1.2167035742616192</v>
      </c>
      <c r="AD29">
        <v>1.1838150861207324</v>
      </c>
      <c r="AE29">
        <v>1.1746801953328763</v>
      </c>
      <c r="AG29">
        <v>0.48785106137554235</v>
      </c>
      <c r="AH29">
        <v>0.48857094794128275</v>
      </c>
      <c r="AI29">
        <v>0.50100372279234762</v>
      </c>
      <c r="AJ29">
        <v>0.49988335505805004</v>
      </c>
      <c r="AK29">
        <v>0.51037805727234653</v>
      </c>
      <c r="AL29">
        <v>0.49719906973193945</v>
      </c>
      <c r="AM29">
        <v>0.4931530642858527</v>
      </c>
      <c r="AO29">
        <v>33</v>
      </c>
      <c r="AP29">
        <v>7.9963656969359214</v>
      </c>
      <c r="AQ29">
        <v>3.3196884967840208</v>
      </c>
      <c r="AR29">
        <v>4.4354656181659937</v>
      </c>
      <c r="AS29">
        <v>481.10586442940428</v>
      </c>
      <c r="AT29">
        <v>28.680909193004535</v>
      </c>
      <c r="AU29">
        <v>12.411966124073366</v>
      </c>
      <c r="AV29">
        <v>8.196916838235115</v>
      </c>
      <c r="AW29">
        <v>3.3540286577626865</v>
      </c>
      <c r="AX29">
        <v>4.5892213425423174</v>
      </c>
      <c r="AY29">
        <v>497.42862974217326</v>
      </c>
      <c r="AZ29">
        <v>28.691427742381869</v>
      </c>
      <c r="BA29">
        <v>12.324387093749898</v>
      </c>
      <c r="BB29">
        <v>8.8774439653121462</v>
      </c>
      <c r="BC29">
        <v>3.4947201604719491</v>
      </c>
      <c r="BD29">
        <v>4.8826168393907823</v>
      </c>
      <c r="BE29">
        <v>532.61816140414521</v>
      </c>
      <c r="BF29">
        <v>29.234892944455503</v>
      </c>
      <c r="BG29">
        <v>12.305063703200773</v>
      </c>
      <c r="BH29">
        <v>9.1844668205760076</v>
      </c>
      <c r="BI29">
        <v>3.5718022117122441</v>
      </c>
      <c r="BJ29">
        <v>5.1167698791434333</v>
      </c>
      <c r="BK29">
        <v>559.376031290946</v>
      </c>
      <c r="BL29">
        <v>29.302415857163258</v>
      </c>
      <c r="BM29">
        <v>12.273397984266726</v>
      </c>
      <c r="BN29">
        <v>9.3939458548711361</v>
      </c>
      <c r="BO29">
        <v>3.6311358906183795</v>
      </c>
      <c r="BP29">
        <v>5.3814866334828162</v>
      </c>
      <c r="BQ29">
        <v>593.70729270434549</v>
      </c>
      <c r="BR29">
        <v>28.980877664924247</v>
      </c>
      <c r="BS29">
        <v>12.129817592603992</v>
      </c>
      <c r="BU29">
        <v>33</v>
      </c>
      <c r="BV29">
        <v>7.6703920091403308</v>
      </c>
      <c r="BW29">
        <v>2.8948725606180288</v>
      </c>
      <c r="BX29">
        <v>4.2925646319292552</v>
      </c>
      <c r="BY29">
        <v>486.00079937757027</v>
      </c>
      <c r="BZ29">
        <v>27.72131226817049</v>
      </c>
      <c r="CA29">
        <v>11.412849037138425</v>
      </c>
      <c r="CB29">
        <v>7.8078554245072382</v>
      </c>
      <c r="CC29">
        <v>2.8969437339508999</v>
      </c>
      <c r="CD29">
        <v>4.4305934497171329</v>
      </c>
      <c r="CE29">
        <v>502.37878338541697</v>
      </c>
      <c r="CF29">
        <v>27.634280412795604</v>
      </c>
      <c r="CG29">
        <v>11.293108404006373</v>
      </c>
      <c r="CH29">
        <v>8.4827776917282822</v>
      </c>
      <c r="CI29">
        <v>3.1236172970270646</v>
      </c>
      <c r="CJ29">
        <v>4.7070145651525666</v>
      </c>
      <c r="CK29">
        <v>538.18023962596601</v>
      </c>
      <c r="CL29">
        <v>28.199416362604804</v>
      </c>
      <c r="CM29">
        <v>11.488339940559364</v>
      </c>
      <c r="CN29">
        <v>8.7840267975694424</v>
      </c>
      <c r="CO29">
        <v>3.1538536861394593</v>
      </c>
      <c r="CP29">
        <v>4.9473285780654068</v>
      </c>
      <c r="CQ29">
        <v>565.62048774580524</v>
      </c>
      <c r="CR29">
        <v>28.270950951827313</v>
      </c>
      <c r="CS29">
        <v>11.398979119402398</v>
      </c>
      <c r="CT29">
        <v>8.9173312054437464</v>
      </c>
      <c r="CU29">
        <v>3.1626834153533618</v>
      </c>
      <c r="CV29">
        <v>5.1374973013850012</v>
      </c>
      <c r="CW29">
        <v>598.8785262883124</v>
      </c>
      <c r="CX29">
        <v>27.934786496513443</v>
      </c>
      <c r="CY29">
        <v>11.242862104886997</v>
      </c>
      <c r="DA29">
        <v>33</v>
      </c>
      <c r="DB29">
        <v>7.4247121329802876</v>
      </c>
      <c r="DC29">
        <v>2.5828345923859346</v>
      </c>
      <c r="DD29">
        <v>4.2847553654122033</v>
      </c>
      <c r="DE29">
        <v>485.54471506902132</v>
      </c>
      <c r="DF29">
        <v>27.241363432584837</v>
      </c>
      <c r="DG29">
        <v>10.780913939612338</v>
      </c>
      <c r="DH29">
        <v>7.5745862683138467</v>
      </c>
      <c r="DI29">
        <v>2.6874483362039108</v>
      </c>
      <c r="DJ29">
        <v>4.3954234559390919</v>
      </c>
      <c r="DK29">
        <v>500.71664957882069</v>
      </c>
      <c r="DL29">
        <v>27.260142095933357</v>
      </c>
      <c r="DM29">
        <v>10.912204871744041</v>
      </c>
      <c r="DN29">
        <v>8.2006047908089155</v>
      </c>
      <c r="DO29">
        <v>2.7335746853329534</v>
      </c>
      <c r="DP29">
        <v>4.6551229261555056</v>
      </c>
      <c r="DQ29">
        <v>536.70062930168297</v>
      </c>
      <c r="DR29">
        <v>27.751403559557872</v>
      </c>
      <c r="DS29">
        <v>10.793270240725835</v>
      </c>
      <c r="DT29">
        <v>8.3473733746641052</v>
      </c>
      <c r="DU29">
        <v>2.6799356152465692</v>
      </c>
      <c r="DV29">
        <v>4.83209860789185</v>
      </c>
      <c r="DW29">
        <v>560.17441142620612</v>
      </c>
      <c r="DX29">
        <v>27.766308717858937</v>
      </c>
      <c r="DY29">
        <v>10.663782451645714</v>
      </c>
      <c r="DZ29">
        <v>8.4504712489512563</v>
      </c>
      <c r="EA29">
        <v>2.7216450370432308</v>
      </c>
      <c r="EB29">
        <v>5.0034335517293149</v>
      </c>
      <c r="EC29">
        <v>592.81984300367913</v>
      </c>
      <c r="ED29">
        <v>27.432758880537673</v>
      </c>
      <c r="EE29">
        <v>10.613798415462719</v>
      </c>
      <c r="EG29">
        <v>33</v>
      </c>
      <c r="EH29">
        <v>7.1671421596361302</v>
      </c>
      <c r="EI29">
        <v>2.373947302420834</v>
      </c>
      <c r="EJ29">
        <v>3.9820798446326933</v>
      </c>
      <c r="EK29">
        <v>486.11367246933969</v>
      </c>
      <c r="EL29">
        <v>26.679624143753969</v>
      </c>
      <c r="EM29">
        <v>10.338587004759873</v>
      </c>
      <c r="EN29">
        <v>7.2885721794527694</v>
      </c>
      <c r="EO29">
        <v>2.4217760179035905</v>
      </c>
      <c r="EP29">
        <v>4.1016443108018237</v>
      </c>
      <c r="EQ29">
        <v>500.08350170780488</v>
      </c>
      <c r="ER29">
        <v>26.722723070887255</v>
      </c>
      <c r="ES29">
        <v>10.394764727980048</v>
      </c>
      <c r="ET29">
        <v>7.3218423348038009</v>
      </c>
      <c r="EU29">
        <v>2.4740390377171448</v>
      </c>
      <c r="EV29">
        <v>4.3388757118845094</v>
      </c>
      <c r="EW29">
        <v>534.15757788660187</v>
      </c>
      <c r="EX29">
        <v>26.238387095184006</v>
      </c>
      <c r="EY29">
        <v>10.358777094761239</v>
      </c>
      <c r="EZ29">
        <v>7.5582850103987633</v>
      </c>
      <c r="FA29">
        <v>2.4479637986424132</v>
      </c>
      <c r="FB29">
        <v>4.5013256669006756</v>
      </c>
      <c r="FC29">
        <v>556.1688598450213</v>
      </c>
      <c r="FD29">
        <v>26.547490061478666</v>
      </c>
      <c r="FE29">
        <v>10.323494636904895</v>
      </c>
      <c r="FF29">
        <v>7.6497320682979844</v>
      </c>
      <c r="FG29">
        <v>2.471971670251778</v>
      </c>
      <c r="FH29">
        <v>4.6612348407210655</v>
      </c>
      <c r="FI29">
        <v>577.09655578437969</v>
      </c>
      <c r="FJ29">
        <v>26.7926475683939</v>
      </c>
      <c r="FK29">
        <v>10.470339638958915</v>
      </c>
      <c r="FN29">
        <v>33</v>
      </c>
      <c r="FO29">
        <v>8.5156826997720341</v>
      </c>
      <c r="FP29">
        <v>3.2507154810974801</v>
      </c>
      <c r="FQ29">
        <v>4.7100352566715742</v>
      </c>
      <c r="FR29">
        <v>512.50374304662273</v>
      </c>
      <c r="FS29">
        <v>28.924315907946699</v>
      </c>
      <c r="FT29">
        <v>11.968169045671329</v>
      </c>
      <c r="FU29">
        <v>8.5647005283276041</v>
      </c>
      <c r="FV29">
        <v>3.2780880491711537</v>
      </c>
      <c r="FW29">
        <v>4.7625086143472934</v>
      </c>
      <c r="FX29">
        <v>518.44101118927847</v>
      </c>
      <c r="FY29">
        <v>28.988890534140648</v>
      </c>
      <c r="FZ29">
        <v>12.021596220883387</v>
      </c>
      <c r="GB29">
        <v>33</v>
      </c>
      <c r="GC29">
        <v>8.1352020222410868</v>
      </c>
      <c r="GD29">
        <v>2.8710629775773251</v>
      </c>
      <c r="GE29">
        <v>4.5425485773893373</v>
      </c>
      <c r="GF29">
        <v>517.39053365154086</v>
      </c>
      <c r="GG29">
        <v>27.915739757392245</v>
      </c>
      <c r="GH29">
        <v>11.121345590131078</v>
      </c>
      <c r="GI29">
        <v>8.1617250761078175</v>
      </c>
      <c r="GJ29">
        <v>2.8771616323437086</v>
      </c>
      <c r="GK29">
        <v>4.5956508641525469</v>
      </c>
      <c r="GL29">
        <v>524.09327049703279</v>
      </c>
      <c r="GM29">
        <v>27.907349880078652</v>
      </c>
      <c r="GN29">
        <v>11.126954708855706</v>
      </c>
      <c r="GP29">
        <v>33</v>
      </c>
      <c r="GQ29">
        <v>7.8759839631190669</v>
      </c>
      <c r="GR29">
        <v>2.7140732968674897</v>
      </c>
      <c r="GS29">
        <v>4.4933062919356814</v>
      </c>
      <c r="GT29">
        <v>515.91876089200616</v>
      </c>
      <c r="GU29">
        <v>27.492935916322992</v>
      </c>
      <c r="GV29">
        <v>10.848780221549058</v>
      </c>
      <c r="GW29">
        <v>7.9198502395658439</v>
      </c>
      <c r="GX29">
        <v>2.7167879365324659</v>
      </c>
      <c r="GY29">
        <v>4.5588999387704758</v>
      </c>
      <c r="GZ29">
        <v>523.34428116532513</v>
      </c>
      <c r="HA29">
        <v>27.485118211255358</v>
      </c>
      <c r="HB29">
        <v>10.836439017920153</v>
      </c>
      <c r="HD29">
        <v>33</v>
      </c>
      <c r="HE29">
        <v>7.2953455408373671</v>
      </c>
      <c r="HF29">
        <v>2.445703174342408</v>
      </c>
      <c r="HG29">
        <v>4.1701800061419609</v>
      </c>
      <c r="HH29">
        <v>516.11750088877159</v>
      </c>
      <c r="HI29">
        <v>26.357337206208541</v>
      </c>
      <c r="HJ29">
        <v>10.324623980760153</v>
      </c>
      <c r="HK29">
        <v>7.3581716919674811</v>
      </c>
      <c r="HL29">
        <v>2.4552716610471985</v>
      </c>
      <c r="HM29">
        <v>4.2667134522755301</v>
      </c>
      <c r="HN29">
        <v>522.95217851615666</v>
      </c>
      <c r="HO29">
        <v>26.431672824531528</v>
      </c>
      <c r="HP29">
        <v>10.344487192097821</v>
      </c>
    </row>
    <row r="30" spans="2:224" x14ac:dyDescent="0.25">
      <c r="B30">
        <v>628.85031542787726</v>
      </c>
      <c r="C30">
        <v>1.5902035436200554</v>
      </c>
      <c r="D30">
        <v>659.31090800284892</v>
      </c>
      <c r="E30">
        <v>1.5167351060960741</v>
      </c>
      <c r="F30">
        <v>728.82460614705963</v>
      </c>
      <c r="G30">
        <v>1.3720722263844967</v>
      </c>
      <c r="H30">
        <v>786.50603113614602</v>
      </c>
      <c r="I30">
        <v>1.271446067051071</v>
      </c>
      <c r="J30">
        <v>853.94683623445565</v>
      </c>
      <c r="K30">
        <v>1.171033087269902</v>
      </c>
      <c r="L30">
        <v>686.55991118174325</v>
      </c>
      <c r="M30">
        <v>1.4565371262046849</v>
      </c>
      <c r="N30">
        <v>701.94071170443794</v>
      </c>
      <c r="O30">
        <v>1.4246217427278447</v>
      </c>
      <c r="Q30">
        <v>5.8265575157241567E-2</v>
      </c>
      <c r="R30">
        <v>5.8606246570469478E-2</v>
      </c>
      <c r="S30">
        <v>5.8955416336497382E-2</v>
      </c>
      <c r="T30">
        <v>5.9486753788849392E-2</v>
      </c>
      <c r="U30">
        <v>5.974549425006366E-2</v>
      </c>
      <c r="V30">
        <v>5.8909915793480615E-2</v>
      </c>
      <c r="W30">
        <v>5.8591099574797786E-2</v>
      </c>
      <c r="Y30">
        <v>1.192985633853487</v>
      </c>
      <c r="Z30">
        <v>1.19402377554317</v>
      </c>
      <c r="AA30">
        <v>1.2203093605395752</v>
      </c>
      <c r="AB30">
        <v>1.2258094787235037</v>
      </c>
      <c r="AC30">
        <v>1.2478126129518345</v>
      </c>
      <c r="AD30">
        <v>1.2125609454604376</v>
      </c>
      <c r="AE30">
        <v>1.2038836617509501</v>
      </c>
      <c r="AG30">
        <v>0.4972910899771778</v>
      </c>
      <c r="AH30">
        <v>0.4979874968742809</v>
      </c>
      <c r="AI30">
        <v>0.51129645163330151</v>
      </c>
      <c r="AJ30">
        <v>0.5102567019666524</v>
      </c>
      <c r="AK30">
        <v>0.52108062887108175</v>
      </c>
      <c r="AL30">
        <v>0.50690323426512851</v>
      </c>
      <c r="AM30">
        <v>0.50310113052784156</v>
      </c>
      <c r="AO30">
        <v>34</v>
      </c>
      <c r="AP30">
        <v>8.2022956917366088</v>
      </c>
      <c r="AQ30">
        <v>3.4126988989631015</v>
      </c>
      <c r="AR30">
        <v>4.5312366969869524</v>
      </c>
      <c r="AS30">
        <v>492.30374784979767</v>
      </c>
      <c r="AT30">
        <v>28.596721232741839</v>
      </c>
      <c r="AU30">
        <v>12.387076469826955</v>
      </c>
      <c r="AV30">
        <v>8.4156398178284544</v>
      </c>
      <c r="AW30">
        <v>3.4488514021564765</v>
      </c>
      <c r="AX30">
        <v>4.6937787468373804</v>
      </c>
      <c r="AY30">
        <v>509.4990644011383</v>
      </c>
      <c r="AZ30">
        <v>28.608965080907243</v>
      </c>
      <c r="BA30">
        <v>12.295289770837599</v>
      </c>
      <c r="BB30">
        <v>9.1344655549122553</v>
      </c>
      <c r="BC30">
        <v>3.5978418712872848</v>
      </c>
      <c r="BD30">
        <v>5.0038558154588832</v>
      </c>
      <c r="BE30">
        <v>546.51720510829057</v>
      </c>
      <c r="BF30">
        <v>29.174932693273604</v>
      </c>
      <c r="BG30">
        <v>12.278272832249959</v>
      </c>
      <c r="BH30">
        <v>9.465084750323344</v>
      </c>
      <c r="BI30">
        <v>3.6818973789316227</v>
      </c>
      <c r="BJ30">
        <v>5.2536010541606322</v>
      </c>
      <c r="BK30">
        <v>574.87932744750788</v>
      </c>
      <c r="BL30">
        <v>29.248220108931982</v>
      </c>
      <c r="BM30">
        <v>12.247216152578416</v>
      </c>
      <c r="BN30">
        <v>9.6814538859883612</v>
      </c>
      <c r="BO30">
        <v>3.7426129964162183</v>
      </c>
      <c r="BP30">
        <v>5.5299157050866903</v>
      </c>
      <c r="BQ30">
        <v>611.65888702602274</v>
      </c>
      <c r="BR30">
        <v>28.873500407444823</v>
      </c>
      <c r="BS30">
        <v>12.080905088265451</v>
      </c>
      <c r="BU30">
        <v>34</v>
      </c>
      <c r="BV30">
        <v>7.8737714475493963</v>
      </c>
      <c r="BW30">
        <v>2.9682264819877466</v>
      </c>
      <c r="BX30">
        <v>4.3865791813401973</v>
      </c>
      <c r="BY30">
        <v>497.44784340801192</v>
      </c>
      <c r="BZ30">
        <v>27.640583786046879</v>
      </c>
      <c r="CA30">
        <v>11.365476459378771</v>
      </c>
      <c r="CB30">
        <v>8.020701927695054</v>
      </c>
      <c r="CC30">
        <v>2.9712765776260532</v>
      </c>
      <c r="CD30">
        <v>4.5325653989902799</v>
      </c>
      <c r="CE30">
        <v>514.71459047618305</v>
      </c>
      <c r="CF30">
        <v>27.551779791114889</v>
      </c>
      <c r="CG30">
        <v>11.242859474604286</v>
      </c>
      <c r="CH30">
        <v>8.7335548251678681</v>
      </c>
      <c r="CI30">
        <v>3.210822966355626</v>
      </c>
      <c r="CJ30">
        <v>4.8247598622907377</v>
      </c>
      <c r="CK30">
        <v>552.30818683393966</v>
      </c>
      <c r="CL30">
        <v>28.143149631927248</v>
      </c>
      <c r="CM30">
        <v>11.448804485688054</v>
      </c>
      <c r="CN30">
        <v>9.0578207775203339</v>
      </c>
      <c r="CO30">
        <v>3.2452163175222632</v>
      </c>
      <c r="CP30">
        <v>5.0808878808741449</v>
      </c>
      <c r="CQ30">
        <v>581.37406716284158</v>
      </c>
      <c r="CR30">
        <v>28.22095800131542</v>
      </c>
      <c r="CS30">
        <v>11.3592791569071</v>
      </c>
      <c r="CT30">
        <v>9.1941676640714576</v>
      </c>
      <c r="CU30">
        <v>3.2530053916668003</v>
      </c>
      <c r="CV30">
        <v>5.2787993106349527</v>
      </c>
      <c r="CW30">
        <v>617.10624666601461</v>
      </c>
      <c r="CX30">
        <v>27.828995403348575</v>
      </c>
      <c r="CY30">
        <v>11.180871030042077</v>
      </c>
      <c r="DA30">
        <v>34</v>
      </c>
      <c r="DB30">
        <v>7.6242107410273601</v>
      </c>
      <c r="DC30">
        <v>2.6487184976966014</v>
      </c>
      <c r="DD30">
        <v>4.3807756461701519</v>
      </c>
      <c r="DE30">
        <v>496.89193542312722</v>
      </c>
      <c r="DF30">
        <v>27.1692638297488</v>
      </c>
      <c r="DG30">
        <v>10.735178797355614</v>
      </c>
      <c r="DH30">
        <v>7.780697044908031</v>
      </c>
      <c r="DI30">
        <v>2.7585109028133115</v>
      </c>
      <c r="DJ30">
        <v>4.4966489082142411</v>
      </c>
      <c r="DK30">
        <v>512.70950087011738</v>
      </c>
      <c r="DL30">
        <v>27.191417646107446</v>
      </c>
      <c r="DM30">
        <v>10.871844828269607</v>
      </c>
      <c r="DN30">
        <v>8.4447792354345772</v>
      </c>
      <c r="DO30">
        <v>2.8091881479955356</v>
      </c>
      <c r="DP30">
        <v>4.7720004144615888</v>
      </c>
      <c r="DQ30">
        <v>550.63871651003296</v>
      </c>
      <c r="DR30">
        <v>27.70403877874568</v>
      </c>
      <c r="DS30">
        <v>10.75411781081808</v>
      </c>
      <c r="DT30">
        <v>8.6006516384439315</v>
      </c>
      <c r="DU30">
        <v>2.7543282657343315</v>
      </c>
      <c r="DV30">
        <v>4.958676478858318</v>
      </c>
      <c r="DW30">
        <v>575.35108893488973</v>
      </c>
      <c r="DX30">
        <v>27.721793353875196</v>
      </c>
      <c r="DY30">
        <v>10.624994701961951</v>
      </c>
      <c r="DZ30">
        <v>8.7053157410998416</v>
      </c>
      <c r="EA30">
        <v>2.7970305157072892</v>
      </c>
      <c r="EB30">
        <v>5.1364961494338361</v>
      </c>
      <c r="EC30">
        <v>610.3918482040724</v>
      </c>
      <c r="ED30">
        <v>27.33423624179272</v>
      </c>
      <c r="EE30">
        <v>10.556842295331853</v>
      </c>
      <c r="EG30">
        <v>34</v>
      </c>
      <c r="EH30">
        <v>7.3577507123106276</v>
      </c>
      <c r="EI30">
        <v>2.4353722559658451</v>
      </c>
      <c r="EJ30">
        <v>4.0678494394756211</v>
      </c>
      <c r="EK30">
        <v>497.31143887880609</v>
      </c>
      <c r="EL30">
        <v>26.610544268807278</v>
      </c>
      <c r="EM30">
        <v>10.297123950226576</v>
      </c>
      <c r="EN30">
        <v>7.4877434269498755</v>
      </c>
      <c r="EO30">
        <v>2.4855522942172206</v>
      </c>
      <c r="EP30">
        <v>4.1929599324128377</v>
      </c>
      <c r="EQ30">
        <v>511.98455856842571</v>
      </c>
      <c r="ER30">
        <v>26.657726923427166</v>
      </c>
      <c r="ES30">
        <v>10.354100408156937</v>
      </c>
      <c r="ET30">
        <v>7.517266607339824</v>
      </c>
      <c r="EU30">
        <v>2.5424717008546991</v>
      </c>
      <c r="EV30">
        <v>4.4446363526757136</v>
      </c>
      <c r="EW30">
        <v>547.9901022574943</v>
      </c>
      <c r="EX30">
        <v>26.145369538892993</v>
      </c>
      <c r="EY30">
        <v>10.319378321086054</v>
      </c>
      <c r="EZ30">
        <v>7.7768387484642094</v>
      </c>
      <c r="FA30">
        <v>2.5164436866822504</v>
      </c>
      <c r="FB30">
        <v>4.6159147904554247</v>
      </c>
      <c r="FC30">
        <v>571.35170879984673</v>
      </c>
      <c r="FD30">
        <v>26.473975434803869</v>
      </c>
      <c r="FE30">
        <v>10.283014126255708</v>
      </c>
      <c r="FF30">
        <v>7.8731903612602672</v>
      </c>
      <c r="FG30">
        <v>2.5406414199625478</v>
      </c>
      <c r="FH30">
        <v>4.7819030859944203</v>
      </c>
      <c r="FI30">
        <v>594.80410377074884</v>
      </c>
      <c r="FJ30">
        <v>26.651580744884917</v>
      </c>
      <c r="FK30">
        <v>10.402452412276169</v>
      </c>
      <c r="FN30">
        <v>34</v>
      </c>
      <c r="FO30">
        <v>8.7587051261709785</v>
      </c>
      <c r="FP30">
        <v>3.3439274696800156</v>
      </c>
      <c r="FQ30">
        <v>4.8262534262148007</v>
      </c>
      <c r="FR30">
        <v>525.90600052046295</v>
      </c>
      <c r="FS30">
        <v>28.85291462967967</v>
      </c>
      <c r="FT30">
        <v>11.93346636883915</v>
      </c>
      <c r="FU30">
        <v>8.7976904287475186</v>
      </c>
      <c r="FV30">
        <v>3.3665187313221523</v>
      </c>
      <c r="FW30">
        <v>4.872153949631695</v>
      </c>
      <c r="FX30">
        <v>531.1884081380681</v>
      </c>
      <c r="FY30">
        <v>28.909938928716699</v>
      </c>
      <c r="FZ30">
        <v>11.980977828495391</v>
      </c>
      <c r="GB30">
        <v>34</v>
      </c>
      <c r="GC30">
        <v>8.3705331321645691</v>
      </c>
      <c r="GD30">
        <v>2.9457495043209527</v>
      </c>
      <c r="GE30">
        <v>4.6557182030932953</v>
      </c>
      <c r="GF30">
        <v>531.06158724246893</v>
      </c>
      <c r="GG30">
        <v>27.841872388137897</v>
      </c>
      <c r="GH30">
        <v>11.067837980040119</v>
      </c>
      <c r="GI30">
        <v>8.3902709068421473</v>
      </c>
      <c r="GJ30">
        <v>2.9497653712712175</v>
      </c>
      <c r="GK30">
        <v>4.7022640148063459</v>
      </c>
      <c r="GL30">
        <v>537.07481994024965</v>
      </c>
      <c r="GM30">
        <v>27.83449225691038</v>
      </c>
      <c r="GN30">
        <v>11.073695805114596</v>
      </c>
      <c r="GP30">
        <v>34</v>
      </c>
      <c r="GQ30">
        <v>8.1031328539619203</v>
      </c>
      <c r="GR30">
        <v>2.7878471372461946</v>
      </c>
      <c r="GS30">
        <v>4.6048529180619582</v>
      </c>
      <c r="GT30">
        <v>529.26985094058955</v>
      </c>
      <c r="GU30">
        <v>27.43090058548189</v>
      </c>
      <c r="GV30">
        <v>10.806965913102569</v>
      </c>
      <c r="GW30">
        <v>8.1422672586314153</v>
      </c>
      <c r="GX30">
        <v>2.7895798713796189</v>
      </c>
      <c r="GY30">
        <v>4.6651824359627909</v>
      </c>
      <c r="GZ30">
        <v>536.06409136517175</v>
      </c>
      <c r="HA30">
        <v>27.42433508530436</v>
      </c>
      <c r="HB30">
        <v>10.795757025946951</v>
      </c>
      <c r="HD30">
        <v>34</v>
      </c>
      <c r="HE30">
        <v>7.4968821129719982</v>
      </c>
      <c r="HF30">
        <v>2.512716987401761</v>
      </c>
      <c r="HG30">
        <v>4.2725221260197026</v>
      </c>
      <c r="HH30">
        <v>529.37423817872912</v>
      </c>
      <c r="HI30">
        <v>26.280270023939394</v>
      </c>
      <c r="HJ30">
        <v>10.285107765794123</v>
      </c>
      <c r="HK30">
        <v>7.5536337244213572</v>
      </c>
      <c r="HL30">
        <v>2.5208005216887304</v>
      </c>
      <c r="HM30">
        <v>4.3617540888553021</v>
      </c>
      <c r="HN30">
        <v>535.58843944283547</v>
      </c>
      <c r="HO30">
        <v>26.349649647532935</v>
      </c>
      <c r="HP30">
        <v>10.303505312331385</v>
      </c>
    </row>
    <row r="31" spans="2:224" x14ac:dyDescent="0.25">
      <c r="B31">
        <v>636.54058544143106</v>
      </c>
      <c r="C31">
        <v>1.5709917370100062</v>
      </c>
      <c r="D31">
        <v>668.2386200282964</v>
      </c>
      <c r="E31">
        <v>1.4964714250691695</v>
      </c>
      <c r="F31">
        <v>740.9808223548107</v>
      </c>
      <c r="G31">
        <v>1.3495625930264099</v>
      </c>
      <c r="H31">
        <v>801.38886960964965</v>
      </c>
      <c r="I31">
        <v>1.2478336522031961</v>
      </c>
      <c r="J31">
        <v>871.40168873887569</v>
      </c>
      <c r="K31">
        <v>1.1475763851768941</v>
      </c>
      <c r="L31">
        <v>697.73115931572329</v>
      </c>
      <c r="M31">
        <v>1.4332167721744244</v>
      </c>
      <c r="N31">
        <v>711.80763724863095</v>
      </c>
      <c r="O31">
        <v>1.4048739401916601</v>
      </c>
      <c r="Q31">
        <v>5.9886674607625451E-2</v>
      </c>
      <c r="R31">
        <v>6.0240016794750266E-2</v>
      </c>
      <c r="S31">
        <v>6.0614598472463144E-2</v>
      </c>
      <c r="T31">
        <v>6.1170275400945676E-2</v>
      </c>
      <c r="U31">
        <v>6.1444491050786941E-2</v>
      </c>
      <c r="V31">
        <v>6.0565728866644006E-2</v>
      </c>
      <c r="W31">
        <v>6.0227929178739613E-2</v>
      </c>
      <c r="Y31">
        <v>1.2208056325109178</v>
      </c>
      <c r="Z31">
        <v>1.2217178189867273</v>
      </c>
      <c r="AA31">
        <v>1.2498750141035184</v>
      </c>
      <c r="AB31">
        <v>1.2559326928603907</v>
      </c>
      <c r="AC31">
        <v>1.2785238819548643</v>
      </c>
      <c r="AD31">
        <v>1.2409036071876889</v>
      </c>
      <c r="AE31">
        <v>1.2326727557688786</v>
      </c>
      <c r="AG31">
        <v>0.50661172309804803</v>
      </c>
      <c r="AH31">
        <v>0.50729491110071401</v>
      </c>
      <c r="AI31">
        <v>0.52145678063518996</v>
      </c>
      <c r="AJ31">
        <v>0.52051597976376351</v>
      </c>
      <c r="AK31">
        <v>0.5316672990428708</v>
      </c>
      <c r="AL31">
        <v>0.51649027662617897</v>
      </c>
      <c r="AM31">
        <v>0.5129261188467642</v>
      </c>
      <c r="AO31">
        <v>35</v>
      </c>
      <c r="AP31">
        <v>8.4058221993251205</v>
      </c>
      <c r="AQ31">
        <v>3.5046710164161423</v>
      </c>
      <c r="AR31">
        <v>4.6256027579012589</v>
      </c>
      <c r="AS31">
        <v>503.39459762950423</v>
      </c>
      <c r="AT31">
        <v>28.51372958168707</v>
      </c>
      <c r="AU31">
        <v>12.362106418797689</v>
      </c>
      <c r="AV31">
        <v>8.6318481262298299</v>
      </c>
      <c r="AW31">
        <v>3.542646847468665</v>
      </c>
      <c r="AX31">
        <v>4.7967780757066487</v>
      </c>
      <c r="AY31">
        <v>521.45436729581957</v>
      </c>
      <c r="AZ31">
        <v>28.527654047502097</v>
      </c>
      <c r="BA31">
        <v>12.266384702979902</v>
      </c>
      <c r="BB31">
        <v>9.3882389374631163</v>
      </c>
      <c r="BC31">
        <v>3.6998036602521474</v>
      </c>
      <c r="BD31">
        <v>5.123148303887282</v>
      </c>
      <c r="BE31">
        <v>560.25106175213409</v>
      </c>
      <c r="BF31">
        <v>29.115453508525782</v>
      </c>
      <c r="BG31">
        <v>12.251939765453233</v>
      </c>
      <c r="BH31">
        <v>9.7421564028634844</v>
      </c>
      <c r="BI31">
        <v>3.7907868123216391</v>
      </c>
      <c r="BJ31">
        <v>5.388187552147655</v>
      </c>
      <c r="BK31">
        <v>590.19310160747182</v>
      </c>
      <c r="BL31">
        <v>29.194400872471864</v>
      </c>
      <c r="BM31">
        <v>12.221623669174939</v>
      </c>
      <c r="BN31">
        <v>9.9653314145781291</v>
      </c>
      <c r="BO31">
        <v>3.8528764503372521</v>
      </c>
      <c r="BP31">
        <v>5.6758701152595963</v>
      </c>
      <c r="BQ31">
        <v>629.44890308281128</v>
      </c>
      <c r="BR31">
        <v>28.767559535760931</v>
      </c>
      <c r="BS31">
        <v>12.033061500307591</v>
      </c>
      <c r="BU31">
        <v>35</v>
      </c>
      <c r="BV31">
        <v>8.0746942245835029</v>
      </c>
      <c r="BW31">
        <v>3.0408378536276284</v>
      </c>
      <c r="BX31">
        <v>4.4791990260865564</v>
      </c>
      <c r="BY31">
        <v>508.78132964033136</v>
      </c>
      <c r="BZ31">
        <v>27.561014207933038</v>
      </c>
      <c r="CA31">
        <v>11.31956714651175</v>
      </c>
      <c r="CB31">
        <v>8.2310372370188905</v>
      </c>
      <c r="CC31">
        <v>3.0449036381989734</v>
      </c>
      <c r="CD31">
        <v>4.6330061722954756</v>
      </c>
      <c r="CE31">
        <v>526.93156817172087</v>
      </c>
      <c r="CF31">
        <v>27.470472025024009</v>
      </c>
      <c r="CG31">
        <v>11.19427459147318</v>
      </c>
      <c r="CH31">
        <v>8.9810950708653969</v>
      </c>
      <c r="CI31">
        <v>3.2971182849965834</v>
      </c>
      <c r="CJ31">
        <v>4.94060605946395</v>
      </c>
      <c r="CK31">
        <v>566.2633068889287</v>
      </c>
      <c r="CL31">
        <v>28.087322066355334</v>
      </c>
      <c r="CM31">
        <v>11.410728557289707</v>
      </c>
      <c r="CN31">
        <v>9.3280850736299321</v>
      </c>
      <c r="CO31">
        <v>3.3356619092673254</v>
      </c>
      <c r="CP31">
        <v>5.2122440862376154</v>
      </c>
      <c r="CQ31">
        <v>596.92904157942394</v>
      </c>
      <c r="CR31">
        <v>28.171292565642453</v>
      </c>
      <c r="CS31">
        <v>11.321267028748096</v>
      </c>
      <c r="CT31">
        <v>9.4674579997811694</v>
      </c>
      <c r="CU31">
        <v>3.3424410424744768</v>
      </c>
      <c r="CV31">
        <v>5.4177491864731175</v>
      </c>
      <c r="CW31">
        <v>635.16875611503951</v>
      </c>
      <c r="CX31">
        <v>27.724656179668564</v>
      </c>
      <c r="CY31">
        <v>11.121079061632058</v>
      </c>
      <c r="DA31">
        <v>35</v>
      </c>
      <c r="DB31">
        <v>7.8203296339520767</v>
      </c>
      <c r="DC31">
        <v>2.7139661355025262</v>
      </c>
      <c r="DD31">
        <v>4.4751249059276583</v>
      </c>
      <c r="DE31">
        <v>508.10684162465503</v>
      </c>
      <c r="DF31">
        <v>27.096987752208868</v>
      </c>
      <c r="DG31">
        <v>10.691280377686935</v>
      </c>
      <c r="DH31">
        <v>7.9834781422082699</v>
      </c>
      <c r="DI31">
        <v>2.828946777482046</v>
      </c>
      <c r="DJ31">
        <v>4.5961969967714111</v>
      </c>
      <c r="DK31">
        <v>524.56568948719939</v>
      </c>
      <c r="DL31">
        <v>27.122436889955715</v>
      </c>
      <c r="DM31">
        <v>10.83307566277942</v>
      </c>
      <c r="DN31">
        <v>8.6848701440051244</v>
      </c>
      <c r="DO31">
        <v>2.8841027868488505</v>
      </c>
      <c r="DP31">
        <v>4.8868212392870305</v>
      </c>
      <c r="DQ31">
        <v>564.38553202306946</v>
      </c>
      <c r="DR31">
        <v>27.655909059430797</v>
      </c>
      <c r="DS31">
        <v>10.716896599092545</v>
      </c>
      <c r="DT31">
        <v>8.8500789876867518</v>
      </c>
      <c r="DU31">
        <v>2.8282394294268269</v>
      </c>
      <c r="DV31">
        <v>5.0831999009387507</v>
      </c>
      <c r="DW31">
        <v>590.33017831477639</v>
      </c>
      <c r="DX31">
        <v>27.676471888935719</v>
      </c>
      <c r="DY31">
        <v>10.588262004389518</v>
      </c>
      <c r="DZ31">
        <v>8.9563469657694839</v>
      </c>
      <c r="EA31">
        <v>2.8719530540607558</v>
      </c>
      <c r="EB31">
        <v>5.267414277728026</v>
      </c>
      <c r="EC31">
        <v>627.80027883092851</v>
      </c>
      <c r="ED31">
        <v>27.235929836135604</v>
      </c>
      <c r="EE31">
        <v>10.502183876212875</v>
      </c>
      <c r="EG31">
        <v>35</v>
      </c>
      <c r="EH31">
        <v>7.544912687560827</v>
      </c>
      <c r="EI31">
        <v>2.4961941620426185</v>
      </c>
      <c r="EJ31">
        <v>4.152148921540614</v>
      </c>
      <c r="EK31">
        <v>508.37376109650211</v>
      </c>
      <c r="EL31">
        <v>26.540999851808436</v>
      </c>
      <c r="EM31">
        <v>10.257297152636481</v>
      </c>
      <c r="EN31">
        <v>7.6834988059657139</v>
      </c>
      <c r="EO31">
        <v>2.5487687390812881</v>
      </c>
      <c r="EP31">
        <v>4.2827809085154698</v>
      </c>
      <c r="EQ31">
        <v>523.74493933784811</v>
      </c>
      <c r="ER31">
        <v>26.592181471229445</v>
      </c>
      <c r="ES31">
        <v>10.315100653272737</v>
      </c>
      <c r="ET31">
        <v>7.7099605745383935</v>
      </c>
      <c r="EU31">
        <v>2.6102719258904625</v>
      </c>
      <c r="EV31">
        <v>4.5485559070269401</v>
      </c>
      <c r="EW31">
        <v>561.68753938872851</v>
      </c>
      <c r="EX31">
        <v>26.053071062511457</v>
      </c>
      <c r="EY31">
        <v>10.280859237221245</v>
      </c>
      <c r="EZ31">
        <v>7.9922083699646835</v>
      </c>
      <c r="FA31">
        <v>2.5844732403322483</v>
      </c>
      <c r="FB31">
        <v>4.7286639738304519</v>
      </c>
      <c r="FC31">
        <v>586.36984394706735</v>
      </c>
      <c r="FD31">
        <v>26.400378749686681</v>
      </c>
      <c r="FE31">
        <v>10.244054106818121</v>
      </c>
      <c r="FF31">
        <v>8.0933540156561872</v>
      </c>
      <c r="FG31">
        <v>2.6088867175857779</v>
      </c>
      <c r="FH31">
        <v>4.9006465983229726</v>
      </c>
      <c r="FI31">
        <v>612.40187918396941</v>
      </c>
      <c r="FJ31">
        <v>26.511563643250881</v>
      </c>
      <c r="FK31">
        <v>10.336688773359416</v>
      </c>
      <c r="FN31">
        <v>35</v>
      </c>
      <c r="FO31">
        <v>8.9986970349475506</v>
      </c>
      <c r="FP31">
        <v>3.4364097398026097</v>
      </c>
      <c r="FQ31">
        <v>4.9406249790044168</v>
      </c>
      <c r="FR31">
        <v>539.16072948368151</v>
      </c>
      <c r="FS31">
        <v>28.782320630908178</v>
      </c>
      <c r="FT31">
        <v>11.900107527869567</v>
      </c>
      <c r="FU31">
        <v>9.0279328924545617</v>
      </c>
      <c r="FV31">
        <v>3.454346803370385</v>
      </c>
      <c r="FW31">
        <v>4.9801392409228917</v>
      </c>
      <c r="FX31">
        <v>543.80737275263209</v>
      </c>
      <c r="FY31">
        <v>28.832017071673441</v>
      </c>
      <c r="FZ31">
        <v>11.941951587321929</v>
      </c>
      <c r="GB31">
        <v>35</v>
      </c>
      <c r="GC31">
        <v>8.602887729393446</v>
      </c>
      <c r="GD31">
        <v>3.0199652429208839</v>
      </c>
      <c r="GE31">
        <v>4.7670785716137249</v>
      </c>
      <c r="GF31">
        <v>544.58298235645191</v>
      </c>
      <c r="GG31">
        <v>27.768931773452437</v>
      </c>
      <c r="GH31">
        <v>11.016918179884804</v>
      </c>
      <c r="GI31">
        <v>8.6160308154751597</v>
      </c>
      <c r="GJ31">
        <v>3.0219571825383551</v>
      </c>
      <c r="GK31">
        <v>4.8072540799109342</v>
      </c>
      <c r="GL31">
        <v>549.91950023654636</v>
      </c>
      <c r="GM31">
        <v>27.762538646764192</v>
      </c>
      <c r="GN31">
        <v>11.022943712309159</v>
      </c>
      <c r="GP31">
        <v>35</v>
      </c>
      <c r="GQ31">
        <v>8.3265210758717991</v>
      </c>
      <c r="GR31">
        <v>2.8609436862227811</v>
      </c>
      <c r="GS31">
        <v>4.7144787630704297</v>
      </c>
      <c r="GT31">
        <v>542.4539757064299</v>
      </c>
      <c r="GU31">
        <v>27.368443579354416</v>
      </c>
      <c r="GV31">
        <v>10.76700487718694</v>
      </c>
      <c r="GW31">
        <v>8.3610392893023207</v>
      </c>
      <c r="GX31">
        <v>2.8617185108389722</v>
      </c>
      <c r="GY31">
        <v>4.7696727491910025</v>
      </c>
      <c r="GZ31">
        <v>548.62827218212033</v>
      </c>
      <c r="HA31">
        <v>27.363099229363357</v>
      </c>
      <c r="HB31">
        <v>10.756815361039605</v>
      </c>
      <c r="HD31">
        <v>35</v>
      </c>
      <c r="HE31">
        <v>7.6952228962179916</v>
      </c>
      <c r="HF31">
        <v>2.5791084362672083</v>
      </c>
      <c r="HG31">
        <v>4.3731070516929362</v>
      </c>
      <c r="HH31">
        <v>542.48367765943021</v>
      </c>
      <c r="HI31">
        <v>26.203226814481479</v>
      </c>
      <c r="HJ31">
        <v>10.246887751735795</v>
      </c>
      <c r="HK31">
        <v>7.7460483386015522</v>
      </c>
      <c r="HL31">
        <v>2.5857433198488753</v>
      </c>
      <c r="HM31">
        <v>4.4552145971215227</v>
      </c>
      <c r="HN31">
        <v>548.09293849676192</v>
      </c>
      <c r="HO31">
        <v>26.267769368712301</v>
      </c>
      <c r="HP31">
        <v>10.263802796197469</v>
      </c>
    </row>
    <row r="32" spans="2:224" x14ac:dyDescent="0.25">
      <c r="B32">
        <v>644.02397521407352</v>
      </c>
      <c r="C32">
        <v>1.5527372248332838</v>
      </c>
      <c r="D32">
        <v>676.93494038050494</v>
      </c>
      <c r="E32">
        <v>1.4772468376915222</v>
      </c>
      <c r="F32">
        <v>752.81996927230546</v>
      </c>
      <c r="G32">
        <v>1.3283388337408544</v>
      </c>
      <c r="H32">
        <v>815.90233127351746</v>
      </c>
      <c r="I32">
        <v>1.2256368950915117</v>
      </c>
      <c r="J32">
        <v>888.43077539559283</v>
      </c>
      <c r="K32">
        <v>1.1255800988599574</v>
      </c>
      <c r="L32">
        <v>708.61363326159244</v>
      </c>
      <c r="M32">
        <v>1.4112062668018681</v>
      </c>
      <c r="N32">
        <v>721.41654633099142</v>
      </c>
      <c r="O32">
        <v>1.3861617190315902</v>
      </c>
      <c r="Q32">
        <v>6.1506001242154273E-2</v>
      </c>
      <c r="R32">
        <v>6.1871798059974663E-2</v>
      </c>
      <c r="S32">
        <v>6.2271224842150127E-2</v>
      </c>
      <c r="T32">
        <v>6.285083791249467E-2</v>
      </c>
      <c r="U32">
        <v>6.3140252127574958E-2</v>
      </c>
      <c r="V32">
        <v>6.2219082649411228E-2</v>
      </c>
      <c r="W32">
        <v>6.1862689602047938E-2</v>
      </c>
      <c r="Y32">
        <v>1.2482147463701454</v>
      </c>
      <c r="Z32">
        <v>1.249028187504468</v>
      </c>
      <c r="AA32">
        <v>1.2790037496421329</v>
      </c>
      <c r="AB32">
        <v>1.2856587424014174</v>
      </c>
      <c r="AC32">
        <v>1.3088373634524488</v>
      </c>
      <c r="AD32">
        <v>1.2688430631976522</v>
      </c>
      <c r="AE32">
        <v>1.2610474731567161</v>
      </c>
      <c r="AG32">
        <v>0.5158129603466004</v>
      </c>
      <c r="AH32">
        <v>0.51649318997942417</v>
      </c>
      <c r="AI32">
        <v>0.53148470825215954</v>
      </c>
      <c r="AJ32">
        <v>0.53066118639149307</v>
      </c>
      <c r="AK32">
        <v>0.54213806381763396</v>
      </c>
      <c r="AL32">
        <v>0.52596019484025736</v>
      </c>
      <c r="AM32">
        <v>0.52262802821860344</v>
      </c>
      <c r="AO32">
        <v>36</v>
      </c>
      <c r="AP32">
        <v>8.6069451943915425</v>
      </c>
      <c r="AQ32">
        <v>3.5956041791744449</v>
      </c>
      <c r="AR32">
        <v>4.7185637844552835</v>
      </c>
      <c r="AS32">
        <v>514.37608637963967</v>
      </c>
      <c r="AT32">
        <v>28.431930655496991</v>
      </c>
      <c r="AU32">
        <v>12.337098736434051</v>
      </c>
      <c r="AV32">
        <v>8.8455417184967011</v>
      </c>
      <c r="AW32">
        <v>3.6354147612408938</v>
      </c>
      <c r="AX32">
        <v>4.8982193008729924</v>
      </c>
      <c r="AY32">
        <v>533.29204594454222</v>
      </c>
      <c r="AZ32">
        <v>28.447493107725393</v>
      </c>
      <c r="BA32">
        <v>12.237695037391417</v>
      </c>
      <c r="BB32">
        <v>9.6387640018160177</v>
      </c>
      <c r="BC32">
        <v>3.8006054902256396</v>
      </c>
      <c r="BD32">
        <v>5.2404942512062584</v>
      </c>
      <c r="BE32">
        <v>573.81794841677174</v>
      </c>
      <c r="BF32">
        <v>29.056452208752685</v>
      </c>
      <c r="BG32">
        <v>12.226043448727314</v>
      </c>
      <c r="BH32">
        <v>10.015681587194475</v>
      </c>
      <c r="BI32">
        <v>3.898470448339078</v>
      </c>
      <c r="BJ32">
        <v>5.5205292853095758</v>
      </c>
      <c r="BK32">
        <v>605.31545916389052</v>
      </c>
      <c r="BL32">
        <v>29.140958988523529</v>
      </c>
      <c r="BM32">
        <v>12.196584842290852</v>
      </c>
      <c r="BN32">
        <v>10.245578130802851</v>
      </c>
      <c r="BO32">
        <v>3.9619261483186223</v>
      </c>
      <c r="BP32">
        <v>5.8193497192025214</v>
      </c>
      <c r="BQ32">
        <v>647.07341778435523</v>
      </c>
      <c r="BR32">
        <v>28.663015333880246</v>
      </c>
      <c r="BS32">
        <v>11.986228396157466</v>
      </c>
      <c r="BU32">
        <v>36</v>
      </c>
      <c r="BV32">
        <v>8.2731603131408402</v>
      </c>
      <c r="BW32">
        <v>3.1127066696074834</v>
      </c>
      <c r="BX32">
        <v>4.57042415006336</v>
      </c>
      <c r="BY32">
        <v>519.99882373626576</v>
      </c>
      <c r="BZ32">
        <v>27.482601277554515</v>
      </c>
      <c r="CA32">
        <v>11.275046765745762</v>
      </c>
      <c r="CB32">
        <v>8.4388613066191258</v>
      </c>
      <c r="CC32">
        <v>3.1178249054373746</v>
      </c>
      <c r="CD32">
        <v>4.7319157421660138</v>
      </c>
      <c r="CE32">
        <v>539.02704276633176</v>
      </c>
      <c r="CF32">
        <v>27.390353763632632</v>
      </c>
      <c r="CG32">
        <v>11.147261809899733</v>
      </c>
      <c r="CH32">
        <v>9.2253983171495921</v>
      </c>
      <c r="CI32">
        <v>3.3825032254191241</v>
      </c>
      <c r="CJ32">
        <v>5.0545531052293242</v>
      </c>
      <c r="CK32">
        <v>580.04378519052113</v>
      </c>
      <c r="CL32">
        <v>28.031932287127837</v>
      </c>
      <c r="CM32">
        <v>11.37400498486423</v>
      </c>
      <c r="CN32">
        <v>9.5948194950884389</v>
      </c>
      <c r="CO32">
        <v>3.4251904147071852</v>
      </c>
      <c r="CP32">
        <v>5.3413971095649746</v>
      </c>
      <c r="CQ32">
        <v>612.28350623716142</v>
      </c>
      <c r="CR32">
        <v>28.121957725640161</v>
      </c>
      <c r="CS32">
        <v>11.284807201281069</v>
      </c>
      <c r="CT32">
        <v>9.7372019102058616</v>
      </c>
      <c r="CU32">
        <v>3.4309902921690409</v>
      </c>
      <c r="CV32">
        <v>5.5543467905026214</v>
      </c>
      <c r="CW32">
        <v>653.06196207850542</v>
      </c>
      <c r="CX32">
        <v>27.621726762481114</v>
      </c>
      <c r="CY32">
        <v>11.063320692420591</v>
      </c>
      <c r="DA32">
        <v>36</v>
      </c>
      <c r="DB32">
        <v>8.0130691886195979</v>
      </c>
      <c r="DC32">
        <v>2.7785774990913015</v>
      </c>
      <c r="DD32">
        <v>4.5678035571909117</v>
      </c>
      <c r="DE32">
        <v>519.1885676887706</v>
      </c>
      <c r="DF32">
        <v>27.024534217846512</v>
      </c>
      <c r="DG32">
        <v>10.649082490116211</v>
      </c>
      <c r="DH32">
        <v>8.1829295498474277</v>
      </c>
      <c r="DI32">
        <v>2.8987559398026126</v>
      </c>
      <c r="DJ32">
        <v>4.6940677188721809</v>
      </c>
      <c r="DK32">
        <v>536.28437253953325</v>
      </c>
      <c r="DL32">
        <v>27.05320232260425</v>
      </c>
      <c r="DM32">
        <v>10.795777201713568</v>
      </c>
      <c r="DN32">
        <v>8.9208775050191296</v>
      </c>
      <c r="DO32">
        <v>2.9583185809591575</v>
      </c>
      <c r="DP32">
        <v>4.9995857661711733</v>
      </c>
      <c r="DQ32">
        <v>577.94100512386251</v>
      </c>
      <c r="DR32">
        <v>27.607017249935531</v>
      </c>
      <c r="DS32">
        <v>10.681429773984471</v>
      </c>
      <c r="DT32">
        <v>9.0956553445879873</v>
      </c>
      <c r="DU32">
        <v>2.9016690827445877</v>
      </c>
      <c r="DV32">
        <v>5.2056688473745227</v>
      </c>
      <c r="DW32">
        <v>605.11169774071857</v>
      </c>
      <c r="DX32">
        <v>27.630347901771636</v>
      </c>
      <c r="DY32">
        <v>10.55339041087988</v>
      </c>
      <c r="DZ32">
        <v>9.2035647879344573</v>
      </c>
      <c r="EA32">
        <v>2.9464126119594654</v>
      </c>
      <c r="EB32">
        <v>5.3961878820725167</v>
      </c>
      <c r="EC32">
        <v>645.04316188701227</v>
      </c>
      <c r="ED32">
        <v>27.137814936323778</v>
      </c>
      <c r="EE32">
        <v>10.449620485190142</v>
      </c>
      <c r="EG32">
        <v>36</v>
      </c>
      <c r="EH32">
        <v>7.7286293905003509</v>
      </c>
      <c r="EI32">
        <v>2.5564130142239017</v>
      </c>
      <c r="EJ32">
        <v>4.2349785882407005</v>
      </c>
      <c r="EK32">
        <v>519.30009379786736</v>
      </c>
      <c r="EL32">
        <v>26.470993514303707</v>
      </c>
      <c r="EM32">
        <v>10.218980246210375</v>
      </c>
      <c r="EN32">
        <v>7.8758384685647727</v>
      </c>
      <c r="EO32">
        <v>2.6114253430383241</v>
      </c>
      <c r="EP32">
        <v>4.3711072359626399</v>
      </c>
      <c r="EQ32">
        <v>535.36421105881755</v>
      </c>
      <c r="ER32">
        <v>26.526088703975788</v>
      </c>
      <c r="ES32">
        <v>10.277631362490844</v>
      </c>
      <c r="ET32">
        <v>7.8999241619668545</v>
      </c>
      <c r="EU32">
        <v>2.6774396938795317</v>
      </c>
      <c r="EV32">
        <v>4.6506346229490632</v>
      </c>
      <c r="EW32">
        <v>575.24713298931999</v>
      </c>
      <c r="EX32">
        <v>25.961492197692614</v>
      </c>
      <c r="EY32">
        <v>10.24317555836703</v>
      </c>
      <c r="EZ32">
        <v>8.2043937934923008</v>
      </c>
      <c r="FA32">
        <v>2.6520524374954504</v>
      </c>
      <c r="FB32">
        <v>4.8395731915989026</v>
      </c>
      <c r="FC32">
        <v>601.22175626502553</v>
      </c>
      <c r="FD32">
        <v>26.32670060917556</v>
      </c>
      <c r="FE32">
        <v>10.206489168522413</v>
      </c>
      <c r="FF32">
        <v>8.3102229126701026</v>
      </c>
      <c r="FG32">
        <v>2.6767075263620588</v>
      </c>
      <c r="FH32">
        <v>5.0174653266253699</v>
      </c>
      <c r="FI32">
        <v>629.8868471179818</v>
      </c>
      <c r="FJ32">
        <v>26.37254636125946</v>
      </c>
      <c r="FK32">
        <v>10.27287866431179</v>
      </c>
    </row>
    <row r="33" spans="2:167" x14ac:dyDescent="0.25">
      <c r="B33">
        <v>651.30032455457422</v>
      </c>
      <c r="C33">
        <v>1.5353899918350298</v>
      </c>
      <c r="D33">
        <v>685.39963025327756</v>
      </c>
      <c r="E33">
        <v>1.4590028296783109</v>
      </c>
      <c r="F33">
        <v>764.34160638321964</v>
      </c>
      <c r="G33">
        <v>1.3083155380378806</v>
      </c>
      <c r="H33">
        <v>830.04572526434458</v>
      </c>
      <c r="I33">
        <v>1.2047529064516658</v>
      </c>
      <c r="J33">
        <v>905.03306925425466</v>
      </c>
      <c r="K33">
        <v>1.1049320007985983</v>
      </c>
      <c r="L33">
        <v>719.20690456876025</v>
      </c>
      <c r="M33">
        <v>1.3904204668329827</v>
      </c>
      <c r="N33">
        <v>730.76716351278469</v>
      </c>
      <c r="O33">
        <v>1.3684249237377031</v>
      </c>
      <c r="Q33">
        <v>6.3123553688103629E-2</v>
      </c>
      <c r="R33">
        <v>6.3501588313451054E-2</v>
      </c>
      <c r="S33">
        <v>6.3925291894735836E-2</v>
      </c>
      <c r="T33">
        <v>6.452843578894675E-2</v>
      </c>
      <c r="U33">
        <v>6.4832769675837801E-2</v>
      </c>
      <c r="V33">
        <v>6.3869973492964402E-2</v>
      </c>
      <c r="W33">
        <v>6.349537863582301E-2</v>
      </c>
      <c r="Y33">
        <v>1.2752129736210744</v>
      </c>
      <c r="Z33">
        <v>1.2759548776190233</v>
      </c>
      <c r="AA33">
        <v>1.3076955612639336</v>
      </c>
      <c r="AB33">
        <v>1.3149876167028332</v>
      </c>
      <c r="AC33">
        <v>1.3387530400399585</v>
      </c>
      <c r="AD33">
        <v>1.296379305589104</v>
      </c>
      <c r="AE33">
        <v>1.2890078097929099</v>
      </c>
      <c r="AG33">
        <v>0.52489480134166666</v>
      </c>
      <c r="AH33">
        <v>0.52558233288554534</v>
      </c>
      <c r="AI33">
        <v>0.54138023297762339</v>
      </c>
      <c r="AJ33">
        <v>0.54069231984114019</v>
      </c>
      <c r="AK33">
        <v>0.55249291931745181</v>
      </c>
      <c r="AL33">
        <v>0.53531298698214191</v>
      </c>
      <c r="AM33">
        <v>0.53220685764558284</v>
      </c>
      <c r="AO33">
        <v>37</v>
      </c>
      <c r="AP33">
        <v>8.8056646522972013</v>
      </c>
      <c r="AQ33">
        <v>3.6854977167315668</v>
      </c>
      <c r="AR33">
        <v>4.8101197606317578</v>
      </c>
      <c r="AS33">
        <v>525.24588885323374</v>
      </c>
      <c r="AT33">
        <v>28.351321163974234</v>
      </c>
      <c r="AU33">
        <v>12.31209208864246</v>
      </c>
      <c r="AV33">
        <v>9.0567205508285795</v>
      </c>
      <c r="AW33">
        <v>3.7271549111059805</v>
      </c>
      <c r="AX33">
        <v>4.9981023947778356</v>
      </c>
      <c r="AY33">
        <v>545.00961028665324</v>
      </c>
      <c r="AZ33">
        <v>28.368480856297726</v>
      </c>
      <c r="BA33">
        <v>12.209241647322113</v>
      </c>
      <c r="BB33">
        <v>9.886040639645568</v>
      </c>
      <c r="BC33">
        <v>3.9002473250102949</v>
      </c>
      <c r="BD33">
        <v>5.3558936053042894</v>
      </c>
      <c r="BE33">
        <v>587.21608712387092</v>
      </c>
      <c r="BF33">
        <v>28.997925947656086</v>
      </c>
      <c r="BG33">
        <v>12.200565195957477</v>
      </c>
      <c r="BH33">
        <v>10.285660116879901</v>
      </c>
      <c r="BI33">
        <v>4.0049482249596027</v>
      </c>
      <c r="BJ33">
        <v>5.650626167950028</v>
      </c>
      <c r="BK33">
        <v>620.24451225159169</v>
      </c>
      <c r="BL33">
        <v>29.087895204837643</v>
      </c>
      <c r="BM33">
        <v>12.172068185326555</v>
      </c>
      <c r="BN33">
        <v>10.522193732017474</v>
      </c>
      <c r="BO33">
        <v>4.069761988713176</v>
      </c>
      <c r="BP33">
        <v>5.9603543754778023</v>
      </c>
      <c r="BQ33">
        <v>664.52851131542411</v>
      </c>
      <c r="BR33">
        <v>28.55983213355427</v>
      </c>
      <c r="BS33">
        <v>11.940354064352846</v>
      </c>
      <c r="BU33">
        <v>37</v>
      </c>
      <c r="BV33">
        <v>8.4691696868383648</v>
      </c>
      <c r="BW33">
        <v>3.1838329241543963</v>
      </c>
      <c r="BX33">
        <v>4.6602545375927633</v>
      </c>
      <c r="BY33">
        <v>531.09789378825064</v>
      </c>
      <c r="BZ33">
        <v>27.40534295035139</v>
      </c>
      <c r="CA33">
        <v>11.231848271164568</v>
      </c>
      <c r="CB33">
        <v>8.6441740918014816</v>
      </c>
      <c r="CC33">
        <v>3.1900403693689907</v>
      </c>
      <c r="CD33">
        <v>4.8292940818331553</v>
      </c>
      <c r="CE33">
        <v>550.99834308441007</v>
      </c>
      <c r="CF33">
        <v>27.311421941213982</v>
      </c>
      <c r="CG33">
        <v>11.101738448292419</v>
      </c>
      <c r="CH33">
        <v>9.4664644551857737</v>
      </c>
      <c r="CI33">
        <v>3.4669777607917527</v>
      </c>
      <c r="CJ33">
        <v>5.1666009494506939</v>
      </c>
      <c r="CK33">
        <v>593.64781266598891</v>
      </c>
      <c r="CL33">
        <v>27.976979062121469</v>
      </c>
      <c r="CM33">
        <v>11.33853851936702</v>
      </c>
      <c r="CN33">
        <v>9.8580238556469695</v>
      </c>
      <c r="CO33">
        <v>3.5138017882898742</v>
      </c>
      <c r="CP33">
        <v>5.4683468682873526</v>
      </c>
      <c r="CQ33">
        <v>627.43556386596651</v>
      </c>
      <c r="CR33">
        <v>28.072956215595905</v>
      </c>
      <c r="CS33">
        <v>11.24978000057884</v>
      </c>
      <c r="CT33">
        <v>10.003399099997631</v>
      </c>
      <c r="CU33">
        <v>3.5186530668982825</v>
      </c>
      <c r="CV33">
        <v>5.6885919875393265</v>
      </c>
      <c r="CW33">
        <v>670.78177562023313</v>
      </c>
      <c r="CX33">
        <v>27.520169405378471</v>
      </c>
      <c r="CY33">
        <v>11.00744990026211</v>
      </c>
      <c r="DA33">
        <v>37</v>
      </c>
      <c r="DB33">
        <v>8.202429782270416</v>
      </c>
      <c r="DC33">
        <v>2.8425525819285409</v>
      </c>
      <c r="DD33">
        <v>4.6588120128769361</v>
      </c>
      <c r="DE33">
        <v>530.1362342721518</v>
      </c>
      <c r="DF33">
        <v>26.951902343602775</v>
      </c>
      <c r="DG33">
        <v>10.608462984350052</v>
      </c>
      <c r="DH33">
        <v>8.3790512577218195</v>
      </c>
      <c r="DI33">
        <v>2.9679383696210451</v>
      </c>
      <c r="DJ33">
        <v>4.7902610718477154</v>
      </c>
      <c r="DK33">
        <v>547.8646938822535</v>
      </c>
      <c r="DL33">
        <v>26.983716176435497</v>
      </c>
      <c r="DM33">
        <v>10.759841903381712</v>
      </c>
      <c r="DN33">
        <v>9.1528013072673193</v>
      </c>
      <c r="DO33">
        <v>3.0318355099244645</v>
      </c>
      <c r="DP33">
        <v>5.1102943613068916</v>
      </c>
      <c r="DQ33">
        <v>591.30503926818233</v>
      </c>
      <c r="DR33">
        <v>27.55736581829083</v>
      </c>
      <c r="DS33">
        <v>10.647560771300169</v>
      </c>
      <c r="DT33">
        <v>9.3373806332028302</v>
      </c>
      <c r="DU33">
        <v>2.9746172026717641</v>
      </c>
      <c r="DV33">
        <v>5.3260832920466195</v>
      </c>
      <c r="DW33">
        <v>619.69564112448904</v>
      </c>
      <c r="DX33">
        <v>27.583424435672335</v>
      </c>
      <c r="DY33">
        <v>10.520208695648218</v>
      </c>
      <c r="DZ33">
        <v>9.4469690757034996</v>
      </c>
      <c r="EA33">
        <v>3.0204091501911563</v>
      </c>
      <c r="EB33">
        <v>5.5228169091940149</v>
      </c>
      <c r="EC33">
        <v>662.11849413027255</v>
      </c>
      <c r="ED33">
        <v>27.039870104115689</v>
      </c>
      <c r="EE33">
        <v>10.398973799222635</v>
      </c>
      <c r="EG33">
        <v>37</v>
      </c>
      <c r="EH33">
        <v>7.908902127542639</v>
      </c>
      <c r="EI33">
        <v>2.6160288062528987</v>
      </c>
      <c r="EJ33">
        <v>4.316338737285113</v>
      </c>
      <c r="EK33">
        <v>530.08987436802488</v>
      </c>
      <c r="EL33">
        <v>26.400527602729742</v>
      </c>
      <c r="EM33">
        <v>10.182059879370486</v>
      </c>
      <c r="EN33">
        <v>8.0647625670136112</v>
      </c>
      <c r="EO33">
        <v>2.6735220968711846</v>
      </c>
      <c r="EP33">
        <v>4.4579389116872452</v>
      </c>
      <c r="EQ33">
        <v>546.841922189407</v>
      </c>
      <c r="ER33">
        <v>26.459450391385012</v>
      </c>
      <c r="ES33">
        <v>10.241572547044008</v>
      </c>
      <c r="ET33">
        <v>8.0871572970832357</v>
      </c>
      <c r="EU33">
        <v>2.7439749863582281</v>
      </c>
      <c r="EV33">
        <v>4.7508727488963629</v>
      </c>
      <c r="EW33">
        <v>588.6661149112424</v>
      </c>
      <c r="EX33">
        <v>25.870633422520431</v>
      </c>
      <c r="EY33">
        <v>10.20628785015705</v>
      </c>
      <c r="EZ33">
        <v>8.4133949395850713</v>
      </c>
      <c r="FA33">
        <v>2.7191812566030777</v>
      </c>
      <c r="FB33">
        <v>4.9486424189417004</v>
      </c>
      <c r="FC33">
        <v>615.90592302990626</v>
      </c>
      <c r="FD33">
        <v>26.252941548136366</v>
      </c>
      <c r="FE33">
        <v>10.17020829338624</v>
      </c>
      <c r="FF33">
        <v>8.5237969362445405</v>
      </c>
      <c r="FG33">
        <v>2.7441038103853077</v>
      </c>
      <c r="FH33">
        <v>5.132359221006058</v>
      </c>
      <c r="FI33">
        <v>647.25592169143647</v>
      </c>
      <c r="FJ33">
        <v>26.234485257365172</v>
      </c>
      <c r="FK33">
        <v>10.210872254925933</v>
      </c>
    </row>
    <row r="34" spans="2:167" x14ac:dyDescent="0.25">
      <c r="B34">
        <v>658.36947764439253</v>
      </c>
      <c r="C34">
        <v>1.5189039497668415</v>
      </c>
      <c r="D34">
        <v>693.63245708333329</v>
      </c>
      <c r="E34">
        <v>1.4416857080260008</v>
      </c>
      <c r="F34">
        <v>775.54530469329541</v>
      </c>
      <c r="G34">
        <v>1.28941532357735</v>
      </c>
      <c r="H34">
        <v>843.81837771838002</v>
      </c>
      <c r="I34">
        <v>1.1850891452541281</v>
      </c>
      <c r="J34">
        <v>921.2075679237779</v>
      </c>
      <c r="K34">
        <v>1.0855316812624596</v>
      </c>
      <c r="L34">
        <v>729.51055586950588</v>
      </c>
      <c r="M34">
        <v>1.3707820838974658</v>
      </c>
      <c r="N34">
        <v>739.85922061872725</v>
      </c>
      <c r="O34">
        <v>1.3516084846029532</v>
      </c>
      <c r="Q34">
        <v>6.4739330610219969E-2</v>
      </c>
      <c r="R34">
        <v>6.5129385556149652E-2</v>
      </c>
      <c r="S34">
        <v>6.5576796172272453E-2</v>
      </c>
      <c r="T34">
        <v>6.6203063631937592E-2</v>
      </c>
      <c r="U34">
        <v>6.652203607763045E-2</v>
      </c>
      <c r="V34">
        <v>6.5518397842870793E-2</v>
      </c>
      <c r="W34">
        <v>6.5125994129414846E-2</v>
      </c>
      <c r="Y34">
        <v>1.301800312503018</v>
      </c>
      <c r="Z34">
        <v>1.3024978859439311</v>
      </c>
      <c r="AA34">
        <v>1.3359504432315323</v>
      </c>
      <c r="AB34">
        <v>1.3439193053827909</v>
      </c>
      <c r="AC34">
        <v>1.3682708947289934</v>
      </c>
      <c r="AD34">
        <v>1.3235123266652038</v>
      </c>
      <c r="AE34">
        <v>1.3165537616645946</v>
      </c>
      <c r="AG34">
        <v>0.53385724571248327</v>
      </c>
      <c r="AH34">
        <v>0.53456233921054752</v>
      </c>
      <c r="AI34">
        <v>0.55114335334440068</v>
      </c>
      <c r="AJ34">
        <v>0.55060937815343125</v>
      </c>
      <c r="AK34">
        <v>0.56273186175714507</v>
      </c>
      <c r="AL34">
        <v>0.54454865117641127</v>
      </c>
      <c r="AM34">
        <v>0.54166260615623774</v>
      </c>
      <c r="AO34">
        <v>38</v>
      </c>
      <c r="AP34">
        <v>9.0019805490759719</v>
      </c>
      <c r="AQ34">
        <v>3.7743509580670263</v>
      </c>
      <c r="AR34">
        <v>4.9002706708506398</v>
      </c>
      <c r="AS34">
        <v>536.00168288013344</v>
      </c>
      <c r="AT34">
        <v>28.271898078301426</v>
      </c>
      <c r="AU34">
        <v>12.287121519766233</v>
      </c>
      <c r="AV34">
        <v>9.2653845805700126</v>
      </c>
      <c r="AW34">
        <v>3.8178670647987025</v>
      </c>
      <c r="AX34">
        <v>5.0964273305830465</v>
      </c>
      <c r="AY34">
        <v>556.60457369743403</v>
      </c>
      <c r="AZ34">
        <v>28.290616002225764</v>
      </c>
      <c r="BA34">
        <v>12.181043407053723</v>
      </c>
      <c r="BB34">
        <v>10.130068745459718</v>
      </c>
      <c r="BC34">
        <v>3.9987291293554206</v>
      </c>
      <c r="BD34">
        <v>5.4693463154328708</v>
      </c>
      <c r="BE34">
        <v>600.44370513964964</v>
      </c>
      <c r="BF34">
        <v>28.939872170818131</v>
      </c>
      <c r="BG34">
        <v>12.175488377129103</v>
      </c>
      <c r="BH34">
        <v>10.552091810070866</v>
      </c>
      <c r="BI34">
        <v>4.1102200816850676</v>
      </c>
      <c r="BJ34">
        <v>5.778478116481331</v>
      </c>
      <c r="BK34">
        <v>634.97838010772932</v>
      </c>
      <c r="BL34">
        <v>29.035210188327149</v>
      </c>
      <c r="BM34">
        <v>12.148045831769435</v>
      </c>
      <c r="BN34">
        <v>10.79517792281462</v>
      </c>
      <c r="BO34">
        <v>4.1763838723046236</v>
      </c>
      <c r="BP34">
        <v>6.0988839460302193</v>
      </c>
      <c r="BQ34">
        <v>681.81026774451857</v>
      </c>
      <c r="BR34">
        <v>28.457977762172522</v>
      </c>
      <c r="BS34">
        <v>11.895392567133014</v>
      </c>
      <c r="BU34">
        <v>38</v>
      </c>
      <c r="BV34">
        <v>8.6627223200132022</v>
      </c>
      <c r="BW34">
        <v>3.2542166116530304</v>
      </c>
      <c r="BX34">
        <v>4.7486901734248654</v>
      </c>
      <c r="BY34">
        <v>542.07611136040373</v>
      </c>
      <c r="BZ34">
        <v>27.329237368427119</v>
      </c>
      <c r="CA34">
        <v>11.189911045352305</v>
      </c>
      <c r="CB34">
        <v>8.8469755490400939</v>
      </c>
      <c r="CC34">
        <v>3.2615500202822503</v>
      </c>
      <c r="CD34">
        <v>4.9251411652279478</v>
      </c>
      <c r="CE34">
        <v>562.84280160383491</v>
      </c>
      <c r="CF34">
        <v>27.233673743980457</v>
      </c>
      <c r="CG34">
        <v>11.057629964391499</v>
      </c>
      <c r="CH34">
        <v>9.704293378985918</v>
      </c>
      <c r="CI34">
        <v>3.550541864984774</v>
      </c>
      <c r="CJ34">
        <v>5.2767495433032474</v>
      </c>
      <c r="CK34">
        <v>607.07358609919936</v>
      </c>
      <c r="CL34">
        <v>27.922461286711595</v>
      </c>
      <c r="CM34">
        <v>11.304244239603793</v>
      </c>
      <c r="CN34">
        <v>10.117697973639569</v>
      </c>
      <c r="CO34">
        <v>3.6014959855842896</v>
      </c>
      <c r="CP34">
        <v>5.5930932818676045</v>
      </c>
      <c r="CQ34">
        <v>642.38332506915424</v>
      </c>
      <c r="CR34">
        <v>28.024290470338897</v>
      </c>
      <c r="CS34">
        <v>11.216079381971804</v>
      </c>
      <c r="CT34">
        <v>10.266049280871753</v>
      </c>
      <c r="CU34">
        <v>3.6054292945761484</v>
      </c>
      <c r="CV34">
        <v>5.8204846456319883</v>
      </c>
      <c r="CW34">
        <v>688.32411207413838</v>
      </c>
      <c r="CX34">
        <v>27.419950085256733</v>
      </c>
      <c r="CY34">
        <v>10.953337361197335</v>
      </c>
      <c r="DA34">
        <v>38</v>
      </c>
      <c r="DB34">
        <v>8.3884117925070747</v>
      </c>
      <c r="DC34">
        <v>2.9058913776582229</v>
      </c>
      <c r="DD34">
        <v>4.7481506862990521</v>
      </c>
      <c r="DE34">
        <v>540.94894843422878</v>
      </c>
      <c r="DF34">
        <v>26.879091333300092</v>
      </c>
      <c r="DG34">
        <v>10.569312036723105</v>
      </c>
      <c r="DH34">
        <v>8.5718432559918778</v>
      </c>
      <c r="DI34">
        <v>3.0364940470380581</v>
      </c>
      <c r="DJ34">
        <v>4.8847770530989552</v>
      </c>
      <c r="DK34">
        <v>559.30578387414982</v>
      </c>
      <c r="DL34">
        <v>26.913980453965184</v>
      </c>
      <c r="DM34">
        <v>10.725173291542783</v>
      </c>
      <c r="DN34">
        <v>9.3806415398336025</v>
      </c>
      <c r="DO34">
        <v>3.1046535538764046</v>
      </c>
      <c r="DP34">
        <v>5.2189473915184239</v>
      </c>
      <c r="DQ34">
        <v>604.47751179418628</v>
      </c>
      <c r="DR34">
        <v>27.506956904873352</v>
      </c>
      <c r="DS34">
        <v>10.615150526482889</v>
      </c>
      <c r="DT34">
        <v>9.5752547794551948</v>
      </c>
      <c r="DU34">
        <v>3.0470837667588446</v>
      </c>
      <c r="DV34">
        <v>5.444443209478723</v>
      </c>
      <c r="DW34">
        <v>634.08197783889591</v>
      </c>
      <c r="DX34">
        <v>27.535704074673845</v>
      </c>
      <c r="DY34">
        <v>10.488565171765433</v>
      </c>
      <c r="DZ34">
        <v>9.6865597003394992</v>
      </c>
      <c r="EA34">
        <v>3.0939426304813153</v>
      </c>
      <c r="EB34">
        <v>5.6473013070932465</v>
      </c>
      <c r="EC34">
        <v>679.02424196581114</v>
      </c>
      <c r="ED34">
        <v>26.942076710039462</v>
      </c>
      <c r="EE34">
        <v>10.350086366509528</v>
      </c>
      <c r="EG34">
        <v>38</v>
      </c>
      <c r="EH34">
        <v>8.0857322063549582</v>
      </c>
      <c r="EI34">
        <v>2.6750415320436036</v>
      </c>
      <c r="EJ34">
        <v>4.3962296666688161</v>
      </c>
      <c r="EK34">
        <v>540.74252256895909</v>
      </c>
      <c r="EL34">
        <v>26.329604222402345</v>
      </c>
      <c r="EM34">
        <v>10.146434129607945</v>
      </c>
      <c r="EN34">
        <v>8.2502712537740219</v>
      </c>
      <c r="EO34">
        <v>2.7350589916036827</v>
      </c>
      <c r="EP34">
        <v>4.5432759327023593</v>
      </c>
      <c r="EQ34">
        <v>558.17760227144902</v>
      </c>
      <c r="ER34">
        <v>26.392268111102986</v>
      </c>
      <c r="ES34">
        <v>10.206816569482173</v>
      </c>
      <c r="ET34">
        <v>8.2716599092429561</v>
      </c>
      <c r="EU34">
        <v>2.8098777853458068</v>
      </c>
      <c r="EV34">
        <v>4.8492705337514899</v>
      </c>
      <c r="EW34">
        <v>601.9417057331392</v>
      </c>
      <c r="EX34">
        <v>25.780495168375847</v>
      </c>
      <c r="EY34">
        <v>10.170160915470014</v>
      </c>
      <c r="EZ34">
        <v>8.6192117307362732</v>
      </c>
      <c r="FA34">
        <v>2.7858596766170862</v>
      </c>
      <c r="FB34">
        <v>5.0558716316504766</v>
      </c>
      <c r="FC34">
        <v>630.42080760931458</v>
      </c>
      <c r="FD34">
        <v>26.179102042527457</v>
      </c>
      <c r="FE34">
        <v>10.135112898467444</v>
      </c>
      <c r="FF34">
        <v>8.7340759730975215</v>
      </c>
      <c r="FG34">
        <v>2.8110755346081269</v>
      </c>
      <c r="FH34">
        <v>5.2453282327627173</v>
      </c>
      <c r="FI34">
        <v>664.5059665040817</v>
      </c>
      <c r="FJ34">
        <v>26.097342028411692</v>
      </c>
      <c r="FK34">
        <v>10.150537080821215</v>
      </c>
    </row>
    <row r="35" spans="2:167" x14ac:dyDescent="0.25">
      <c r="B35">
        <v>665.23128304599425</v>
      </c>
      <c r="C35">
        <v>1.5032365817511617</v>
      </c>
      <c r="D35">
        <v>701.63319456621628</v>
      </c>
      <c r="E35">
        <v>1.4252461367912455</v>
      </c>
      <c r="F35">
        <v>786.43064677005827</v>
      </c>
      <c r="G35">
        <v>1.271567943221809</v>
      </c>
      <c r="H35">
        <v>857.21963185118216</v>
      </c>
      <c r="I35">
        <v>1.1665621771172936</v>
      </c>
      <c r="J35">
        <v>936.95329372214951</v>
      </c>
      <c r="K35">
        <v>1.067289059871267</v>
      </c>
      <c r="L35">
        <v>739.52418091985237</v>
      </c>
      <c r="M35">
        <v>1.3522208276626688</v>
      </c>
      <c r="N35">
        <v>748.69245675613718</v>
      </c>
      <c r="O35">
        <v>1.3356619142828072</v>
      </c>
      <c r="Q35">
        <v>6.6353330710791816E-2</v>
      </c>
      <c r="R35">
        <v>6.675518784283932E-2</v>
      </c>
      <c r="S35">
        <v>6.7225734310006988E-2</v>
      </c>
      <c r="T35">
        <v>6.7874716179926284E-2</v>
      </c>
      <c r="U35">
        <v>6.8208043902791227E-2</v>
      </c>
      <c r="V35">
        <v>6.7164352239430888E-2</v>
      </c>
      <c r="W35">
        <v>6.6754533990576778E-2</v>
      </c>
      <c r="Y35">
        <v>1.3279767613047944</v>
      </c>
      <c r="Z35">
        <v>1.3286572091838671</v>
      </c>
      <c r="AA35">
        <v>1.3637683899621695</v>
      </c>
      <c r="AB35">
        <v>1.3724537983225764</v>
      </c>
      <c r="AC35">
        <v>1.3973909109499176</v>
      </c>
      <c r="AD35">
        <v>1.3502421189342484</v>
      </c>
      <c r="AE35">
        <v>1.3436853248678786</v>
      </c>
      <c r="AG35">
        <v>0.5427002930987106</v>
      </c>
      <c r="AH35">
        <v>0.54343320836227715</v>
      </c>
      <c r="AI35">
        <v>0.56077406792485229</v>
      </c>
      <c r="AJ35">
        <v>0.560412359418751</v>
      </c>
      <c r="AK35">
        <v>0.57285488744483926</v>
      </c>
      <c r="AL35">
        <v>0.55366718559762784</v>
      </c>
      <c r="AM35">
        <v>0.55099527280548477</v>
      </c>
      <c r="AO35">
        <v>39</v>
      </c>
      <c r="AP35">
        <v>9.1958928614355724</v>
      </c>
      <c r="AQ35">
        <v>3.8621632316700358</v>
      </c>
      <c r="AR35">
        <v>4.9890164999699289</v>
      </c>
      <c r="AS35">
        <v>546.64115031551978</v>
      </c>
      <c r="AT35">
        <v>28.193658602762866</v>
      </c>
      <c r="AU35">
        <v>12.262218865244561</v>
      </c>
      <c r="AV35">
        <v>9.4715337662135113</v>
      </c>
      <c r="AW35">
        <v>3.9075509901665901</v>
      </c>
      <c r="AX35">
        <v>5.1931940821727709</v>
      </c>
      <c r="AY35">
        <v>568.07445401769371</v>
      </c>
      <c r="AZ35">
        <v>28.213897356033943</v>
      </c>
      <c r="BA35">
        <v>12.153117428066187</v>
      </c>
      <c r="BB35">
        <v>10.370848216609522</v>
      </c>
      <c r="BC35">
        <v>4.0960508689603605</v>
      </c>
      <c r="BD35">
        <v>5.5808523322112178</v>
      </c>
      <c r="BE35">
        <v>613.49903528080677</v>
      </c>
      <c r="BF35">
        <v>28.882288579180248</v>
      </c>
      <c r="BG35">
        <v>12.150798155012369</v>
      </c>
      <c r="BH35">
        <v>10.814976489527499</v>
      </c>
      <c r="BI35">
        <v>4.2142859595506756</v>
      </c>
      <c r="BJ35">
        <v>5.904085049434352</v>
      </c>
      <c r="BK35">
        <v>649.51518943439521</v>
      </c>
      <c r="BL35">
        <v>28.982904535208508</v>
      </c>
      <c r="BM35">
        <v>12.124493045695852</v>
      </c>
      <c r="BN35">
        <v>11.064530415068749</v>
      </c>
      <c r="BO35">
        <v>4.2817917023223737</v>
      </c>
      <c r="BP35">
        <v>6.2349382962076367</v>
      </c>
      <c r="BQ35">
        <v>698.91477563569867</v>
      </c>
      <c r="BR35">
        <v>28.35742308292415</v>
      </c>
      <c r="BS35">
        <v>11.851302951248892</v>
      </c>
      <c r="BU35">
        <v>39</v>
      </c>
      <c r="BV35">
        <v>8.8538181877240127</v>
      </c>
      <c r="BW35">
        <v>3.3238577266459317</v>
      </c>
      <c r="BX35">
        <v>4.8357310427385372</v>
      </c>
      <c r="BY35">
        <v>552.93105254494537</v>
      </c>
      <c r="BZ35">
        <v>27.254282838963597</v>
      </c>
      <c r="CA35">
        <v>11.149180160021389</v>
      </c>
      <c r="CB35">
        <v>9.0472656359804748</v>
      </c>
      <c r="CC35">
        <v>3.3323538487269424</v>
      </c>
      <c r="CD35">
        <v>5.0194569669830198</v>
      </c>
      <c r="CE35">
        <v>574.55775559594167</v>
      </c>
      <c r="CF35">
        <v>27.157106581605792</v>
      </c>
      <c r="CG35">
        <v>11.014868991817451</v>
      </c>
      <c r="CH35">
        <v>9.9388849854184791</v>
      </c>
      <c r="CI35">
        <v>3.633195512572712</v>
      </c>
      <c r="CJ35">
        <v>5.3849988392780448</v>
      </c>
      <c r="CK35">
        <v>620.31930846165346</v>
      </c>
      <c r="CL35">
        <v>27.868377967645614</v>
      </c>
      <c r="CM35">
        <v>11.271046208351985</v>
      </c>
      <c r="CN35">
        <v>10.373841672004648</v>
      </c>
      <c r="CO35">
        <v>3.6882729632854536</v>
      </c>
      <c r="CP35">
        <v>5.715636271809819</v>
      </c>
      <c r="CQ35">
        <v>657.12490871075374</v>
      </c>
      <c r="CR35">
        <v>27.975962664525991</v>
      </c>
      <c r="CS35">
        <v>11.183611066462776</v>
      </c>
      <c r="CT35">
        <v>10.525152171649754</v>
      </c>
      <c r="CU35">
        <v>3.6913189048935173</v>
      </c>
      <c r="CV35">
        <v>5.9500246360819711</v>
      </c>
      <c r="CW35">
        <v>705.68489169708039</v>
      </c>
      <c r="CX35">
        <v>27.321038008654998</v>
      </c>
      <c r="CY35">
        <v>10.900868130015233</v>
      </c>
      <c r="DA35">
        <v>39</v>
      </c>
      <c r="DB35">
        <v>8.5710155972808604</v>
      </c>
      <c r="DC35">
        <v>2.9685938801030329</v>
      </c>
      <c r="DD35">
        <v>4.835819991152297</v>
      </c>
      <c r="DE35">
        <v>551.62580339304304</v>
      </c>
      <c r="DF35">
        <v>26.806100467215963</v>
      </c>
      <c r="DG35">
        <v>10.531530683693573</v>
      </c>
      <c r="DH35">
        <v>8.7613055350828528</v>
      </c>
      <c r="DI35">
        <v>3.1044229524101756</v>
      </c>
      <c r="DJ35">
        <v>4.9776156600967818</v>
      </c>
      <c r="DK35">
        <v>570.60675913020191</v>
      </c>
      <c r="DL35">
        <v>26.843996955904334</v>
      </c>
      <c r="DM35">
        <v>10.691684618501204</v>
      </c>
      <c r="DN35">
        <v>9.604398192096097</v>
      </c>
      <c r="DO35">
        <v>3.1767726934820857</v>
      </c>
      <c r="DP35">
        <v>5.3255452242391215</v>
      </c>
      <c r="DQ35">
        <v>617.45827361846398</v>
      </c>
      <c r="DR35">
        <v>27.455792366612446</v>
      </c>
      <c r="DS35">
        <v>10.584075150885134</v>
      </c>
      <c r="DT35">
        <v>9.8092777111464819</v>
      </c>
      <c r="DU35">
        <v>3.1190687531253074</v>
      </c>
      <c r="DV35">
        <v>5.5607485748402219</v>
      </c>
      <c r="DW35">
        <v>648.2706524286491</v>
      </c>
      <c r="DX35">
        <v>27.48718900725676</v>
      </c>
      <c r="DY35">
        <v>10.458325030673809</v>
      </c>
      <c r="DZ35">
        <v>9.9223365362787295</v>
      </c>
      <c r="EA35">
        <v>3.1670130154989047</v>
      </c>
      <c r="EB35">
        <v>5.7696410250527181</v>
      </c>
      <c r="EC35">
        <v>695.75834132507714</v>
      </c>
      <c r="ED35">
        <v>26.844418533664392</v>
      </c>
      <c r="EE35">
        <v>10.302818709564178</v>
      </c>
      <c r="EG35">
        <v>39</v>
      </c>
      <c r="EH35">
        <v>8.2591209358122732</v>
      </c>
      <c r="EI35">
        <v>2.7334511856811252</v>
      </c>
      <c r="EJ35">
        <v>4.4746516746619784</v>
      </c>
      <c r="EK35">
        <v>551.25744019701358</v>
      </c>
      <c r="EL35">
        <v>26.258225266621015</v>
      </c>
      <c r="EM35">
        <v>10.112011146619338</v>
      </c>
      <c r="EN35">
        <v>8.4323646814961606</v>
      </c>
      <c r="EO35">
        <v>2.796036018501201</v>
      </c>
      <c r="EP35">
        <v>4.6271182961014423</v>
      </c>
      <c r="EQ35">
        <v>569.370761588248</v>
      </c>
      <c r="ER35">
        <v>26.324543272494324</v>
      </c>
      <c r="ES35">
        <v>10.17326664217628</v>
      </c>
      <c r="ET35">
        <v>8.4534319297053759</v>
      </c>
      <c r="EU35">
        <v>2.8751480733461183</v>
      </c>
      <c r="EV35">
        <v>4.9458282268103622</v>
      </c>
      <c r="EW35">
        <v>615.07111536090326</v>
      </c>
      <c r="EX35">
        <v>25.691077825777601</v>
      </c>
      <c r="EY35">
        <v>10.134763273219198</v>
      </c>
      <c r="EZ35">
        <v>8.8218440914036247</v>
      </c>
      <c r="FA35">
        <v>2.8520876770326464</v>
      </c>
      <c r="FB35">
        <v>5.1612608061304321</v>
      </c>
      <c r="FC35">
        <v>644.76485925115003</v>
      </c>
      <c r="FD35">
        <v>26.105182517189192</v>
      </c>
      <c r="FE35">
        <v>10.101115191695373</v>
      </c>
      <c r="FF35">
        <v>8.9410599127394761</v>
      </c>
      <c r="FG35">
        <v>2.877622664847042</v>
      </c>
      <c r="FH35">
        <v>5.3563723143935507</v>
      </c>
      <c r="FI35">
        <v>681.63379507048012</v>
      </c>
      <c r="FJ35">
        <v>25.961082941096695</v>
      </c>
      <c r="FK35">
        <v>10.091755654480442</v>
      </c>
    </row>
    <row r="36" spans="2:167" x14ac:dyDescent="0.25">
      <c r="B36">
        <v>671.88559371094016</v>
      </c>
      <c r="C36">
        <v>1.4883486256593585</v>
      </c>
      <c r="D36">
        <v>709.40162267178823</v>
      </c>
      <c r="E36">
        <v>1.4096387265562542</v>
      </c>
      <c r="F36">
        <v>796.99722678150181</v>
      </c>
      <c r="G36">
        <v>1.2547095101425638</v>
      </c>
      <c r="H36">
        <v>870.24884803535656</v>
      </c>
      <c r="I36">
        <v>1.1490966086971159</v>
      </c>
      <c r="J36">
        <v>952.26929382278036</v>
      </c>
      <c r="K36">
        <v>1.0501231179949213</v>
      </c>
      <c r="L36">
        <v>749.24738463938581</v>
      </c>
      <c r="M36">
        <v>1.3346726601939383</v>
      </c>
      <c r="N36">
        <v>757.26661833357514</v>
      </c>
      <c r="O36">
        <v>1.3205388641065134</v>
      </c>
      <c r="Q36">
        <v>6.7965552729719103E-2</v>
      </c>
      <c r="R36">
        <v>6.8378993282220607E-2</v>
      </c>
      <c r="S36">
        <v>6.8872103036693097E-2</v>
      </c>
      <c r="T36">
        <v>6.9543388308818052E-2</v>
      </c>
      <c r="U36">
        <v>6.9890785910054015E-2</v>
      </c>
      <c r="V36">
        <v>6.8807833318017583E-2</v>
      </c>
      <c r="W36">
        <v>6.8380996185614926E-2</v>
      </c>
      <c r="Y36">
        <v>1.3537423183648156</v>
      </c>
      <c r="Z36">
        <v>1.3544328441348692</v>
      </c>
      <c r="AA36">
        <v>1.3911493960282295</v>
      </c>
      <c r="AB36">
        <v>1.4005910856678032</v>
      </c>
      <c r="AC36">
        <v>1.4261130725543429</v>
      </c>
      <c r="AD36">
        <v>1.3765686751104067</v>
      </c>
      <c r="AE36">
        <v>1.3704024956081235</v>
      </c>
      <c r="AG36">
        <v>0.55142394315045329</v>
      </c>
      <c r="AH36">
        <v>0.55219493976499856</v>
      </c>
      <c r="AI36">
        <v>0.57027237533101338</v>
      </c>
      <c r="AJ36">
        <v>0.57010126177736864</v>
      </c>
      <c r="AK36">
        <v>0.58286199278251805</v>
      </c>
      <c r="AL36">
        <v>0.56266858847051737</v>
      </c>
      <c r="AM36">
        <v>0.56020485667468922</v>
      </c>
      <c r="AO36">
        <v>40</v>
      </c>
      <c r="AP36">
        <v>9.3874015667587862</v>
      </c>
      <c r="AQ36">
        <v>3.9489338655632866</v>
      </c>
      <c r="AR36">
        <v>5.0763572332864877</v>
      </c>
      <c r="AS36">
        <v>557.16197800150076</v>
      </c>
      <c r="AT36">
        <v>28.116600150255795</v>
      </c>
      <c r="AU36">
        <v>12.237413109132675</v>
      </c>
      <c r="AV36">
        <v>9.6751680674023852</v>
      </c>
      <c r="AW36">
        <v>3.9962064551807166</v>
      </c>
      <c r="AX36">
        <v>5.288402624155216</v>
      </c>
      <c r="AY36">
        <v>579.41677459746143</v>
      </c>
      <c r="AZ36">
        <v>28.138323818764711</v>
      </c>
      <c r="BA36">
        <v>12.12547926262846</v>
      </c>
      <c r="BB36">
        <v>10.608378953298656</v>
      </c>
      <c r="BC36">
        <v>4.1922125104776793</v>
      </c>
      <c r="BD36">
        <v>5.6904116076308409</v>
      </c>
      <c r="BE36">
        <v>626.38031622233916</v>
      </c>
      <c r="BF36">
        <v>28.825173098089572</v>
      </c>
      <c r="BG36">
        <v>12.126481261827983</v>
      </c>
      <c r="BH36">
        <v>11.074313982639925</v>
      </c>
      <c r="BI36">
        <v>4.3171458011319537</v>
      </c>
      <c r="BJ36">
        <v>6.0274468874681659</v>
      </c>
      <c r="BK36">
        <v>663.85307476320179</v>
      </c>
      <c r="BL36">
        <v>28.930978779503434</v>
      </c>
      <c r="BM36">
        <v>12.101387810145384</v>
      </c>
      <c r="BN36">
        <v>11.33025092797928</v>
      </c>
      <c r="BO36">
        <v>4.3859853844560126</v>
      </c>
      <c r="BP36">
        <v>6.3685172947811504</v>
      </c>
      <c r="BQ36">
        <v>715.83812866348092</v>
      </c>
      <c r="BR36">
        <v>28.258141609789472</v>
      </c>
      <c r="BS36">
        <v>11.808048587056795</v>
      </c>
      <c r="BU36">
        <v>40</v>
      </c>
      <c r="BV36">
        <v>9.0424572657523328</v>
      </c>
      <c r="BW36">
        <v>3.3927562638338196</v>
      </c>
      <c r="BX36">
        <v>4.921377131142207</v>
      </c>
      <c r="BY36">
        <v>563.66029903344383</v>
      </c>
      <c r="BZ36">
        <v>27.180477815554543</v>
      </c>
      <c r="CA36">
        <v>11.109605736849742</v>
      </c>
      <c r="CB36">
        <v>9.2450443114424221</v>
      </c>
      <c r="CC36">
        <v>3.402451845514864</v>
      </c>
      <c r="CD36">
        <v>5.1122414624343149</v>
      </c>
      <c r="CE36">
        <v>586.14054828141172</v>
      </c>
      <c r="CF36">
        <v>27.081718062723926</v>
      </c>
      <c r="CG36">
        <v>10.973394510912923</v>
      </c>
      <c r="CH36">
        <v>10.170239174217935</v>
      </c>
      <c r="CI36">
        <v>3.7149386788366652</v>
      </c>
      <c r="CJ36">
        <v>5.4913487911864216</v>
      </c>
      <c r="CK36">
        <v>633.38318924557393</v>
      </c>
      <c r="CL36">
        <v>27.814728209393188</v>
      </c>
      <c r="CM36">
        <v>11.238876333749825</v>
      </c>
      <c r="CN36">
        <v>10.626454778305972</v>
      </c>
      <c r="CO36">
        <v>3.7741326792196355</v>
      </c>
      <c r="CP36">
        <v>5.8359757616686272</v>
      </c>
      <c r="CQ36">
        <v>671.65844230494235</v>
      </c>
      <c r="CR36">
        <v>27.927974745580467</v>
      </c>
      <c r="CS36">
        <v>11.152290975528034</v>
      </c>
      <c r="CT36">
        <v>10.780707498301503</v>
      </c>
      <c r="CU36">
        <v>3.7763218293287224</v>
      </c>
      <c r="CV36">
        <v>6.0772118334625302</v>
      </c>
      <c r="CW36">
        <v>722.86004032500136</v>
      </c>
      <c r="CX36">
        <v>27.223405198790516</v>
      </c>
      <c r="CY36">
        <v>10.849939699354055</v>
      </c>
      <c r="DA36">
        <v>40</v>
      </c>
      <c r="DB36">
        <v>8.7502415748784568</v>
      </c>
      <c r="DC36">
        <v>3.0306600832646935</v>
      </c>
      <c r="DD36">
        <v>4.921820341498826</v>
      </c>
      <c r="DE36">
        <v>562.16587827558317</v>
      </c>
      <c r="DF36">
        <v>26.732929093121403</v>
      </c>
      <c r="DG36">
        <v>10.495029561924087</v>
      </c>
      <c r="DH36">
        <v>8.9474380856854534</v>
      </c>
      <c r="DI36">
        <v>3.1717250663508452</v>
      </c>
      <c r="DJ36">
        <v>5.068776890382197</v>
      </c>
      <c r="DK36">
        <v>581.76672226851667</v>
      </c>
      <c r="DL36">
        <v>26.773767305207674</v>
      </c>
      <c r="DM36">
        <v>10.65929771952222</v>
      </c>
      <c r="DN36">
        <v>9.8240712537280892</v>
      </c>
      <c r="DO36">
        <v>3.2481929099458755</v>
      </c>
      <c r="DP36">
        <v>5.4300882274891054</v>
      </c>
      <c r="DQ36">
        <v>630.24714891808594</v>
      </c>
      <c r="DR36">
        <v>27.403873814301392</v>
      </c>
      <c r="DS36">
        <v>10.554223971238967</v>
      </c>
      <c r="DT36">
        <v>10.039449357964127</v>
      </c>
      <c r="DU36">
        <v>3.1905721404622116</v>
      </c>
      <c r="DV36">
        <v>5.6749993639491487</v>
      </c>
      <c r="DW36">
        <v>662.26158430764633</v>
      </c>
      <c r="DX36">
        <v>27.437881079880569</v>
      </c>
      <c r="DY36">
        <v>10.429368107192889</v>
      </c>
      <c r="DZ36">
        <v>10.154299461149648</v>
      </c>
      <c r="EA36">
        <v>3.2396202688619438</v>
      </c>
      <c r="EB36">
        <v>5.8898360136443273</v>
      </c>
      <c r="EC36">
        <v>712.3186975319021</v>
      </c>
      <c r="ED36">
        <v>26.746881429118222</v>
      </c>
      <c r="EE36">
        <v>10.257046899719919</v>
      </c>
      <c r="EG36">
        <v>40</v>
      </c>
      <c r="EH36">
        <v>8.4290696259510742</v>
      </c>
      <c r="EI36">
        <v>2.7912577614220027</v>
      </c>
      <c r="EJ36">
        <v>4.5516050597994697</v>
      </c>
      <c r="EK36">
        <v>561.63401073041121</v>
      </c>
      <c r="EL36">
        <v>26.186392441688607</v>
      </c>
      <c r="EM36">
        <v>10.078707986368153</v>
      </c>
      <c r="EN36">
        <v>8.6110430030116571</v>
      </c>
      <c r="EO36">
        <v>2.8564531690712922</v>
      </c>
      <c r="EP36">
        <v>4.7094659990585379</v>
      </c>
      <c r="EQ36">
        <v>580.42089081123765</v>
      </c>
      <c r="ER36">
        <v>26.256277137021662</v>
      </c>
      <c r="ES36">
        <v>10.140835541712731</v>
      </c>
      <c r="ET36">
        <v>8.6324732916401619</v>
      </c>
      <c r="EU36">
        <v>2.9397858333492333</v>
      </c>
      <c r="EV36">
        <v>5.0405460777670097</v>
      </c>
      <c r="EW36">
        <v>628.05154364518421</v>
      </c>
      <c r="EX36">
        <v>25.602381749372221</v>
      </c>
      <c r="EY36">
        <v>10.100066713478695</v>
      </c>
      <c r="EZ36">
        <v>9.021291948018213</v>
      </c>
      <c r="FA36">
        <v>2.9178652378805729</v>
      </c>
      <c r="FB36">
        <v>5.2648099194031293</v>
      </c>
      <c r="FC36">
        <v>658.93651286766828</v>
      </c>
      <c r="FD36">
        <v>26.031183352417042</v>
      </c>
      <c r="FE36">
        <v>10.068136783835952</v>
      </c>
      <c r="FF36">
        <v>9.1447486474897914</v>
      </c>
      <c r="FG36">
        <v>2.9437451677876183</v>
      </c>
      <c r="FH36">
        <v>5.4654914196043904</v>
      </c>
      <c r="FI36">
        <v>698.6361712307978</v>
      </c>
      <c r="FJ36">
        <v>25.825678188381893</v>
      </c>
      <c r="FK36">
        <v>10.034423460651135</v>
      </c>
    </row>
    <row r="37" spans="2:167" x14ac:dyDescent="0.25">
      <c r="B37">
        <v>678.33226698774342</v>
      </c>
      <c r="C37">
        <v>1.474203791661983</v>
      </c>
      <c r="D37">
        <v>716.93752765930094</v>
      </c>
      <c r="E37">
        <v>1.3948216705364243</v>
      </c>
      <c r="F37">
        <v>807.24465053373274</v>
      </c>
      <c r="G37">
        <v>1.2387818232537331</v>
      </c>
      <c r="H37">
        <v>882.90540387635747</v>
      </c>
      <c r="I37">
        <v>1.1326241697123427</v>
      </c>
      <c r="J37">
        <v>967.15464039737071</v>
      </c>
      <c r="K37">
        <v>1.033960814776357</v>
      </c>
      <c r="L37">
        <v>758.6797831500262</v>
      </c>
      <c r="M37">
        <v>1.318079145127627</v>
      </c>
      <c r="N37">
        <v>765.5814590789787</v>
      </c>
      <c r="O37">
        <v>1.3061967320930616</v>
      </c>
      <c r="Q37">
        <v>6.9575995444580513E-2</v>
      </c>
      <c r="R37">
        <v>7.000080003705543E-2</v>
      </c>
      <c r="S37">
        <v>7.0515899174894522E-2</v>
      </c>
      <c r="T37">
        <v>7.1209075032571567E-2</v>
      </c>
      <c r="U37">
        <v>7.1570255048134052E-2</v>
      </c>
      <c r="V37">
        <v>7.0448837809406278E-2</v>
      </c>
      <c r="W37">
        <v>7.000537873953365E-2</v>
      </c>
      <c r="Y37">
        <v>1.3790969820711785</v>
      </c>
      <c r="Z37">
        <v>1.3798247876845591</v>
      </c>
      <c r="AA37">
        <v>1.4180934561577463</v>
      </c>
      <c r="AB37">
        <v>1.4283311578295823</v>
      </c>
      <c r="AC37">
        <v>1.454437363817549</v>
      </c>
      <c r="AD37">
        <v>1.4024919881144329</v>
      </c>
      <c r="AE37">
        <v>1.3967052702002152</v>
      </c>
      <c r="AG37">
        <v>0.56002819552827765</v>
      </c>
      <c r="AH37">
        <v>0.5608475328594329</v>
      </c>
      <c r="AI37">
        <v>0.57963827421472214</v>
      </c>
      <c r="AJ37">
        <v>0.57967608341965815</v>
      </c>
      <c r="AK37">
        <v>0.59275317426656204</v>
      </c>
      <c r="AL37">
        <v>0.57155285807014244</v>
      </c>
      <c r="AM37">
        <v>0.56929135687173094</v>
      </c>
      <c r="AO37">
        <v>41</v>
      </c>
      <c r="AP37">
        <v>9.5765066431046915</v>
      </c>
      <c r="AQ37">
        <v>4.0346621873267736</v>
      </c>
      <c r="AR37">
        <v>5.1622928565368209</v>
      </c>
      <c r="AS37">
        <v>567.5618587412331</v>
      </c>
      <c r="AT37">
        <v>28.040720321014696</v>
      </c>
      <c r="AU37">
        <v>12.212730694890091</v>
      </c>
      <c r="AV37">
        <v>9.8762874449335047</v>
      </c>
      <c r="AW37">
        <v>4.0838332279464895</v>
      </c>
      <c r="AX37">
        <v>5.3820529318643988</v>
      </c>
      <c r="AY37">
        <v>590.62906535317677</v>
      </c>
      <c r="AZ37">
        <v>28.063894372469623</v>
      </c>
      <c r="BA37">
        <v>12.098143079942655</v>
      </c>
      <c r="BB37">
        <v>10.842660858592666</v>
      </c>
      <c r="BC37">
        <v>4.2872140215162435</v>
      </c>
      <c r="BD37">
        <v>5.7980240950599953</v>
      </c>
      <c r="BE37">
        <v>639.08579280717424</v>
      </c>
      <c r="BF37">
        <v>28.76852385095529</v>
      </c>
      <c r="BG37">
        <v>12.102525809010164</v>
      </c>
      <c r="BH37">
        <v>11.330104121448734</v>
      </c>
      <c r="BI37">
        <v>4.4187995505515616</v>
      </c>
      <c r="BJ37">
        <v>6.1485635533794509</v>
      </c>
      <c r="BK37">
        <v>677.99017882175042</v>
      </c>
      <c r="BL37">
        <v>28.879433400195563</v>
      </c>
      <c r="BM37">
        <v>12.07871047931296</v>
      </c>
      <c r="BN37">
        <v>11.592339188112696</v>
      </c>
      <c r="BO37">
        <v>4.4889648268694486</v>
      </c>
      <c r="BP37">
        <v>6.499620813964766</v>
      </c>
      <c r="BQ37">
        <v>732.57642623065033</v>
      </c>
      <c r="BR37">
        <v>28.160109183598806</v>
      </c>
      <c r="BS37">
        <v>11.765596612267567</v>
      </c>
      <c r="BU37">
        <v>41</v>
      </c>
      <c r="BV37">
        <v>9.2286395306038642</v>
      </c>
      <c r="BW37">
        <v>3.4609122180758676</v>
      </c>
      <c r="BX37">
        <v>5.0056284246746321</v>
      </c>
      <c r="BY37">
        <v>574.26143920223456</v>
      </c>
      <c r="BZ37">
        <v>27.107820882006322</v>
      </c>
      <c r="CA37">
        <v>11.071142393052197</v>
      </c>
      <c r="CB37">
        <v>9.440311535422838</v>
      </c>
      <c r="CC37">
        <v>3.4718440017204535</v>
      </c>
      <c r="CD37">
        <v>5.2034946276227751</v>
      </c>
      <c r="CE37">
        <v>597.58853000138049</v>
      </c>
      <c r="CF37">
        <v>27.0075059737744</v>
      </c>
      <c r="CG37">
        <v>10.933151132560067</v>
      </c>
      <c r="CH37">
        <v>10.398355847994102</v>
      </c>
      <c r="CI37">
        <v>3.7957713397666004</v>
      </c>
      <c r="CJ37">
        <v>5.5957993541642761</v>
      </c>
      <c r="CK37">
        <v>646.26344479896636</v>
      </c>
      <c r="CL37">
        <v>27.761511202544185</v>
      </c>
      <c r="CM37">
        <v>11.207673400317457</v>
      </c>
      <c r="CN37">
        <v>10.875537124753091</v>
      </c>
      <c r="CO37">
        <v>3.8590750923493498</v>
      </c>
      <c r="CP37">
        <v>5.9541116770582496</v>
      </c>
      <c r="CQ37">
        <v>685.9820624074988</v>
      </c>
      <c r="CR37">
        <v>27.880328461435152</v>
      </c>
      <c r="CS37">
        <v>11.122043910050689</v>
      </c>
      <c r="CT37">
        <v>11.032714993986314</v>
      </c>
      <c r="CU37">
        <v>3.8604380011578265</v>
      </c>
      <c r="CV37">
        <v>6.2020461156375992</v>
      </c>
      <c r="CW37">
        <v>739.84549003218513</v>
      </c>
      <c r="CX37">
        <v>27.127026148373574</v>
      </c>
      <c r="CY37">
        <v>10.80046036724125</v>
      </c>
      <c r="DA37">
        <v>41</v>
      </c>
      <c r="DB37">
        <v>8.9260901039085763</v>
      </c>
      <c r="DC37">
        <v>3.0920899813242828</v>
      </c>
      <c r="DD37">
        <v>5.0061521517532759</v>
      </c>
      <c r="DE37">
        <v>572.56823786245945</v>
      </c>
      <c r="DF37">
        <v>26.659576618549394</v>
      </c>
      <c r="DG37">
        <v>10.459727821881167</v>
      </c>
      <c r="DH37">
        <v>9.1302408987564849</v>
      </c>
      <c r="DI37">
        <v>3.2384003697315298</v>
      </c>
      <c r="DJ37">
        <v>5.1582607415664929</v>
      </c>
      <c r="DK37">
        <v>592.7847616515254</v>
      </c>
      <c r="DL37">
        <v>26.703292967760888</v>
      </c>
      <c r="DM37">
        <v>10.627942027470914</v>
      </c>
      <c r="DN37">
        <v>10.03966071469902</v>
      </c>
      <c r="DO37">
        <v>3.3189141850111481</v>
      </c>
      <c r="DP37">
        <v>5.5325767698528434</v>
      </c>
      <c r="DQ37">
        <v>642.84393479829941</v>
      </c>
      <c r="DR37">
        <v>27.35120264423584</v>
      </c>
      <c r="DS37">
        <v>10.525497867905454</v>
      </c>
      <c r="DT37">
        <v>10.265769651489919</v>
      </c>
      <c r="DU37">
        <v>3.2615939080347229</v>
      </c>
      <c r="DV37">
        <v>5.7871955532750441</v>
      </c>
      <c r="DW37">
        <v>676.0546674423407</v>
      </c>
      <c r="DX37">
        <v>27.387781842198088</v>
      </c>
      <c r="DY37">
        <v>10.401586992798116</v>
      </c>
      <c r="DZ37">
        <v>10.382448355791249</v>
      </c>
      <c r="EA37">
        <v>3.3117643551429681</v>
      </c>
      <c r="EB37">
        <v>6.0078862247367582</v>
      </c>
      <c r="EC37">
        <v>728.70318515497547</v>
      </c>
      <c r="ED37">
        <v>26.649453043812716</v>
      </c>
      <c r="EE37">
        <v>10.212660516060771</v>
      </c>
      <c r="EG37">
        <v>41</v>
      </c>
      <c r="EH37">
        <v>8.5955795879230354</v>
      </c>
      <c r="EI37">
        <v>2.848461253694512</v>
      </c>
      <c r="EJ37">
        <v>4.6270901208702844</v>
      </c>
      <c r="EK37">
        <v>571.87159896648507</v>
      </c>
      <c r="EL37">
        <v>26.114107288499429</v>
      </c>
      <c r="EM37">
        <v>10.046449605556258</v>
      </c>
      <c r="EN37">
        <v>8.7863063713267309</v>
      </c>
      <c r="EO37">
        <v>2.9163104350642559</v>
      </c>
      <c r="EP37">
        <v>4.7903190388284678</v>
      </c>
      <c r="EQ37">
        <v>591.3274606352395</v>
      </c>
      <c r="ER37">
        <v>26.187470835769954</v>
      </c>
      <c r="ES37">
        <v>10.109444503915618</v>
      </c>
      <c r="ET37">
        <v>8.808783930133476</v>
      </c>
      <c r="EU37">
        <v>3.0037910488330204</v>
      </c>
      <c r="EV37">
        <v>5.1334243366983596</v>
      </c>
      <c r="EW37">
        <v>640.8801810158659</v>
      </c>
      <c r="EX37">
        <v>25.514407262214689</v>
      </c>
      <c r="EY37">
        <v>10.066045916276538</v>
      </c>
      <c r="EZ37">
        <v>9.2175552289932305</v>
      </c>
      <c r="FA37">
        <v>2.9831923397296891</v>
      </c>
      <c r="FB37">
        <v>5.3665189491092171</v>
      </c>
      <c r="FC37">
        <v>672.93418881461901</v>
      </c>
      <c r="FD37">
        <v>25.957104889533067</v>
      </c>
      <c r="FE37">
        <v>10.036107511315905</v>
      </c>
      <c r="FF37">
        <v>9.3451420724929513</v>
      </c>
      <c r="FG37">
        <v>3.0094430109894565</v>
      </c>
      <c r="FH37">
        <v>5.5726855033156371</v>
      </c>
      <c r="FI37">
        <v>715.50980953837347</v>
      </c>
      <c r="FJ37">
        <v>25.691101348038369</v>
      </c>
      <c r="FK37">
        <v>9.9784472660308356</v>
      </c>
    </row>
    <row r="38" spans="2:167" x14ac:dyDescent="0.25">
      <c r="B38">
        <v>684.57116462949659</v>
      </c>
      <c r="C38">
        <v>1.4607685097884888</v>
      </c>
      <c r="D38">
        <v>724.24070209204979</v>
      </c>
      <c r="E38">
        <v>1.3807564213270378</v>
      </c>
      <c r="F38">
        <v>817.17253550756755</v>
      </c>
      <c r="G38">
        <v>1.2237317782331898</v>
      </c>
      <c r="H38">
        <v>895.18869428633889</v>
      </c>
      <c r="I38">
        <v>1.1170829193695511</v>
      </c>
      <c r="J38">
        <v>981.60843075524645</v>
      </c>
      <c r="K38">
        <v>1.0187361565656106</v>
      </c>
      <c r="L38">
        <v>767.82100381372982</v>
      </c>
      <c r="M38">
        <v>1.3023868779742263</v>
      </c>
      <c r="N38">
        <v>773.6367400572841</v>
      </c>
      <c r="O38">
        <v>1.2925963158445071</v>
      </c>
      <c r="Q38">
        <v>7.1184657670698814E-2</v>
      </c>
      <c r="R38">
        <v>7.1620606324292957E-2</v>
      </c>
      <c r="S38">
        <v>7.2157119641280076E-2</v>
      </c>
      <c r="T38">
        <v>7.2871771503790539E-2</v>
      </c>
      <c r="U38">
        <v>7.3246444456786824E-2</v>
      </c>
      <c r="V38">
        <v>7.2087362540096026E-2</v>
      </c>
      <c r="W38">
        <v>7.1627679736176939E-2</v>
      </c>
      <c r="Y38">
        <v>1.4040407508617494</v>
      </c>
      <c r="Z38">
        <v>1.4048330368123545</v>
      </c>
      <c r="AA38">
        <v>1.4446005652348917</v>
      </c>
      <c r="AB38">
        <v>1.4556740054856596</v>
      </c>
      <c r="AC38">
        <v>1.4823637694408447</v>
      </c>
      <c r="AD38">
        <v>1.4280120510743655</v>
      </c>
      <c r="AE38">
        <v>1.4225936450688259</v>
      </c>
      <c r="AG38">
        <v>0.56851304990323148</v>
      </c>
      <c r="AH38">
        <v>0.56939098710279679</v>
      </c>
      <c r="AI38">
        <v>0.5888717632677446</v>
      </c>
      <c r="AJ38">
        <v>0.58913682258631339</v>
      </c>
      <c r="AK38">
        <v>0.60252842848827548</v>
      </c>
      <c r="AL38">
        <v>0.58031999272207213</v>
      </c>
      <c r="AM38">
        <v>0.57825477253106783</v>
      </c>
      <c r="AO38">
        <v>42</v>
      </c>
      <c r="AP38">
        <v>9.763208069209826</v>
      </c>
      <c r="AQ38">
        <v>4.1193475241216717</v>
      </c>
      <c r="AR38">
        <v>5.2468233558978428</v>
      </c>
      <c r="AS38">
        <v>577.83849228498866</v>
      </c>
      <c r="AT38">
        <v>27.966016884070516</v>
      </c>
      <c r="AU38">
        <v>12.188195796410252</v>
      </c>
      <c r="AV38">
        <v>10.074891860759998</v>
      </c>
      <c r="AW38">
        <v>4.1704310767144461</v>
      </c>
      <c r="AX38">
        <v>5.4741449813618281</v>
      </c>
      <c r="AY38">
        <v>601.70886383774712</v>
      </c>
      <c r="AZ38">
        <v>27.990608071962299</v>
      </c>
      <c r="BA38">
        <v>12.071121819068164</v>
      </c>
      <c r="BB38">
        <v>11.073693838427982</v>
      </c>
      <c r="BC38">
        <v>4.3810553706442459</v>
      </c>
      <c r="BD38">
        <v>5.9036897492480183</v>
      </c>
      <c r="BE38">
        <v>651.61371635755359</v>
      </c>
      <c r="BF38">
        <v>28.712339136741701</v>
      </c>
      <c r="BG38">
        <v>12.078921124506303</v>
      </c>
      <c r="BH38">
        <v>11.582346742664896</v>
      </c>
      <c r="BI38">
        <v>4.5192471534859164</v>
      </c>
      <c r="BJ38">
        <v>6.2674349721116513</v>
      </c>
      <c r="BK38">
        <v>691.92465290188932</v>
      </c>
      <c r="BL38">
        <v>28.828268827277654</v>
      </c>
      <c r="BM38">
        <v>12.05644348333198</v>
      </c>
      <c r="BN38">
        <v>11.850794929443602</v>
      </c>
      <c r="BO38">
        <v>4.5907299402147048</v>
      </c>
      <c r="BP38">
        <v>6.6282487294346</v>
      </c>
      <c r="BQ38">
        <v>749.12577408883249</v>
      </c>
      <c r="BR38">
        <v>28.063303698222096</v>
      </c>
      <c r="BS38">
        <v>11.723917461573711</v>
      </c>
      <c r="BU38">
        <v>42</v>
      </c>
      <c r="BV38">
        <v>9.4123649595097305</v>
      </c>
      <c r="BW38">
        <v>3.528325584389981</v>
      </c>
      <c r="BX38">
        <v>5.0884849098056408</v>
      </c>
      <c r="BY38">
        <v>584.73206921133851</v>
      </c>
      <c r="BZ38">
        <v>27.036310738233059</v>
      </c>
      <c r="CA38">
        <v>11.033748758883943</v>
      </c>
      <c r="CB38">
        <v>9.633067269098472</v>
      </c>
      <c r="CC38">
        <v>3.5405303086813937</v>
      </c>
      <c r="CD38">
        <v>5.2932164392959891</v>
      </c>
      <c r="CE38">
        <v>608.89905940303447</v>
      </c>
      <c r="CF38">
        <v>26.934468260676134</v>
      </c>
      <c r="CG38">
        <v>10.894088477438094</v>
      </c>
      <c r="CH38">
        <v>10.62323491224117</v>
      </c>
      <c r="CI38">
        <v>3.8756934720635834</v>
      </c>
      <c r="CJ38">
        <v>5.6983504846762294</v>
      </c>
      <c r="CK38">
        <v>658.95829866257122</v>
      </c>
      <c r="CL38">
        <v>27.708726213908115</v>
      </c>
      <c r="CM38">
        <v>11.177382240875641</v>
      </c>
      <c r="CN38">
        <v>11.12108854822123</v>
      </c>
      <c r="CO38">
        <v>3.9431001627782218</v>
      </c>
      <c r="CP38">
        <v>6.0700439456613182</v>
      </c>
      <c r="CQ38">
        <v>700.09391500917695</v>
      </c>
      <c r="CR38">
        <v>27.833025383997743</v>
      </c>
      <c r="CS38">
        <v>11.092802430122868</v>
      </c>
      <c r="CT38">
        <v>11.281174399092999</v>
      </c>
      <c r="CU38">
        <v>3.9436673554646426</v>
      </c>
      <c r="CV38">
        <v>6.3245273637801471</v>
      </c>
      <c r="CW38">
        <v>756.63717979346472</v>
      </c>
      <c r="CX38">
        <v>27.031877526363502</v>
      </c>
      <c r="CY38">
        <v>10.752347857431035</v>
      </c>
      <c r="DA38">
        <v>42</v>
      </c>
      <c r="DB38">
        <v>9.0985615632885555</v>
      </c>
      <c r="DC38">
        <v>3.1528835686425474</v>
      </c>
      <c r="DD38">
        <v>5.088815836668104</v>
      </c>
      <c r="DE38">
        <v>582.83193232676581</v>
      </c>
      <c r="DF38">
        <v>26.586042504100757</v>
      </c>
      <c r="DG38">
        <v>10.425552187806517</v>
      </c>
      <c r="DH38">
        <v>9.3097139655194709</v>
      </c>
      <c r="DI38">
        <v>3.3044488436827901</v>
      </c>
      <c r="DJ38">
        <v>5.2460672113314155</v>
      </c>
      <c r="DK38">
        <v>603.65995112129428</v>
      </c>
      <c r="DL38">
        <v>26.632575270240519</v>
      </c>
      <c r="DM38">
        <v>10.597553722230391</v>
      </c>
      <c r="DN38">
        <v>10.251166565275389</v>
      </c>
      <c r="DO38">
        <v>3.3889365009619774</v>
      </c>
      <c r="DP38">
        <v>5.633011220456642</v>
      </c>
      <c r="DQ38">
        <v>655.24840094549438</v>
      </c>
      <c r="DR38">
        <v>27.297780065160332</v>
      </c>
      <c r="DS38">
        <v>10.497807860227397</v>
      </c>
      <c r="DT38">
        <v>10.488238525208125</v>
      </c>
      <c r="DU38">
        <v>3.3321340356845712</v>
      </c>
      <c r="DV38">
        <v>5.8973371199417581</v>
      </c>
      <c r="DW38">
        <v>689.6497700208248</v>
      </c>
      <c r="DX38">
        <v>27.336892585421133</v>
      </c>
      <c r="DY38">
        <v>10.374885435571631</v>
      </c>
      <c r="DZ38">
        <v>10.606783104270939</v>
      </c>
      <c r="EA38">
        <v>3.3834452398743489</v>
      </c>
      <c r="EB38">
        <v>6.1237916115027158</v>
      </c>
      <c r="EC38">
        <v>744.90964784633786</v>
      </c>
      <c r="ED38">
        <v>26.552122580815354</v>
      </c>
      <c r="EE38">
        <v>10.169560919658412</v>
      </c>
      <c r="EG38">
        <v>42</v>
      </c>
      <c r="EH38">
        <v>8.758652133948658</v>
      </c>
      <c r="EI38">
        <v>2.9050616570989654</v>
      </c>
      <c r="EJ38">
        <v>4.7011071569069882</v>
      </c>
      <c r="EK38">
        <v>581.96955064829888</v>
      </c>
      <c r="EL38">
        <v>26.041371201232238</v>
      </c>
      <c r="EM38">
        <v>10.015167991446303</v>
      </c>
      <c r="EN38">
        <v>8.9581549396152571</v>
      </c>
      <c r="EO38">
        <v>2.9756078084737099</v>
      </c>
      <c r="EP38">
        <v>4.8696774127470208</v>
      </c>
      <c r="EQ38">
        <v>602.08992140196153</v>
      </c>
      <c r="ER38">
        <v>26.118125384571734</v>
      </c>
      <c r="ES38">
        <v>10.079022270672471</v>
      </c>
      <c r="ET38">
        <v>8.9823637821940228</v>
      </c>
      <c r="EU38">
        <v>3.0671637037646762</v>
      </c>
      <c r="EV38">
        <v>5.2244632540489659</v>
      </c>
      <c r="EW38">
        <v>653.55420913355863</v>
      </c>
      <c r="EX38">
        <v>25.42715465945491</v>
      </c>
      <c r="EY38">
        <v>10.032678123735856</v>
      </c>
      <c r="EZ38">
        <v>9.4106338647324463</v>
      </c>
      <c r="FA38">
        <v>3.0480689636891349</v>
      </c>
      <c r="FB38">
        <v>5.4663878735110831</v>
      </c>
      <c r="FC38">
        <v>686.75629266533792</v>
      </c>
      <c r="FD38">
        <v>25.882947435628431</v>
      </c>
      <c r="FE38">
        <v>10.004964433558133</v>
      </c>
      <c r="FF38">
        <v>9.5422400857343028</v>
      </c>
      <c r="FG38">
        <v>3.0747161628910651</v>
      </c>
      <c r="FH38">
        <v>5.6779545216690321</v>
      </c>
      <c r="FI38">
        <v>732.25137562374209</v>
      </c>
      <c r="FJ38">
        <v>25.557328925152433</v>
      </c>
      <c r="FK38">
        <v>9.9237436873935359</v>
      </c>
    </row>
    <row r="39" spans="2:167" x14ac:dyDescent="0.25">
      <c r="B39">
        <v>690.60215280126567</v>
      </c>
      <c r="C39">
        <v>1.4480117039075748</v>
      </c>
      <c r="D39">
        <v>731.31094485160168</v>
      </c>
      <c r="E39">
        <v>1.3674074031572452</v>
      </c>
      <c r="F39">
        <v>826.78051089407995</v>
      </c>
      <c r="G39">
        <v>1.209510851820395</v>
      </c>
      <c r="H39">
        <v>907.09813155603797</v>
      </c>
      <c r="I39">
        <v>1.1024165580460386</v>
      </c>
      <c r="J39">
        <v>995.62978747913246</v>
      </c>
      <c r="K39">
        <v>1.0043893951103378</v>
      </c>
      <c r="L39">
        <v>776.67068526912578</v>
      </c>
      <c r="M39">
        <v>1.2875469860865005</v>
      </c>
      <c r="N39">
        <v>781.43222968753616</v>
      </c>
      <c r="O39">
        <v>1.2797015045052089</v>
      </c>
      <c r="Q39">
        <v>7.2791538261204256E-2</v>
      </c>
      <c r="R39">
        <v>7.3238410415191968E-2</v>
      </c>
      <c r="S39">
        <v>7.3795761446910191E-2</v>
      </c>
      <c r="T39">
        <v>7.453147301429959E-2</v>
      </c>
      <c r="U39">
        <v>7.4919347467839917E-2</v>
      </c>
      <c r="V39">
        <v>7.37234044326215E-2</v>
      </c>
      <c r="W39">
        <v>7.3247897318365479E-2</v>
      </c>
      <c r="Y39">
        <v>1.4285736232242474</v>
      </c>
      <c r="Z39">
        <v>1.4294575885896756</v>
      </c>
      <c r="AA39">
        <v>1.4706707183004502</v>
      </c>
      <c r="AB39">
        <v>1.4826196195815236</v>
      </c>
      <c r="AC39">
        <v>1.5098922745538697</v>
      </c>
      <c r="AD39">
        <v>1.453128857326198</v>
      </c>
      <c r="AE39">
        <v>1.4480676167486741</v>
      </c>
      <c r="AG39">
        <v>0.57687850595685985</v>
      </c>
      <c r="AH39">
        <v>0.57782530196883919</v>
      </c>
      <c r="AI39">
        <v>0.59797284122189676</v>
      </c>
      <c r="AJ39">
        <v>0.59848347756855658</v>
      </c>
      <c r="AK39">
        <v>0.6121877521343988</v>
      </c>
      <c r="AL39">
        <v>0.58896999080254686</v>
      </c>
      <c r="AM39">
        <v>0.58709510281379818</v>
      </c>
      <c r="AO39">
        <v>43</v>
      </c>
      <c r="AP39">
        <v>9.9475058244893155</v>
      </c>
      <c r="AQ39">
        <v>4.2029892027142255</v>
      </c>
      <c r="AR39">
        <v>5.3299487179876106</v>
      </c>
      <c r="AS39">
        <v>587.98958632755512</v>
      </c>
      <c r="AT39">
        <v>27.892487761046869</v>
      </c>
      <c r="AU39">
        <v>12.163830555100521</v>
      </c>
      <c r="AV39">
        <v>10.270981277993851</v>
      </c>
      <c r="AW39">
        <v>4.2559997698910506</v>
      </c>
      <c r="AX39">
        <v>5.5646787494381496</v>
      </c>
      <c r="AY39">
        <v>612.65371632280733</v>
      </c>
      <c r="AZ39">
        <v>27.918464037643954</v>
      </c>
      <c r="BA39">
        <v>12.044427322124958</v>
      </c>
      <c r="BB39">
        <v>11.301477801620644</v>
      </c>
      <c r="BC39">
        <v>4.4737365273921128</v>
      </c>
      <c r="BD39">
        <v>6.0074085263295229</v>
      </c>
      <c r="BE39">
        <v>663.96234498809031</v>
      </c>
      <c r="BF39">
        <v>28.656617410669902</v>
      </c>
      <c r="BG39">
        <v>12.055657613096809</v>
      </c>
      <c r="BH39">
        <v>11.831041687689163</v>
      </c>
      <c r="BI39">
        <v>4.6184885571716565</v>
      </c>
      <c r="BJ39">
        <v>6.3840610707638916</v>
      </c>
      <c r="BK39">
        <v>705.65465722967588</v>
      </c>
      <c r="BL39">
        <v>28.777485446878146</v>
      </c>
      <c r="BM39">
        <v>12.034571076624617</v>
      </c>
      <c r="BN39">
        <v>12.105617893394756</v>
      </c>
      <c r="BO39">
        <v>4.6912806376453524</v>
      </c>
      <c r="BP39">
        <v>6.7544009203475621</v>
      </c>
      <c r="BQ39">
        <v>765.48228496166541</v>
      </c>
      <c r="BR39">
        <v>27.967704868143226</v>
      </c>
      <c r="BS39">
        <v>11.682984467136102</v>
      </c>
      <c r="BU39">
        <v>43</v>
      </c>
      <c r="BV39">
        <v>9.5936335304276952</v>
      </c>
      <c r="BW39">
        <v>3.5949963579530637</v>
      </c>
      <c r="BX39">
        <v>5.1699465734368646</v>
      </c>
      <c r="BY39">
        <v>595.06979411616783</v>
      </c>
      <c r="BZ39">
        <v>26.965946187935977</v>
      </c>
      <c r="CA39">
        <v>10.997387056438839</v>
      </c>
      <c r="CB39">
        <v>9.8233114748285821</v>
      </c>
      <c r="CC39">
        <v>3.6085107579992148</v>
      </c>
      <c r="CD39">
        <v>5.381406874909791</v>
      </c>
      <c r="CE39">
        <v>620.06950463893088</v>
      </c>
      <c r="CF39">
        <v>26.862603012901278</v>
      </c>
      <c r="CG39">
        <v>10.856160636230294</v>
      </c>
      <c r="CH39">
        <v>10.844876275346474</v>
      </c>
      <c r="CI39">
        <v>3.9547050531419372</v>
      </c>
      <c r="CJ39">
        <v>5.799002140519673</v>
      </c>
      <c r="CK39">
        <v>671.46598190863097</v>
      </c>
      <c r="CL39">
        <v>27.656372578034329</v>
      </c>
      <c r="CM39">
        <v>11.147953026060645</v>
      </c>
      <c r="CN39">
        <v>11.363108890270695</v>
      </c>
      <c r="CO39">
        <v>4.0262078517557374</v>
      </c>
      <c r="CP39">
        <v>6.1837724972374826</v>
      </c>
      <c r="CQ39">
        <v>713.99215593089491</v>
      </c>
      <c r="CR39">
        <v>27.786066929074881</v>
      </c>
      <c r="CS39">
        <v>11.064505901000977</v>
      </c>
      <c r="CT39">
        <v>11.526085461278933</v>
      </c>
      <c r="CU39">
        <v>4.0260098291504978</v>
      </c>
      <c r="CV39">
        <v>6.4446554623900418</v>
      </c>
      <c r="CW39">
        <v>773.23105614920394</v>
      </c>
      <c r="CX39">
        <v>26.937937929208964</v>
      </c>
      <c r="CY39">
        <v>10.705528148086728</v>
      </c>
      <c r="DA39">
        <v>43</v>
      </c>
      <c r="DB39">
        <v>9.2676563322309402</v>
      </c>
      <c r="DC39">
        <v>3.2130408397602039</v>
      </c>
      <c r="DD39">
        <v>5.1698118113188878</v>
      </c>
      <c r="DE39">
        <v>592.95599696698116</v>
      </c>
      <c r="DF39">
        <v>26.512326257628477</v>
      </c>
      <c r="DG39">
        <v>10.392436141667279</v>
      </c>
      <c r="DH39">
        <v>9.4858572774652608</v>
      </c>
      <c r="DI39">
        <v>3.3698704695953459</v>
      </c>
      <c r="DJ39">
        <v>5.3321962974293191</v>
      </c>
      <c r="DK39">
        <v>614.39134972879299</v>
      </c>
      <c r="DL39">
        <v>26.561615415585397</v>
      </c>
      <c r="DM39">
        <v>10.568074993976147</v>
      </c>
      <c r="DN39">
        <v>10.458588796021683</v>
      </c>
      <c r="DO39">
        <v>3.4582598406247862</v>
      </c>
      <c r="DP39">
        <v>5.731391948946067</v>
      </c>
      <c r="DQ39">
        <v>667.46028926504437</v>
      </c>
      <c r="DR39">
        <v>27.243607121314753</v>
      </c>
      <c r="DS39">
        <v>10.471073897285677</v>
      </c>
      <c r="DT39">
        <v>10.706855914513408</v>
      </c>
      <c r="DU39">
        <v>3.4021925038324485</v>
      </c>
      <c r="DV39">
        <v>6.0054240417301576</v>
      </c>
      <c r="DW39">
        <v>703.04673410726684</v>
      </c>
      <c r="DX39">
        <v>27.285214375017958</v>
      </c>
      <c r="DY39">
        <v>10.349176977376279</v>
      </c>
      <c r="DZ39">
        <v>10.827303593902</v>
      </c>
      <c r="EA39">
        <v>3.4546628895534766</v>
      </c>
      <c r="EB39">
        <v>6.2375521284259703</v>
      </c>
      <c r="EC39">
        <v>760.93589816546296</v>
      </c>
      <c r="ED39">
        <v>26.454880597221756</v>
      </c>
      <c r="EE39">
        <v>10.127659787851615</v>
      </c>
      <c r="EG39">
        <v>43</v>
      </c>
      <c r="EH39">
        <v>8.9182885772707614</v>
      </c>
      <c r="EI39">
        <v>2.9610589664079994</v>
      </c>
      <c r="EJ39">
        <v>4.7736564671751154</v>
      </c>
      <c r="EK39">
        <v>591.92719208032292</v>
      </c>
      <c r="EL39">
        <v>25.968185443590752</v>
      </c>
      <c r="EM39">
        <v>9.9848014063591055</v>
      </c>
      <c r="EN39">
        <v>9.12658886121182</v>
      </c>
      <c r="EO39">
        <v>3.0343452815371368</v>
      </c>
      <c r="EP39">
        <v>4.9475411182311317</v>
      </c>
      <c r="EQ39">
        <v>612.70770271136234</v>
      </c>
      <c r="ER39">
        <v>26.04824169710772</v>
      </c>
      <c r="ES39">
        <v>10.049504264885286</v>
      </c>
      <c r="ET39">
        <v>9.1532127867588891</v>
      </c>
      <c r="EU39">
        <v>3.1299037826022187</v>
      </c>
      <c r="EV39">
        <v>5.3136630806156901</v>
      </c>
      <c r="EW39">
        <v>666.07080155812025</v>
      </c>
      <c r="EX39">
        <v>25.34062421152441</v>
      </c>
      <c r="EY39">
        <v>9.9999428571171016</v>
      </c>
      <c r="EZ39">
        <v>9.6005277876384927</v>
      </c>
      <c r="FA39">
        <v>3.1124950914106098</v>
      </c>
      <c r="FB39">
        <v>5.5644166714954322</v>
      </c>
      <c r="FC39">
        <v>700.40121497968141</v>
      </c>
      <c r="FD39">
        <v>25.808711267616101</v>
      </c>
      <c r="FE39">
        <v>9.974650975474594</v>
      </c>
      <c r="FF39">
        <v>9.736042588055362</v>
      </c>
      <c r="FG39">
        <v>3.1395645928146045</v>
      </c>
      <c r="FH39">
        <v>5.7812984320342551</v>
      </c>
      <c r="FI39">
        <v>748.85748653475548</v>
      </c>
      <c r="FJ39">
        <v>25.424339964018959</v>
      </c>
      <c r="FK39">
        <v>9.8702379733786554</v>
      </c>
    </row>
    <row r="40" spans="2:167" x14ac:dyDescent="0.25">
      <c r="B40">
        <v>696.4251020872523</v>
      </c>
      <c r="C40">
        <v>1.43590458902602</v>
      </c>
      <c r="D40">
        <v>738.14806115160059</v>
      </c>
      <c r="E40">
        <v>1.3547417552514851</v>
      </c>
      <c r="F40">
        <v>836.06821762908623</v>
      </c>
      <c r="G40">
        <v>1.1960746490708496</v>
      </c>
      <c r="H40">
        <v>918.63314542467322</v>
      </c>
      <c r="I40">
        <v>1.0885738283890376</v>
      </c>
      <c r="J40">
        <v>1009.2178585573175</v>
      </c>
      <c r="K40">
        <v>0.99086633428138648</v>
      </c>
      <c r="L40">
        <v>785.22847746707521</v>
      </c>
      <c r="M40">
        <v>1.2735146886492412</v>
      </c>
      <c r="N40">
        <v>788.96770375948051</v>
      </c>
      <c r="O40">
        <v>1.267479004824833</v>
      </c>
      <c r="Q40">
        <v>7.439663610709589E-2</v>
      </c>
      <c r="R40">
        <v>7.4854210635439455E-2</v>
      </c>
      <c r="S40">
        <v>7.5431821697514875E-2</v>
      </c>
      <c r="T40">
        <v>7.6188174995704211E-2</v>
      </c>
      <c r="U40">
        <v>7.6588957606197453E-2</v>
      </c>
      <c r="V40">
        <v>7.5356960505855858E-2</v>
      </c>
      <c r="W40">
        <v>7.4866029688029828E-2</v>
      </c>
      <c r="Y40">
        <v>1.4526955976963272</v>
      </c>
      <c r="Z40">
        <v>1.4536984401801478</v>
      </c>
      <c r="AA40">
        <v>1.4963039105522813</v>
      </c>
      <c r="AB40">
        <v>1.5091679913314811</v>
      </c>
      <c r="AC40">
        <v>1.5370228647168336</v>
      </c>
      <c r="AD40">
        <v>1.477842400414539</v>
      </c>
      <c r="AE40">
        <v>1.4731271818847684</v>
      </c>
      <c r="AG40">
        <v>0.58512456338122332</v>
      </c>
      <c r="AH40">
        <v>0.58615047694787736</v>
      </c>
      <c r="AI40">
        <v>0.6069415068491617</v>
      </c>
      <c r="AJ40">
        <v>0.60771604670834178</v>
      </c>
      <c r="AK40">
        <v>0.62173114198760748</v>
      </c>
      <c r="AL40">
        <v>0.59750285073863807</v>
      </c>
      <c r="AM40">
        <v>0.59581234690772089</v>
      </c>
      <c r="AO40">
        <v>44</v>
      </c>
      <c r="AP40">
        <v>10.129399889037996</v>
      </c>
      <c r="AQ40">
        <v>4.2855865494997012</v>
      </c>
      <c r="AR40">
        <v>5.4116689298660443</v>
      </c>
      <c r="AS40">
        <v>598.01285751634475</v>
      </c>
      <c r="AT40">
        <v>27.820131011960004</v>
      </c>
      <c r="AU40">
        <v>12.139655287871285</v>
      </c>
      <c r="AV40">
        <v>10.464555660908449</v>
      </c>
      <c r="AW40">
        <v>4.340539076049482</v>
      </c>
      <c r="AX40">
        <v>5.653654213614745</v>
      </c>
      <c r="AY40">
        <v>623.46117889250047</v>
      </c>
      <c r="AZ40">
        <v>27.847461449243809</v>
      </c>
      <c r="BA40">
        <v>12.018070450685316</v>
      </c>
      <c r="BB40">
        <v>11.526012659874789</v>
      </c>
      <c r="BC40">
        <v>4.5652574622553441</v>
      </c>
      <c r="BD40">
        <v>6.1091803838284884</v>
      </c>
      <c r="BE40">
        <v>676.12994392043413</v>
      </c>
      <c r="BF40">
        <v>28.601357267615207</v>
      </c>
      <c r="BG40">
        <v>12.032726636046975</v>
      </c>
      <c r="BH40">
        <v>12.076188802630957</v>
      </c>
      <c r="BI40">
        <v>4.7165237104119022</v>
      </c>
      <c r="BJ40">
        <v>6.4984417785996458</v>
      </c>
      <c r="BK40">
        <v>719.17836133694311</v>
      </c>
      <c r="BL40">
        <v>28.727083605619928</v>
      </c>
      <c r="BM40">
        <v>12.013079122524161</v>
      </c>
      <c r="BN40">
        <v>12.356807828875979</v>
      </c>
      <c r="BO40">
        <v>4.7906168348295957</v>
      </c>
      <c r="BP40">
        <v>6.8780772693595731</v>
      </c>
      <c r="BQ40">
        <v>781.64207917040642</v>
      </c>
      <c r="BR40">
        <v>27.873294030381604</v>
      </c>
      <c r="BS40">
        <v>11.642773517845137</v>
      </c>
      <c r="BU40">
        <v>44</v>
      </c>
      <c r="BV40">
        <v>9.772445222043336</v>
      </c>
      <c r="BW40">
        <v>3.6609245341012713</v>
      </c>
      <c r="BX40">
        <v>5.2500134029024323</v>
      </c>
      <c r="BY40">
        <v>605.2722289912823</v>
      </c>
      <c r="BZ40">
        <v>26.89672612780835</v>
      </c>
      <c r="CA40">
        <v>10.962022730866849</v>
      </c>
      <c r="CB40">
        <v>10.011044116157519</v>
      </c>
      <c r="CC40">
        <v>3.6757853415398665</v>
      </c>
      <c r="CD40">
        <v>5.4680659126297941</v>
      </c>
      <c r="CE40">
        <v>631.09724457924267</v>
      </c>
      <c r="CF40">
        <v>26.791908449593958</v>
      </c>
      <c r="CG40">
        <v>10.819325698751999</v>
      </c>
      <c r="CH40">
        <v>11.063279848599036</v>
      </c>
      <c r="CI40">
        <v>4.0328060611313541</v>
      </c>
      <c r="CJ40">
        <v>5.8977542808286954</v>
      </c>
      <c r="CK40">
        <v>683.7847334813838</v>
      </c>
      <c r="CL40">
        <v>27.604449689924394</v>
      </c>
      <c r="CM40">
        <v>11.119340652438487</v>
      </c>
      <c r="CN40">
        <v>11.601597997165694</v>
      </c>
      <c r="CO40">
        <v>4.108398121681839</v>
      </c>
      <c r="CP40">
        <v>6.2952972636317535</v>
      </c>
      <c r="CQ40">
        <v>727.67495122063656</v>
      </c>
      <c r="CR40">
        <v>27.739454373349048</v>
      </c>
      <c r="CS40">
        <v>11.037099677191881</v>
      </c>
      <c r="CT40">
        <v>11.767447935508047</v>
      </c>
      <c r="CU40">
        <v>4.1074653609437357</v>
      </c>
      <c r="CV40">
        <v>6.5624302993114476</v>
      </c>
      <c r="CW40">
        <v>789.6230738728724</v>
      </c>
      <c r="CX40">
        <v>26.845187668971779</v>
      </c>
      <c r="CY40">
        <v>10.659934473074848</v>
      </c>
      <c r="DA40">
        <v>44</v>
      </c>
      <c r="DB40">
        <v>9.4333747902300402</v>
      </c>
      <c r="DC40">
        <v>3.2725617893982299</v>
      </c>
      <c r="DD40">
        <v>5.2491404910896202</v>
      </c>
      <c r="DE40">
        <v>602.93945193375328</v>
      </c>
      <c r="DF40">
        <v>26.438427429168765</v>
      </c>
      <c r="DG40">
        <v>10.360319212530445</v>
      </c>
      <c r="DH40">
        <v>9.6586708263526031</v>
      </c>
      <c r="DI40">
        <v>3.4346652291211179</v>
      </c>
      <c r="DJ40">
        <v>5.4166479976833228</v>
      </c>
      <c r="DK40">
        <v>624.97800145696374</v>
      </c>
      <c r="DL40">
        <v>26.490414496442416</v>
      </c>
      <c r="DM40">
        <v>10.53945340302127</v>
      </c>
      <c r="DN40">
        <v>10.661927397801243</v>
      </c>
      <c r="DO40">
        <v>3.5268841873699364</v>
      </c>
      <c r="DP40">
        <v>5.8277193254632769</v>
      </c>
      <c r="DQ40">
        <v>679.479313503615</v>
      </c>
      <c r="DR40">
        <v>27.188684712222866</v>
      </c>
      <c r="DS40">
        <v>10.445223820220377</v>
      </c>
      <c r="DT40">
        <v>10.921621756718489</v>
      </c>
      <c r="DU40">
        <v>3.4717692934803357</v>
      </c>
      <c r="DV40">
        <v>6.1114562970807693</v>
      </c>
      <c r="DW40">
        <v>716.24537528129702</v>
      </c>
      <c r="DX40">
        <v>27.232748078695998</v>
      </c>
      <c r="DY40">
        <v>10.324383788324194</v>
      </c>
      <c r="DZ40">
        <v>11.044009715260543</v>
      </c>
      <c r="EA40">
        <v>3.5254172716478069</v>
      </c>
      <c r="EB40">
        <v>6.3491677313082127</v>
      </c>
      <c r="EC40">
        <v>776.77971738846804</v>
      </c>
      <c r="ED40">
        <v>26.357718832379074</v>
      </c>
      <c r="EE40">
        <v>10.086877864111894</v>
      </c>
      <c r="EG40">
        <v>44</v>
      </c>
      <c r="EH40">
        <v>9.0744902321079302</v>
      </c>
      <c r="EI40">
        <v>3.0164531765668534</v>
      </c>
      <c r="EJ40">
        <v>4.8447383511625537</v>
      </c>
      <c r="EK40">
        <v>601.74382973282047</v>
      </c>
      <c r="EL40">
        <v>25.894551162958678</v>
      </c>
      <c r="EM40">
        <v>9.9552937297093926</v>
      </c>
      <c r="EN40">
        <v>9.2916082896047758</v>
      </c>
      <c r="EO40">
        <v>3.092522846736415</v>
      </c>
      <c r="EP40">
        <v>5.0239101527790639</v>
      </c>
      <c r="EQ40">
        <v>623.18021302049408</v>
      </c>
      <c r="ER40">
        <v>25.977820596291846</v>
      </c>
      <c r="ES40">
        <v>10.02083187400393</v>
      </c>
      <c r="ET40">
        <v>9.321330884699222</v>
      </c>
      <c r="EU40">
        <v>3.1920112702959318</v>
      </c>
      <c r="EV40">
        <v>5.4010240675323224</v>
      </c>
      <c r="EW40">
        <v>678.42712443422283</v>
      </c>
      <c r="EX40">
        <v>25.25481616690076</v>
      </c>
      <c r="EY40">
        <v>9.967821671812592</v>
      </c>
      <c r="EZ40">
        <v>9.7872369321208961</v>
      </c>
      <c r="FA40">
        <v>3.1764707050905563</v>
      </c>
      <c r="FB40">
        <v>5.6606053225758064</v>
      </c>
      <c r="FC40">
        <v>713.86733106767588</v>
      </c>
      <c r="FD40">
        <v>25.734396635706869</v>
      </c>
      <c r="FE40">
        <v>9.9451161912794941</v>
      </c>
      <c r="FF40">
        <v>9.9265494831687899</v>
      </c>
      <c r="FG40">
        <v>3.2039882709705116</v>
      </c>
      <c r="FH40">
        <v>5.8827171930153437</v>
      </c>
      <c r="FI40">
        <v>765.32471105240597</v>
      </c>
      <c r="FJ40">
        <v>25.292115717668114</v>
      </c>
      <c r="FK40">
        <v>9.8178629638224511</v>
      </c>
    </row>
    <row r="41" spans="2:167" x14ac:dyDescent="0.25">
      <c r="B41">
        <v>702.03988749772293</v>
      </c>
      <c r="C41">
        <v>1.42442048921792</v>
      </c>
      <c r="D41">
        <v>744.75186255114534</v>
      </c>
      <c r="E41">
        <v>1.3427291025154378</v>
      </c>
      <c r="F41">
        <v>845.03530842656687</v>
      </c>
      <c r="G41">
        <v>1.1833825048825157</v>
      </c>
      <c r="H41">
        <v>929.79318314784393</v>
      </c>
      <c r="I41">
        <v>1.0755079926639908</v>
      </c>
      <c r="J41">
        <v>1022.3718175121837</v>
      </c>
      <c r="K41">
        <v>0.97811772866879021</v>
      </c>
      <c r="L41">
        <v>793.49404170514549</v>
      </c>
      <c r="M41">
        <v>1.2602489085502044</v>
      </c>
      <c r="N41">
        <v>796.24294544963936</v>
      </c>
      <c r="O41">
        <v>1.2558980970755085</v>
      </c>
      <c r="Q41">
        <v>7.5999950137301028E-2</v>
      </c>
      <c r="R41">
        <v>7.6468005365265643E-2</v>
      </c>
      <c r="S41">
        <v>7.7065297593763099E-2</v>
      </c>
      <c r="T41">
        <v>7.7841873019934699E-2</v>
      </c>
      <c r="U41">
        <v>7.825526859081687E-2</v>
      </c>
      <c r="V41">
        <v>7.6988027875304316E-2</v>
      </c>
      <c r="W41">
        <v>7.6482075106339309E-2</v>
      </c>
      <c r="Y41">
        <v>1.476406672865656</v>
      </c>
      <c r="Z41">
        <v>1.4775555888397951</v>
      </c>
      <c r="AA41">
        <v>1.5215001373457677</v>
      </c>
      <c r="AB41">
        <v>1.5353191122197045</v>
      </c>
      <c r="AC41">
        <v>1.5637555259226958</v>
      </c>
      <c r="AD41">
        <v>1.5021526740932445</v>
      </c>
      <c r="AE41">
        <v>1.4977723372326512</v>
      </c>
      <c r="AG41">
        <v>0.59325122187891399</v>
      </c>
      <c r="AH41">
        <v>0.59436651154683318</v>
      </c>
      <c r="AI41">
        <v>0.61577775896180464</v>
      </c>
      <c r="AJ41">
        <v>0.61683452839855279</v>
      </c>
      <c r="AK41">
        <v>0.63115859492699788</v>
      </c>
      <c r="AL41">
        <v>0.60591857100840285</v>
      </c>
      <c r="AM41">
        <v>0.6044065040273926</v>
      </c>
      <c r="AO41">
        <v>45</v>
      </c>
      <c r="AP41">
        <v>10.308890243631453</v>
      </c>
      <c r="AQ41">
        <v>4.3671388905263671</v>
      </c>
      <c r="AR41">
        <v>5.4919839790356235</v>
      </c>
      <c r="AS41">
        <v>607.90603246954845</v>
      </c>
      <c r="AT41">
        <v>27.748944822743105</v>
      </c>
      <c r="AU41">
        <v>12.115688670114215</v>
      </c>
      <c r="AV41">
        <v>10.655614974941015</v>
      </c>
      <c r="AW41">
        <v>4.4240487639404291</v>
      </c>
      <c r="AX41">
        <v>5.7410713521452621</v>
      </c>
      <c r="AY41">
        <v>634.12881854805755</v>
      </c>
      <c r="AZ41">
        <v>27.777599540343228</v>
      </c>
      <c r="BA41">
        <v>11.992061187783388</v>
      </c>
      <c r="BB41">
        <v>11.747298327790878</v>
      </c>
      <c r="BC41">
        <v>4.6556181466972548</v>
      </c>
      <c r="BD41">
        <v>6.209005280662204</v>
      </c>
      <c r="BE41">
        <v>688.11478579946413</v>
      </c>
      <c r="BF41">
        <v>28.546557427779682</v>
      </c>
      <c r="BG41">
        <v>12.010120407064424</v>
      </c>
      <c r="BH41">
        <v>12.317787938326639</v>
      </c>
      <c r="BI41">
        <v>4.813352563582364</v>
      </c>
      <c r="BJ41">
        <v>6.6105770270551654</v>
      </c>
      <c r="BK41">
        <v>732.49394443437677</v>
      </c>
      <c r="BL41">
        <v>28.677063614335413</v>
      </c>
      <c r="BM41">
        <v>11.991954908239084</v>
      </c>
      <c r="BN41">
        <v>12.604364492322086</v>
      </c>
      <c r="BO41">
        <v>4.8887384499629967</v>
      </c>
      <c r="BP41">
        <v>6.9992776626432507</v>
      </c>
      <c r="BQ41">
        <v>797.60128526181484</v>
      </c>
      <c r="BR41">
        <v>27.780053975066881</v>
      </c>
      <c r="BS41">
        <v>11.603262767575492</v>
      </c>
      <c r="BU41">
        <v>45</v>
      </c>
      <c r="BV41">
        <v>9.9488000137712014</v>
      </c>
      <c r="BW41">
        <v>3.7261101083302681</v>
      </c>
      <c r="BX41">
        <v>5.3286853859696475</v>
      </c>
      <c r="BY41">
        <v>615.33700006542904</v>
      </c>
      <c r="BZ41">
        <v>26.828649538049156</v>
      </c>
      <c r="CA41">
        <v>10.927624126575047</v>
      </c>
      <c r="CB41">
        <v>10.196265157817232</v>
      </c>
      <c r="CC41">
        <v>3.7423540514342739</v>
      </c>
      <c r="CD41">
        <v>5.5531935313329051</v>
      </c>
      <c r="CE41">
        <v>641.97967003610336</v>
      </c>
      <c r="CF41">
        <v>26.722382907437499</v>
      </c>
      <c r="CG41">
        <v>10.783545341972617</v>
      </c>
      <c r="CH41">
        <v>11.278445546197803</v>
      </c>
      <c r="CI41">
        <v>4.1099964748789208</v>
      </c>
      <c r="CJ41">
        <v>5.9946068660778851</v>
      </c>
      <c r="CK41">
        <v>695.91280053920093</v>
      </c>
      <c r="CL41">
        <v>27.552956998749075</v>
      </c>
      <c r="CM41">
        <v>11.091504213651515</v>
      </c>
      <c r="CN41">
        <v>11.836555719892651</v>
      </c>
      <c r="CO41">
        <v>4.1896709361114128</v>
      </c>
      <c r="CP41">
        <v>6.4046181787826226</v>
      </c>
      <c r="CQ41">
        <v>741.14047755195531</v>
      </c>
      <c r="CR41">
        <v>27.69318886889064</v>
      </c>
      <c r="CS41">
        <v>11.010534401924126</v>
      </c>
      <c r="CT41">
        <v>12.005261584087814</v>
      </c>
      <c r="CU41">
        <v>4.1880338914089634</v>
      </c>
      <c r="CV41">
        <v>6.6778517657497547</v>
      </c>
      <c r="CW41">
        <v>805.80919664103919</v>
      </c>
      <c r="CX41">
        <v>26.75360859219029</v>
      </c>
      <c r="CY41">
        <v>10.615506466979792</v>
      </c>
      <c r="DA41">
        <v>45</v>
      </c>
      <c r="DB41">
        <v>9.5957173170484573</v>
      </c>
      <c r="DC41">
        <v>3.3314464124581482</v>
      </c>
      <c r="DD41">
        <v>5.3268022916579518</v>
      </c>
      <c r="DE41">
        <v>612.78130195040376</v>
      </c>
      <c r="DF41">
        <v>26.36434560650931</v>
      </c>
      <c r="DG41">
        <v>10.329146355920404</v>
      </c>
      <c r="DH41">
        <v>9.8281546042087182</v>
      </c>
      <c r="DI41">
        <v>3.498833104174258</v>
      </c>
      <c r="DJ41">
        <v>5.499422309987466</v>
      </c>
      <c r="DK41">
        <v>635.41893493743271</v>
      </c>
      <c r="DL41">
        <v>26.418973506887365</v>
      </c>
      <c r="DM41">
        <v>10.511641321888856</v>
      </c>
      <c r="DN41">
        <v>10.861182361777104</v>
      </c>
      <c r="DO41">
        <v>3.5948095251132881</v>
      </c>
      <c r="DP41">
        <v>5.9219937206243092</v>
      </c>
      <c r="DQ41">
        <v>691.30515885550722</v>
      </c>
      <c r="DR41">
        <v>27.133013609747231</v>
      </c>
      <c r="DS41">
        <v>10.420192468510978</v>
      </c>
      <c r="DT41">
        <v>11.132535991061616</v>
      </c>
      <c r="DU41">
        <v>3.5408643862137654</v>
      </c>
      <c r="DV41">
        <v>6.2154338650963554</v>
      </c>
      <c r="DW41">
        <v>729.2454822619444</v>
      </c>
      <c r="DX41">
        <v>27.179494390443892</v>
      </c>
      <c r="DY41">
        <v>10.300435666118382</v>
      </c>
      <c r="DZ41">
        <v>11.256901362202029</v>
      </c>
      <c r="EA41">
        <v>3.5957083545997701</v>
      </c>
      <c r="EB41">
        <v>6.4586383772757152</v>
      </c>
      <c r="EC41">
        <v>792.43885530198884</v>
      </c>
      <c r="ED41">
        <v>26.260630060984905</v>
      </c>
      <c r="EE41">
        <v>10.04714388752609</v>
      </c>
      <c r="EG41">
        <v>45</v>
      </c>
      <c r="EH41">
        <v>9.2272584136078617</v>
      </c>
      <c r="EI41">
        <v>3.0712442826936419</v>
      </c>
      <c r="EJ41">
        <v>4.9143531085689336</v>
      </c>
      <c r="EK41">
        <v>611.41874983458331</v>
      </c>
      <c r="EL41">
        <v>25.820469402774648</v>
      </c>
      <c r="EM41">
        <v>9.926593883315963</v>
      </c>
      <c r="EN41">
        <v>9.4532133784292629</v>
      </c>
      <c r="EO41">
        <v>3.1501404967983384</v>
      </c>
      <c r="EP41">
        <v>5.0987845139705792</v>
      </c>
      <c r="EQ41">
        <v>633.50683922942017</v>
      </c>
      <c r="ER41">
        <v>25.906862824196928</v>
      </c>
      <c r="ES41">
        <v>9.9929518259398282</v>
      </c>
      <c r="ET41">
        <v>9.4867180188257372</v>
      </c>
      <c r="EU41">
        <v>3.2534861522897671</v>
      </c>
      <c r="EV41">
        <v>5.4865464662541639</v>
      </c>
      <c r="EW41">
        <v>690.62033719395686</v>
      </c>
      <c r="EX41">
        <v>25.169730754514021</v>
      </c>
      <c r="EY41">
        <v>9.9362979445509829</v>
      </c>
      <c r="EZ41">
        <v>9.9707612346038914</v>
      </c>
      <c r="FA41">
        <v>3.2399957874722776</v>
      </c>
      <c r="FB41">
        <v>5.7549538068950152</v>
      </c>
      <c r="FC41">
        <v>727.15300074775917</v>
      </c>
      <c r="FD41">
        <v>25.660003766401076</v>
      </c>
      <c r="FE41">
        <v>9.9163141301626077</v>
      </c>
      <c r="FF41">
        <v>10.113760677672889</v>
      </c>
      <c r="FG41">
        <v>3.2679871684619908</v>
      </c>
      <c r="FH41">
        <v>5.9822107644569344</v>
      </c>
      <c r="FI41">
        <v>781.64956998192372</v>
      </c>
      <c r="FJ41">
        <v>25.160639365491551</v>
      </c>
      <c r="FK41">
        <v>9.7665581973317206</v>
      </c>
    </row>
    <row r="42" spans="2:167" x14ac:dyDescent="0.25">
      <c r="B42">
        <v>707.44638847570309</v>
      </c>
      <c r="C42">
        <v>1.4135346738494863</v>
      </c>
      <c r="D42">
        <v>751.12216696774055</v>
      </c>
      <c r="E42">
        <v>1.3313413502852305</v>
      </c>
      <c r="F42">
        <v>853.68144781101932</v>
      </c>
      <c r="G42">
        <v>1.1713971324598487</v>
      </c>
      <c r="H42">
        <v>940.5777095634171</v>
      </c>
      <c r="I42">
        <v>1.0631763753620789</v>
      </c>
      <c r="J42">
        <v>1035.0908635250526</v>
      </c>
      <c r="K42">
        <v>0.96609876025226538</v>
      </c>
      <c r="L42">
        <v>801.4670506609998</v>
      </c>
      <c r="M42">
        <v>1.2477119292368446</v>
      </c>
      <c r="N42">
        <v>803.25774533686763</v>
      </c>
      <c r="O42">
        <v>1.2449304171734108</v>
      </c>
      <c r="Q42">
        <v>7.7601479318732514E-2</v>
      </c>
      <c r="R42">
        <v>7.8079793039555326E-2</v>
      </c>
      <c r="S42">
        <v>7.8696186431523638E-2</v>
      </c>
      <c r="T42">
        <v>7.9492562799773972E-2</v>
      </c>
      <c r="U42">
        <v>7.9918274335657735E-2</v>
      </c>
      <c r="V42">
        <v>7.8616603753388498E-2</v>
      </c>
      <c r="W42">
        <v>7.8096031893826731E-2</v>
      </c>
      <c r="Y42">
        <v>1.4997068473699882</v>
      </c>
      <c r="Z42">
        <v>1.5010290319172295</v>
      </c>
      <c r="AA42">
        <v>1.5462593941942451</v>
      </c>
      <c r="AB42">
        <v>1.5610729740012468</v>
      </c>
      <c r="AC42">
        <v>1.5900902445992784</v>
      </c>
      <c r="AD42">
        <v>1.5260596723260367</v>
      </c>
      <c r="AE42">
        <v>1.5220030796586301</v>
      </c>
      <c r="AG42">
        <v>0.60125848116307168</v>
      </c>
      <c r="AH42">
        <v>0.60247340528926518</v>
      </c>
      <c r="AI42">
        <v>0.6244815964124838</v>
      </c>
      <c r="AJ42">
        <v>0.6258389210831935</v>
      </c>
      <c r="AK42">
        <v>0.64047010792855807</v>
      </c>
      <c r="AL42">
        <v>0.61421715014103428</v>
      </c>
      <c r="AM42">
        <v>0.61287757341418603</v>
      </c>
      <c r="AO42">
        <v>46</v>
      </c>
      <c r="AP42">
        <v>10.485976869727077</v>
      </c>
      <c r="AQ42">
        <v>4.4476455515194901</v>
      </c>
      <c r="AR42">
        <v>5.5708938534420467</v>
      </c>
      <c r="AS42">
        <v>617.66684880365472</v>
      </c>
      <c r="AT42">
        <v>27.678927494259408</v>
      </c>
      <c r="AU42">
        <v>12.09194789710849</v>
      </c>
      <c r="AV42">
        <v>10.844159186695006</v>
      </c>
      <c r="AW42">
        <v>4.506528602502871</v>
      </c>
      <c r="AX42">
        <v>5.8269301440171279</v>
      </c>
      <c r="AY42">
        <v>644.65421432244125</v>
      </c>
      <c r="AZ42">
        <v>27.708877593573114</v>
      </c>
      <c r="BA42">
        <v>11.966408727578941</v>
      </c>
      <c r="BB42">
        <v>11.965334722873632</v>
      </c>
      <c r="BC42">
        <v>4.7448185531516422</v>
      </c>
      <c r="BD42">
        <v>6.3068831771451093</v>
      </c>
      <c r="BE42">
        <v>699.91515101093739</v>
      </c>
      <c r="BF42">
        <v>28.49221672429287</v>
      </c>
      <c r="BG42">
        <v>11.987831902066491</v>
      </c>
      <c r="BH42">
        <v>12.555838950357341</v>
      </c>
      <c r="BI42">
        <v>4.9089750686372522</v>
      </c>
      <c r="BJ42">
        <v>6.7204667497476471</v>
      </c>
      <c r="BK42">
        <v>745.59959578600569</v>
      </c>
      <c r="BL42">
        <v>28.627425751239301</v>
      </c>
      <c r="BM42">
        <v>11.971186985312677</v>
      </c>
      <c r="BN42">
        <v>12.848287647729634</v>
      </c>
      <c r="BO42">
        <v>4.9856454037808264</v>
      </c>
      <c r="BP42">
        <v>7.1180019899051237</v>
      </c>
      <c r="BQ42">
        <v>813.35604063813855</v>
      </c>
      <c r="BR42">
        <v>27.687968800033701</v>
      </c>
      <c r="BS42">
        <v>11.564432384475625</v>
      </c>
      <c r="BU42">
        <v>46</v>
      </c>
      <c r="BV42">
        <v>10.12269788575589</v>
      </c>
      <c r="BW42">
        <v>3.7905530762954616</v>
      </c>
      <c r="BX42">
        <v>5.4059625108396485</v>
      </c>
      <c r="BY42">
        <v>625.26174586706179</v>
      </c>
      <c r="BZ42">
        <v>26.761715474003292</v>
      </c>
      <c r="CA42">
        <v>10.894162202159098</v>
      </c>
      <c r="CB42">
        <v>10.378974565729687</v>
      </c>
      <c r="CC42">
        <v>3.8082168800788865</v>
      </c>
      <c r="CD42">
        <v>5.6367897106087694</v>
      </c>
      <c r="CE42">
        <v>652.71418499918821</v>
      </c>
      <c r="CF42">
        <v>26.65402483002249</v>
      </c>
      <c r="CG42">
        <v>10.748784468539393</v>
      </c>
      <c r="CH42">
        <v>11.490373285259652</v>
      </c>
      <c r="CI42">
        <v>4.1862762739510941</v>
      </c>
      <c r="CJ42">
        <v>6.0895598580860124</v>
      </c>
      <c r="CK42">
        <v>707.84843879828372</v>
      </c>
      <c r="CL42">
        <v>27.501894002415675</v>
      </c>
      <c r="CM42">
        <v>11.06440654177938</v>
      </c>
      <c r="CN42">
        <v>12.067981914177976</v>
      </c>
      <c r="CO42">
        <v>4.2700262597586285</v>
      </c>
      <c r="CP42">
        <v>6.5117351787299267</v>
      </c>
      <c r="CQ42">
        <v>754.38692262397296</v>
      </c>
      <c r="CR42">
        <v>27.647271455598482</v>
      </c>
      <c r="CS42">
        <v>10.984765403442404</v>
      </c>
      <c r="CT42">
        <v>12.239526176705134</v>
      </c>
      <c r="CU42">
        <v>4.267715362956026</v>
      </c>
      <c r="CV42">
        <v>6.7909197562879982</v>
      </c>
      <c r="CW42">
        <v>821.7853977055936</v>
      </c>
      <c r="CX42">
        <v>26.66318392448856</v>
      </c>
      <c r="CY42">
        <v>10.572189430350869</v>
      </c>
      <c r="DA42">
        <v>46</v>
      </c>
      <c r="DB42">
        <v>9.7546842927035868</v>
      </c>
      <c r="DC42">
        <v>3.3896947040222987</v>
      </c>
      <c r="DD42">
        <v>5.4027976289804283</v>
      </c>
      <c r="DE42">
        <v>622.48053602698963</v>
      </c>
      <c r="DF42">
        <v>26.290080411303013</v>
      </c>
      <c r="DG42">
        <v>10.298867410257188</v>
      </c>
      <c r="DH42">
        <v>9.9943086033298556</v>
      </c>
      <c r="DI42">
        <v>3.5623740769321603</v>
      </c>
      <c r="DJ42">
        <v>5.5805192323068429</v>
      </c>
      <c r="DK42">
        <v>645.71316316069317</v>
      </c>
      <c r="DL42">
        <v>26.347293352671819</v>
      </c>
      <c r="DM42">
        <v>10.484595447658689</v>
      </c>
      <c r="DN42">
        <v>11.056353679412835</v>
      </c>
      <c r="DO42">
        <v>3.6620358383176868</v>
      </c>
      <c r="DP42">
        <v>6.0142155054962529</v>
      </c>
      <c r="DQ42">
        <v>702.93748155259402</v>
      </c>
      <c r="DR42">
        <v>27.076594472839947</v>
      </c>
      <c r="DS42">
        <v>10.395920907580573</v>
      </c>
      <c r="DT42">
        <v>11.339598558713806</v>
      </c>
      <c r="DU42">
        <v>3.6094777642040183</v>
      </c>
      <c r="DV42">
        <v>6.3173567255443981</v>
      </c>
      <c r="DW42">
        <v>742.04681651569911</v>
      </c>
      <c r="DX42">
        <v>27.12545385126456</v>
      </c>
      <c r="DY42">
        <v>10.27726917380185</v>
      </c>
      <c r="DZ42">
        <v>11.465978431877298</v>
      </c>
      <c r="EA42">
        <v>3.6655361078315369</v>
      </c>
      <c r="EB42">
        <v>6.5659640247858198</v>
      </c>
      <c r="EC42">
        <v>807.91102998122096</v>
      </c>
      <c r="ED42">
        <v>26.163607967014283</v>
      </c>
      <c r="EE42">
        <v>10.008393672634003</v>
      </c>
      <c r="EG42">
        <v>46</v>
      </c>
      <c r="EH42">
        <v>9.3765944378006303</v>
      </c>
      <c r="EI42">
        <v>3.1254322800796159</v>
      </c>
      <c r="EJ42">
        <v>4.9825010392949487</v>
      </c>
      <c r="EK42">
        <v>620.9512179536448</v>
      </c>
      <c r="EL42">
        <v>25.745941113382372</v>
      </c>
      <c r="EM42">
        <v>9.8986553280646916</v>
      </c>
      <c r="EN42">
        <v>9.611404281460219</v>
      </c>
      <c r="EO42">
        <v>3.2071982246951136</v>
      </c>
      <c r="EP42">
        <v>5.1721641994670993</v>
      </c>
      <c r="EQ42">
        <v>643.68694625378703</v>
      </c>
      <c r="ER42">
        <v>25.835369050734339</v>
      </c>
      <c r="ES42">
        <v>9.9658156438699219</v>
      </c>
      <c r="ET42">
        <v>9.6493741338940477</v>
      </c>
      <c r="EU42">
        <v>3.3143284145226977</v>
      </c>
      <c r="EV42">
        <v>5.5702305285425542</v>
      </c>
      <c r="EW42">
        <v>702.64759327646038</v>
      </c>
      <c r="EX42">
        <v>25.085368185848328</v>
      </c>
      <c r="EY42">
        <v>9.9053566880449218</v>
      </c>
      <c r="EZ42">
        <v>10.151100633533995</v>
      </c>
      <c r="FA42">
        <v>3.3030703218479966</v>
      </c>
      <c r="FB42">
        <v>5.8474621052275078</v>
      </c>
      <c r="FC42">
        <v>740.25656809948555</v>
      </c>
      <c r="FD42">
        <v>25.585532865071688</v>
      </c>
      <c r="FE42">
        <v>9.8882032878563209</v>
      </c>
      <c r="FF42">
        <v>10.297676081065733</v>
      </c>
      <c r="FG42">
        <v>3.3315612572893825</v>
      </c>
      <c r="FH42">
        <v>6.0797791074503413</v>
      </c>
      <c r="FI42">
        <v>797.82853641867803</v>
      </c>
      <c r="FJ42">
        <v>25.02989577119407</v>
      </c>
      <c r="FK42">
        <v>9.7162691432048884</v>
      </c>
    </row>
    <row r="43" spans="2:167" x14ac:dyDescent="0.25">
      <c r="B43">
        <v>712.64448890343783</v>
      </c>
      <c r="C43">
        <v>1.4032242100668211</v>
      </c>
      <c r="D43">
        <v>757.25879868981565</v>
      </c>
      <c r="E43">
        <v>1.3205525003211152</v>
      </c>
      <c r="F43">
        <v>862.00631214873272</v>
      </c>
      <c r="G43">
        <v>1.1600843125003213</v>
      </c>
      <c r="H43">
        <v>950.98620715538311</v>
      </c>
      <c r="I43">
        <v>1.0515399618583621</v>
      </c>
      <c r="J43">
        <v>1047.3742215573236</v>
      </c>
      <c r="K43">
        <v>0.95476858167572265</v>
      </c>
      <c r="L43">
        <v>809.14718842468778</v>
      </c>
      <c r="M43">
        <v>1.2358690906989118</v>
      </c>
      <c r="N43">
        <v>810.01190141738459</v>
      </c>
      <c r="O43">
        <v>1.2345497618617309</v>
      </c>
      <c r="Q43">
        <v>7.9201222656344147E-2</v>
      </c>
      <c r="R43">
        <v>7.968957214795544E-2</v>
      </c>
      <c r="S43">
        <v>8.0324485602117066E-2</v>
      </c>
      <c r="T43">
        <v>8.1140240189369175E-2</v>
      </c>
      <c r="U43">
        <v>8.1577968950602361E-2</v>
      </c>
      <c r="V43">
        <v>8.0242685449721463E-2</v>
      </c>
      <c r="W43">
        <v>7.9707898430509003E-2</v>
      </c>
      <c r="Y43">
        <v>1.5225961198972415</v>
      </c>
      <c r="Z43">
        <v>1.5241187668538327</v>
      </c>
      <c r="AA43">
        <v>1.5705816767694214</v>
      </c>
      <c r="AB43">
        <v>1.5864295687030239</v>
      </c>
      <c r="AC43">
        <v>1.6160270076113223</v>
      </c>
      <c r="AD43">
        <v>1.549563389287097</v>
      </c>
      <c r="AE43">
        <v>1.5458194061400026</v>
      </c>
      <c r="AG43">
        <v>0.60914634095739884</v>
      </c>
      <c r="AH43">
        <v>0.61047115771540261</v>
      </c>
      <c r="AI43">
        <v>0.63305301809435588</v>
      </c>
      <c r="AJ43">
        <v>0.63472922325757475</v>
      </c>
      <c r="AK43">
        <v>0.64966567806562592</v>
      </c>
      <c r="AL43">
        <v>0.62239858671700676</v>
      </c>
      <c r="AM43">
        <v>0.62122555433634252</v>
      </c>
      <c r="AO43">
        <v>47</v>
      </c>
      <c r="AP43">
        <v>10.66065974946504</v>
      </c>
      <c r="AQ43">
        <v>4.5271058579053944</v>
      </c>
      <c r="AR43">
        <v>5.6483985414748838</v>
      </c>
      <c r="AS43">
        <v>627.29305616962347</v>
      </c>
      <c r="AT43">
        <v>27.610077432605035</v>
      </c>
      <c r="AU43">
        <v>12.068448826764046</v>
      </c>
      <c r="AV43">
        <v>11.03018826394239</v>
      </c>
      <c r="AW43">
        <v>4.5879783608748657</v>
      </c>
      <c r="AX43">
        <v>5.9112305689529734</v>
      </c>
      <c r="AY43">
        <v>655.03495840427775</v>
      </c>
      <c r="AZ43">
        <v>27.641294936392185</v>
      </c>
      <c r="BA43">
        <v>11.941121554389152</v>
      </c>
      <c r="BB43">
        <v>12.180121765539738</v>
      </c>
      <c r="BC43">
        <v>4.832858655025345</v>
      </c>
      <c r="BD43">
        <v>6.4028140349924785</v>
      </c>
      <c r="BE43">
        <v>711.52932800051246</v>
      </c>
      <c r="BF43">
        <v>28.438334092453491</v>
      </c>
      <c r="BG43">
        <v>11.965854780690607</v>
      </c>
      <c r="BH43">
        <v>12.790341699066179</v>
      </c>
      <c r="BI43">
        <v>5.0033911791150114</v>
      </c>
      <c r="BJ43">
        <v>6.8281108824831565</v>
      </c>
      <c r="BK43">
        <v>758.49351508500308</v>
      </c>
      <c r="BL43">
        <v>28.578170264642075</v>
      </c>
      <c r="BM43">
        <v>11.95076503159849</v>
      </c>
      <c r="BN43">
        <v>13.088577066692647</v>
      </c>
      <c r="BO43">
        <v>5.0813376195700606</v>
      </c>
      <c r="BP43">
        <v>7.2342501444022975</v>
      </c>
      <c r="BQ43">
        <v>828.90249218903614</v>
      </c>
      <c r="BR43">
        <v>27.597023785648656</v>
      </c>
      <c r="BS43">
        <v>11.526264334782249</v>
      </c>
      <c r="BU43">
        <v>47</v>
      </c>
      <c r="BV43">
        <v>10.294138818873135</v>
      </c>
      <c r="BW43">
        <v>3.8542534338122416</v>
      </c>
      <c r="BX43">
        <v>5.4818447661480381</v>
      </c>
      <c r="BY43">
        <v>635.04411837951898</v>
      </c>
      <c r="BZ43">
        <v>26.695923058774394</v>
      </c>
      <c r="CA43">
        <v>10.861610278787253</v>
      </c>
      <c r="CB43">
        <v>10.559172307009218</v>
      </c>
      <c r="CC43">
        <v>3.8733738201361936</v>
      </c>
      <c r="CD43">
        <v>5.7188544307611737</v>
      </c>
      <c r="CE43">
        <v>663.29820788163784</v>
      </c>
      <c r="CF43">
        <v>26.586832758507516</v>
      </c>
      <c r="CG43">
        <v>10.715010888751419</v>
      </c>
      <c r="CH43">
        <v>11.699062985827108</v>
      </c>
      <c r="CI43">
        <v>4.2616454386356049</v>
      </c>
      <c r="CJ43">
        <v>6.1826132200195882</v>
      </c>
      <c r="CK43">
        <v>719.58991287782533</v>
      </c>
      <c r="CL43">
        <v>27.45126024285824</v>
      </c>
      <c r="CM43">
        <v>11.03801380831103</v>
      </c>
      <c r="CN43">
        <v>12.295876440505264</v>
      </c>
      <c r="CO43">
        <v>4.3494640585011473</v>
      </c>
      <c r="CP43">
        <v>6.616648201622497</v>
      </c>
      <c r="CQ43">
        <v>767.41248556275787</v>
      </c>
      <c r="CR43">
        <v>27.601703071891109</v>
      </c>
      <c r="CS43">
        <v>10.959752172901545</v>
      </c>
      <c r="CT43">
        <v>12.470241490461182</v>
      </c>
      <c r="CU43">
        <v>4.3465097198487195</v>
      </c>
      <c r="CV43">
        <v>6.9016341689028167</v>
      </c>
      <c r="CW43">
        <v>837.54766056801384</v>
      </c>
      <c r="CX43">
        <v>26.573898136851668</v>
      </c>
      <c r="CY43">
        <v>10.529933695985877</v>
      </c>
      <c r="DA43">
        <v>47</v>
      </c>
      <c r="DB43">
        <v>9.9102760974541084</v>
      </c>
      <c r="DC43">
        <v>3.4473066593541013</v>
      </c>
      <c r="DD43">
        <v>5.4771269192777003</v>
      </c>
      <c r="DE43">
        <v>632.03612716775274</v>
      </c>
      <c r="DF43">
        <v>26.215631495650388</v>
      </c>
      <c r="DG43">
        <v>10.26943661955182</v>
      </c>
      <c r="DH43">
        <v>10.157132816281795</v>
      </c>
      <c r="DI43">
        <v>3.6252881298364503</v>
      </c>
      <c r="DJ43">
        <v>5.6599387626777471</v>
      </c>
      <c r="DK43">
        <v>655.85968317958657</v>
      </c>
      <c r="DL43">
        <v>26.275374860205773</v>
      </c>
      <c r="DM43">
        <v>10.458276374587186</v>
      </c>
      <c r="DN43">
        <v>11.247441342473333</v>
      </c>
      <c r="DO43">
        <v>3.7285631119944176</v>
      </c>
      <c r="DP43">
        <v>6.1043850515744058</v>
      </c>
      <c r="DQ43">
        <v>714.3759084373803</v>
      </c>
      <c r="DR43">
        <v>27.019427860343423</v>
      </c>
      <c r="DS43">
        <v>10.372355759075958</v>
      </c>
      <c r="DT43">
        <v>11.542809402785888</v>
      </c>
      <c r="DU43">
        <v>3.6776094102102448</v>
      </c>
      <c r="DV43">
        <v>6.4172248588595098</v>
      </c>
      <c r="DW43">
        <v>754.6491118482503</v>
      </c>
      <c r="DX43">
        <v>27.070626867117745</v>
      </c>
      <c r="DY43">
        <v>10.254826894202289</v>
      </c>
      <c r="DZ43">
        <v>11.671240824748118</v>
      </c>
      <c r="EA43">
        <v>3.7349005017496442</v>
      </c>
      <c r="EB43">
        <v>6.6711446336332134</v>
      </c>
      <c r="EC43">
        <v>823.19392755162198</v>
      </c>
      <c r="ED43">
        <v>26.066647035165527</v>
      </c>
      <c r="EE43">
        <v>9.9705693156920105</v>
      </c>
      <c r="EG43">
        <v>47</v>
      </c>
      <c r="EH43">
        <v>9.522499621551896</v>
      </c>
      <c r="EI43">
        <v>3.179017164189414</v>
      </c>
      <c r="EJ43">
        <v>5.049182443431719</v>
      </c>
      <c r="EK43">
        <v>630.34047856558459</v>
      </c>
      <c r="EL43">
        <v>25.670967161570285</v>
      </c>
      <c r="EM43">
        <v>9.8714356219217958</v>
      </c>
      <c r="EN43">
        <v>9.7661811526053803</v>
      </c>
      <c r="EO43">
        <v>3.2636960236448451</v>
      </c>
      <c r="EP43">
        <v>5.2440492070118738</v>
      </c>
      <c r="EQ43">
        <v>653.71987658361491</v>
      </c>
      <c r="ER43">
        <v>25.763339881266131</v>
      </c>
      <c r="ES43">
        <v>9.9393791686531685</v>
      </c>
      <c r="ET43">
        <v>9.8092991766098176</v>
      </c>
      <c r="EU43">
        <v>3.3745380434300305</v>
      </c>
      <c r="EV43">
        <v>5.6520765064493563</v>
      </c>
      <c r="EW43">
        <v>714.50604086453723</v>
      </c>
      <c r="EX43">
        <v>25.001728656783158</v>
      </c>
      <c r="EY43">
        <v>9.8749843891087341</v>
      </c>
      <c r="EZ43">
        <v>10.32825506938735</v>
      </c>
      <c r="FA43">
        <v>3.3656942920608492</v>
      </c>
      <c r="FB43">
        <v>5.9381301989816642</v>
      </c>
      <c r="FC43">
        <v>753.17636121056375</v>
      </c>
      <c r="FD43">
        <v>25.510984118201186</v>
      </c>
      <c r="FE43">
        <v>9.8607461309338635</v>
      </c>
      <c r="FF43">
        <v>10.47829560575884</v>
      </c>
      <c r="FG43">
        <v>3.3947105103543942</v>
      </c>
      <c r="FH43">
        <v>6.1754221843394275</v>
      </c>
      <c r="FI43">
        <v>813.85803598838265</v>
      </c>
      <c r="FJ43">
        <v>24.899871274699489</v>
      </c>
      <c r="FK43">
        <v>9.6669465381149706</v>
      </c>
    </row>
    <row r="44" spans="2:167" x14ac:dyDescent="0.25">
      <c r="B44">
        <v>717.63407710861577</v>
      </c>
      <c r="C44">
        <v>1.3934678297734284</v>
      </c>
      <c r="D44">
        <v>763.16158838881552</v>
      </c>
      <c r="E44">
        <v>1.3103384856032876</v>
      </c>
      <c r="F44">
        <v>870.0095896779809</v>
      </c>
      <c r="G44">
        <v>1.1494126178196873</v>
      </c>
      <c r="H44">
        <v>961.01817611567026</v>
      </c>
      <c r="I44">
        <v>1.0405630453753643</v>
      </c>
      <c r="J44">
        <v>1059.2211424678674</v>
      </c>
      <c r="K44">
        <v>0.94408991654954255</v>
      </c>
      <c r="L44">
        <v>816.53415052983655</v>
      </c>
      <c r="M44">
        <v>1.2246885195813491</v>
      </c>
      <c r="N44">
        <v>816.50521911928331</v>
      </c>
      <c r="O44">
        <v>1.2247319142413344</v>
      </c>
      <c r="Q44">
        <v>8.0799179193184023E-2</v>
      </c>
      <c r="R44">
        <v>8.1297341234979031E-2</v>
      </c>
      <c r="S44">
        <v>8.1950192592559243E-2</v>
      </c>
      <c r="T44">
        <v>8.2784901184726825E-2</v>
      </c>
      <c r="U44">
        <v>8.3234346742347948E-2</v>
      </c>
      <c r="V44">
        <v>8.1866270371373312E-2</v>
      </c>
      <c r="W44">
        <v>8.1317673156003425E-2</v>
      </c>
      <c r="Y44">
        <v>1.5450744891855639</v>
      </c>
      <c r="Z44">
        <v>1.5468247911839332</v>
      </c>
      <c r="AA44">
        <v>1.5944669809017822</v>
      </c>
      <c r="AB44">
        <v>1.61138888862477</v>
      </c>
      <c r="AC44">
        <v>1.6415658022624762</v>
      </c>
      <c r="AD44">
        <v>1.5726638193616427</v>
      </c>
      <c r="AE44">
        <v>1.5692213137652749</v>
      </c>
      <c r="AG44">
        <v>0.61691480099617579</v>
      </c>
      <c r="AH44">
        <v>0.61835976838217654</v>
      </c>
      <c r="AI44">
        <v>0.64149202294118113</v>
      </c>
      <c r="AJ44">
        <v>0.64350543346849365</v>
      </c>
      <c r="AK44">
        <v>0.65874530250933161</v>
      </c>
      <c r="AL44">
        <v>0.63046287936821521</v>
      </c>
      <c r="AM44">
        <v>0.62945044608902545</v>
      </c>
      <c r="AO44">
        <v>48</v>
      </c>
      <c r="AP44">
        <v>10.832938865669263</v>
      </c>
      <c r="AQ44">
        <v>4.6055191348355224</v>
      </c>
      <c r="AR44">
        <v>5.7244980319682019</v>
      </c>
      <c r="AS44">
        <v>636.78241729698698</v>
      </c>
      <c r="AT44">
        <v>27.542393140532393</v>
      </c>
      <c r="AU44">
        <v>12.045206106170793</v>
      </c>
      <c r="AV44">
        <v>11.21370217562588</v>
      </c>
      <c r="AW44">
        <v>4.6683978084043263</v>
      </c>
      <c r="AX44">
        <v>5.9939726074120463</v>
      </c>
      <c r="AY44">
        <v>665.26865727028735</v>
      </c>
      <c r="AZ44">
        <v>27.574850937367753</v>
      </c>
      <c r="BA44">
        <v>11.91620751253574</v>
      </c>
      <c r="BB44">
        <v>12.391659379125272</v>
      </c>
      <c r="BC44">
        <v>4.9197384267007314</v>
      </c>
      <c r="BD44">
        <v>6.4967978173240031</v>
      </c>
      <c r="BE44">
        <v>722.95561359407145</v>
      </c>
      <c r="BF44">
        <v>28.384908560373351</v>
      </c>
      <c r="BG44">
        <v>11.944183317828186</v>
      </c>
      <c r="BH44">
        <v>13.021296049574923</v>
      </c>
      <c r="BI44">
        <v>5.0966008501438704</v>
      </c>
      <c r="BJ44">
        <v>6.9335093632642932</v>
      </c>
      <c r="BK44">
        <v>771.17391283069855</v>
      </c>
      <c r="BL44">
        <v>28.529297375272861</v>
      </c>
      <c r="BM44">
        <v>11.930679731467682</v>
      </c>
      <c r="BN44">
        <v>13.325232528437198</v>
      </c>
      <c r="BO44">
        <v>5.175815023180995</v>
      </c>
      <c r="BP44">
        <v>7.3480220229586344</v>
      </c>
      <c r="BQ44">
        <v>844.23679692526525</v>
      </c>
      <c r="BR44">
        <v>27.507205286756403</v>
      </c>
      <c r="BS44">
        <v>11.48874219580911</v>
      </c>
      <c r="BU44">
        <v>48</v>
      </c>
      <c r="BV44">
        <v>10.463122794730827</v>
      </c>
      <c r="BW44">
        <v>3.9172111768561972</v>
      </c>
      <c r="BX44">
        <v>5.5563321409654902</v>
      </c>
      <c r="BY44">
        <v>644.6817842050018</v>
      </c>
      <c r="BZ44">
        <v>26.631271476679842</v>
      </c>
      <c r="CA44">
        <v>10.829943817566255</v>
      </c>
      <c r="CB44">
        <v>10.736858349964784</v>
      </c>
      <c r="CC44">
        <v>3.9378248645352323</v>
      </c>
      <c r="CD44">
        <v>5.7993876728094023</v>
      </c>
      <c r="CE44">
        <v>673.72917277540853</v>
      </c>
      <c r="CF44">
        <v>26.520805323396949</v>
      </c>
      <c r="CG44">
        <v>10.682195040036953</v>
      </c>
      <c r="CH44">
        <v>11.904514570875808</v>
      </c>
      <c r="CI44">
        <v>4.3361039499432987</v>
      </c>
      <c r="CJ44">
        <v>6.2737669163963012</v>
      </c>
      <c r="CK44">
        <v>731.13549664655068</v>
      </c>
      <c r="CL44">
        <v>27.401055301944591</v>
      </c>
      <c r="CM44">
        <v>11.012295175917856</v>
      </c>
      <c r="CN44">
        <v>12.520239164131967</v>
      </c>
      <c r="CO44">
        <v>4.4279842993842058</v>
      </c>
      <c r="CP44">
        <v>6.7193571877255316</v>
      </c>
      <c r="CQ44">
        <v>780.21537732397269</v>
      </c>
      <c r="CR44">
        <v>27.556484563914516</v>
      </c>
      <c r="CS44">
        <v>10.935457911313872</v>
      </c>
      <c r="CT44">
        <v>12.697407309905174</v>
      </c>
      <c r="CU44">
        <v>4.4244169082132343</v>
      </c>
      <c r="CV44">
        <v>7.0099949049798997</v>
      </c>
      <c r="CW44">
        <v>853.0919796554889</v>
      </c>
      <c r="CX44">
        <v>26.485736830217949</v>
      </c>
      <c r="CY44">
        <v>10.488694080485592</v>
      </c>
      <c r="DA44">
        <v>48</v>
      </c>
      <c r="DB44">
        <v>10.062493111786445</v>
      </c>
      <c r="DC44">
        <v>3.5042822738983137</v>
      </c>
      <c r="DD44">
        <v>5.5497905790196995</v>
      </c>
      <c r="DE44">
        <v>641.44703207177793</v>
      </c>
      <c r="DF44">
        <v>26.140998539085931</v>
      </c>
      <c r="DG44">
        <v>10.24081221324537</v>
      </c>
      <c r="DH44">
        <v>10.316627235900389</v>
      </c>
      <c r="DI44">
        <v>3.6875752455939637</v>
      </c>
      <c r="DJ44">
        <v>5.7376808992078123</v>
      </c>
      <c r="DK44">
        <v>665.85747580591192</v>
      </c>
      <c r="DL44">
        <v>26.203218784452325</v>
      </c>
      <c r="DM44">
        <v>10.432648218600541</v>
      </c>
      <c r="DN44">
        <v>11.434445343025581</v>
      </c>
      <c r="DO44">
        <v>3.7943913317046034</v>
      </c>
      <c r="DP44">
        <v>6.1925027307593288</v>
      </c>
      <c r="DQ44">
        <v>725.62003651869804</v>
      </c>
      <c r="DR44">
        <v>26.961514242133951</v>
      </c>
      <c r="DS44">
        <v>10.349448618389832</v>
      </c>
      <c r="DT44">
        <v>11.74216846833526</v>
      </c>
      <c r="DU44">
        <v>3.745259307581533</v>
      </c>
      <c r="DV44">
        <v>6.5150382461457852</v>
      </c>
      <c r="DW44">
        <v>767.05207397944093</v>
      </c>
      <c r="DX44">
        <v>27.015013724499088</v>
      </c>
      <c r="DY44">
        <v>10.233056783174654</v>
      </c>
      <c r="DZ44">
        <v>11.87268844460228</v>
      </c>
      <c r="EA44">
        <v>3.8038015077494758</v>
      </c>
      <c r="EB44">
        <v>6.7741801649560225</v>
      </c>
      <c r="EC44">
        <v>838.28520193374334</v>
      </c>
      <c r="ED44">
        <v>25.969742457105546</v>
      </c>
      <c r="EE44">
        <v>9.9336185076981369</v>
      </c>
      <c r="EG44">
        <v>48</v>
      </c>
      <c r="EH44">
        <v>9.664975282516016</v>
      </c>
      <c r="EI44">
        <v>3.2319989306613062</v>
      </c>
      <c r="EJ44">
        <v>5.1143976212500908</v>
      </c>
      <c r="EK44">
        <v>639.58575460902273</v>
      </c>
      <c r="EL44">
        <v>25.595548338981065</v>
      </c>
      <c r="EM44">
        <v>9.844896030873576</v>
      </c>
      <c r="EN44">
        <v>9.9175441458982618</v>
      </c>
      <c r="EO44">
        <v>3.3196338871120004</v>
      </c>
      <c r="EP44">
        <v>5.3144395344301349</v>
      </c>
      <c r="EQ44">
        <v>663.60494982785394</v>
      </c>
      <c r="ER44">
        <v>25.690775863299272</v>
      </c>
      <c r="ES44">
        <v>9.9136021393948681</v>
      </c>
      <c r="ET44">
        <v>9.9664930956337123</v>
      </c>
      <c r="EU44">
        <v>3.4341150259446702</v>
      </c>
      <c r="EV44">
        <v>5.7320846523014</v>
      </c>
      <c r="EW44">
        <v>726.19282363821958</v>
      </c>
      <c r="EX44">
        <v>24.9188123492114</v>
      </c>
      <c r="EY44">
        <v>9.845168866921048</v>
      </c>
      <c r="EZ44">
        <v>10.502224484676841</v>
      </c>
      <c r="FA44">
        <v>3.4278676825068111</v>
      </c>
      <c r="FB44">
        <v>6.0269580702020189</v>
      </c>
      <c r="FC44">
        <v>765.91069191809015</v>
      </c>
      <c r="FD44">
        <v>25.43635769532403</v>
      </c>
      <c r="FE44">
        <v>9.8339086829385511</v>
      </c>
      <c r="FF44">
        <v>10.655619167090448</v>
      </c>
      <c r="FG44">
        <v>3.4574349014642087</v>
      </c>
      <c r="FH44">
        <v>6.2691399587263108</v>
      </c>
      <c r="FI44">
        <v>829.73444706105806</v>
      </c>
      <c r="FJ44">
        <v>24.770553512764739</v>
      </c>
      <c r="FK44">
        <v>9.6185458114238624</v>
      </c>
    </row>
    <row r="45" spans="2:167" x14ac:dyDescent="0.25">
      <c r="B45">
        <v>722.41504587035877</v>
      </c>
      <c r="C45">
        <v>1.3842458095473489</v>
      </c>
      <c r="D45">
        <v>768.83037313085515</v>
      </c>
      <c r="E45">
        <v>1.3006770218088142</v>
      </c>
      <c r="F45">
        <v>877.69098053812991</v>
      </c>
      <c r="G45">
        <v>1.1393531689101783</v>
      </c>
      <c r="H45">
        <v>970.67313440390035</v>
      </c>
      <c r="I45">
        <v>1.0302129157145259</v>
      </c>
      <c r="J45">
        <v>1070.6309031266355</v>
      </c>
      <c r="K45">
        <v>0.93402870875446675</v>
      </c>
      <c r="L45">
        <v>823.6276439837344</v>
      </c>
      <c r="M45">
        <v>1.2141408891561545</v>
      </c>
      <c r="N45">
        <v>822.7375113165142</v>
      </c>
      <c r="O45">
        <v>1.2154544873003748</v>
      </c>
      <c r="Q45">
        <v>8.2395348010445818E-2</v>
      </c>
      <c r="R45">
        <v>8.2903098900105415E-2</v>
      </c>
      <c r="S45">
        <v>8.3573304985795807E-2</v>
      </c>
      <c r="T45">
        <v>8.442654192419155E-2</v>
      </c>
      <c r="U45">
        <v>8.488740221527008E-2</v>
      </c>
      <c r="V45">
        <v>8.3487356023127388E-2</v>
      </c>
      <c r="W45">
        <v>8.2925354569639856E-2</v>
      </c>
      <c r="Y45">
        <v>1.5671419540234028</v>
      </c>
      <c r="Z45">
        <v>1.5691471025349739</v>
      </c>
      <c r="AA45">
        <v>1.6179153025809778</v>
      </c>
      <c r="AB45">
        <v>1.6359509263399548</v>
      </c>
      <c r="AC45">
        <v>1.6667066162972195</v>
      </c>
      <c r="AD45">
        <v>1.5953609571464824</v>
      </c>
      <c r="AE45">
        <v>1.5922087997343692</v>
      </c>
      <c r="AG45">
        <v>0.62456386102427552</v>
      </c>
      <c r="AH45">
        <v>0.62613923686325068</v>
      </c>
      <c r="AI45">
        <v>0.649798609927422</v>
      </c>
      <c r="AJ45">
        <v>0.65216755031440687</v>
      </c>
      <c r="AK45">
        <v>0.66770897852902722</v>
      </c>
      <c r="AL45">
        <v>0.63841002677811154</v>
      </c>
      <c r="AM45">
        <v>0.63755224799437127</v>
      </c>
      <c r="AO45">
        <v>49</v>
      </c>
      <c r="AP45">
        <v>11.002814201848324</v>
      </c>
      <c r="AQ45">
        <v>4.6828847072105368</v>
      </c>
      <c r="AR45">
        <v>5.7991923142011563</v>
      </c>
      <c r="AS45">
        <v>646.13270904511774</v>
      </c>
      <c r="AT45">
        <v>27.475873209850622</v>
      </c>
      <c r="AU45">
        <v>12.022233284056647</v>
      </c>
      <c r="AV45">
        <v>11.394700891861053</v>
      </c>
      <c r="AW45">
        <v>4.7477867146597843</v>
      </c>
      <c r="AX45">
        <v>6.075156240591542</v>
      </c>
      <c r="AY45">
        <v>675.35293282539328</v>
      </c>
      <c r="AZ45">
        <v>27.50954500289275</v>
      </c>
      <c r="BA45">
        <v>11.891673868234264</v>
      </c>
      <c r="BB45">
        <v>12.599947489892855</v>
      </c>
      <c r="BC45">
        <v>5.0054578435380899</v>
      </c>
      <c r="BD45">
        <v>6.5888344886672314</v>
      </c>
      <c r="BE45">
        <v>734.19231331925744</v>
      </c>
      <c r="BF45">
        <v>28.331939240823896</v>
      </c>
      <c r="BG45">
        <v>11.922812343745862</v>
      </c>
      <c r="BH45">
        <v>13.248701871800144</v>
      </c>
      <c r="BI45">
        <v>5.1886040384472043</v>
      </c>
      <c r="BJ45">
        <v>7.0366621322976073</v>
      </c>
      <c r="BK45">
        <v>783.63901070669726</v>
      </c>
      <c r="BL45">
        <v>28.480807278268195</v>
      </c>
      <c r="BM45">
        <v>11.910922671526579</v>
      </c>
      <c r="BN45">
        <v>13.558253819854906</v>
      </c>
      <c r="BO45">
        <v>5.2690775430384935</v>
      </c>
      <c r="BP45">
        <v>7.4593175259803983</v>
      </c>
      <c r="BQ45">
        <v>859.35512261395957</v>
      </c>
      <c r="BR45">
        <v>27.418500639176202</v>
      </c>
      <c r="BS45">
        <v>11.451850993691775</v>
      </c>
      <c r="BU45">
        <v>49</v>
      </c>
      <c r="BV45">
        <v>10.629649795669982</v>
      </c>
      <c r="BW45">
        <v>3.9794263015633411</v>
      </c>
      <c r="BX45">
        <v>5.6294246247983448</v>
      </c>
      <c r="BY45">
        <v>654.17242573646831</v>
      </c>
      <c r="BZ45">
        <v>26.567759967437183</v>
      </c>
      <c r="CA45">
        <v>10.79914022208974</v>
      </c>
      <c r="CB45">
        <v>10.912032664102155</v>
      </c>
      <c r="CC45">
        <v>4.0015700064720736</v>
      </c>
      <c r="CD45">
        <v>5.8783894184895438</v>
      </c>
      <c r="CE45">
        <v>684.00453071508969</v>
      </c>
      <c r="CF45">
        <v>26.455941237287558</v>
      </c>
      <c r="CG45">
        <v>10.650309738901091</v>
      </c>
      <c r="CH45">
        <v>12.106727966321699</v>
      </c>
      <c r="CI45">
        <v>4.4096517896099021</v>
      </c>
      <c r="CJ45">
        <v>6.3630209130883291</v>
      </c>
      <c r="CK45">
        <v>742.48347357054479</v>
      </c>
      <c r="CL45">
        <v>27.351278797911849</v>
      </c>
      <c r="CM45">
        <v>10.987222493677354</v>
      </c>
      <c r="CN45">
        <v>12.74106995510552</v>
      </c>
      <c r="CO45">
        <v>4.5055869506245445</v>
      </c>
      <c r="CP45">
        <v>6.8198620794277449</v>
      </c>
      <c r="CQ45">
        <v>792.79382109667358</v>
      </c>
      <c r="CR45">
        <v>27.511616693485706</v>
      </c>
      <c r="CS45">
        <v>10.911849135163116</v>
      </c>
      <c r="CT45">
        <v>12.921023427067031</v>
      </c>
      <c r="CU45">
        <v>4.5014368760463253</v>
      </c>
      <c r="CV45">
        <v>7.1160018693289429</v>
      </c>
      <c r="CW45">
        <v>868.41436099870896</v>
      </c>
      <c r="CX45">
        <v>26.398686635626003</v>
      </c>
      <c r="CY45">
        <v>10.448429408069302</v>
      </c>
      <c r="DA45">
        <v>49</v>
      </c>
      <c r="DB45">
        <v>10.211335716401214</v>
      </c>
      <c r="DC45">
        <v>3.5606215432812687</v>
      </c>
      <c r="DD45">
        <v>5.6207890249108052</v>
      </c>
      <c r="DE45">
        <v>650.71219082668256</v>
      </c>
      <c r="DF45">
        <v>26.066181245913633</v>
      </c>
      <c r="DG45">
        <v>10.212956035490535</v>
      </c>
      <c r="DH45">
        <v>10.472791855292042</v>
      </c>
      <c r="DI45">
        <v>3.7492354071777019</v>
      </c>
      <c r="DJ45">
        <v>5.8137456400761325</v>
      </c>
      <c r="DK45">
        <v>675.70550529997274</v>
      </c>
      <c r="DL45">
        <v>26.130825815882936</v>
      </c>
      <c r="DM45">
        <v>10.407678286579889</v>
      </c>
      <c r="DN45">
        <v>11.617365673439391</v>
      </c>
      <c r="DO45">
        <v>3.8595204835605532</v>
      </c>
      <c r="DP45">
        <v>6.278568915333862</v>
      </c>
      <c r="DQ45">
        <v>736.66943250953386</v>
      </c>
      <c r="DR45">
        <v>26.902854008851776</v>
      </c>
      <c r="DS45">
        <v>10.327155546596105</v>
      </c>
      <c r="DT45">
        <v>11.937675702372481</v>
      </c>
      <c r="DU45">
        <v>3.8124274402588916</v>
      </c>
      <c r="DV45">
        <v>6.6107968691790404</v>
      </c>
      <c r="DW45">
        <v>779.25538010095431</v>
      </c>
      <c r="DX45">
        <v>26.958614604009455</v>
      </c>
      <c r="DY45">
        <v>10.211911606821131</v>
      </c>
      <c r="DZ45">
        <v>12.070321198568168</v>
      </c>
      <c r="EA45">
        <v>3.8722390982196067</v>
      </c>
      <c r="EB45">
        <v>6.8750705812417019</v>
      </c>
      <c r="EC45">
        <v>853.18247457063512</v>
      </c>
      <c r="ED45">
        <v>25.872890050270151</v>
      </c>
      <c r="EE45">
        <v>9.8974939379428069</v>
      </c>
      <c r="EG45">
        <v>49</v>
      </c>
      <c r="EH45">
        <v>9.804022739089115</v>
      </c>
      <c r="EI45">
        <v>3.2843775753074289</v>
      </c>
      <c r="EJ45">
        <v>5.1781468731899478</v>
      </c>
      <c r="EK45">
        <v>648.68624702788509</v>
      </c>
      <c r="EL45">
        <v>25.51968536954373</v>
      </c>
      <c r="EM45">
        <v>9.8190011856733435</v>
      </c>
      <c r="EN45">
        <v>10.065493415491115</v>
      </c>
      <c r="EO45">
        <v>3.3750118088078618</v>
      </c>
      <c r="EP45">
        <v>5.3833351796292401</v>
      </c>
      <c r="EQ45">
        <v>673.34146224423114</v>
      </c>
      <c r="ER45">
        <v>25.617677492388236</v>
      </c>
      <c r="ES45">
        <v>9.8884478241859863</v>
      </c>
      <c r="ET45">
        <v>10.120955841586227</v>
      </c>
      <c r="EU45">
        <v>3.4930593494983442</v>
      </c>
      <c r="EV45">
        <v>5.8102552186848797</v>
      </c>
      <c r="EW45">
        <v>737.70508154521792</v>
      </c>
      <c r="EX45">
        <v>24.836619432465511</v>
      </c>
      <c r="EY45">
        <v>9.8158991486390796</v>
      </c>
      <c r="EZ45">
        <v>10.673008823958964</v>
      </c>
      <c r="FA45">
        <v>3.4895904781365692</v>
      </c>
      <c r="FB45">
        <v>6.1139457015714038</v>
      </c>
      <c r="FC45">
        <v>778.45785554384349</v>
      </c>
      <c r="FD45">
        <v>25.361653750717487</v>
      </c>
      <c r="FE45">
        <v>9.8076601632783227</v>
      </c>
      <c r="FF45">
        <v>10.829646683338362</v>
      </c>
      <c r="FG45">
        <v>3.5197344053354542</v>
      </c>
      <c r="FH45">
        <v>6.3609323954768957</v>
      </c>
      <c r="FI45">
        <v>845.45410093816736</v>
      </c>
      <c r="FJ45">
        <v>24.641931263962636</v>
      </c>
      <c r="FK45">
        <v>9.5710265857821568</v>
      </c>
    </row>
    <row r="46" spans="2:167" x14ac:dyDescent="0.25">
      <c r="B46">
        <v>726.98729242497416</v>
      </c>
      <c r="C46">
        <v>1.3755398621403014</v>
      </c>
      <c r="D46">
        <v>774.26499638794201</v>
      </c>
      <c r="E46">
        <v>1.2915474736235584</v>
      </c>
      <c r="F46">
        <v>885.05019679765337</v>
      </c>
      <c r="G46">
        <v>1.1298794165780264</v>
      </c>
      <c r="H46">
        <v>979.95061780507831</v>
      </c>
      <c r="I46">
        <v>1.0204595842184669</v>
      </c>
      <c r="J46">
        <v>1081.6028065244645</v>
      </c>
      <c r="K46">
        <v>0.92455381399510184</v>
      </c>
      <c r="L46">
        <v>830.42738729630389</v>
      </c>
      <c r="M46">
        <v>1.204199205490788</v>
      </c>
      <c r="N46">
        <v>828.70859834233943</v>
      </c>
      <c r="O46">
        <v>1.2066967834052811</v>
      </c>
      <c r="Q46">
        <v>9.1933630590617904E-2</v>
      </c>
      <c r="R46">
        <v>9.2441945150449331E-2</v>
      </c>
      <c r="S46">
        <v>9.2902131052527898E-2</v>
      </c>
      <c r="T46">
        <v>9.3757410899412502E-2</v>
      </c>
      <c r="U46">
        <v>9.4178790771162188E-2</v>
      </c>
      <c r="V46">
        <v>9.2861497955996269E-2</v>
      </c>
      <c r="W46">
        <v>9.2408363152378756E-2</v>
      </c>
      <c r="Y46">
        <v>1.5887985132495708</v>
      </c>
      <c r="Z46">
        <v>1.5910856986276785</v>
      </c>
      <c r="AA46">
        <v>1.6409266379561995</v>
      </c>
      <c r="AB46">
        <v>1.6601156746966745</v>
      </c>
      <c r="AC46">
        <v>1.6914494379027272</v>
      </c>
      <c r="AD46">
        <v>1.6176547974505471</v>
      </c>
      <c r="AE46">
        <v>1.6147818613588254</v>
      </c>
      <c r="AG46">
        <v>0.6320935207971754</v>
      </c>
      <c r="AH46">
        <v>0.63380956274905009</v>
      </c>
      <c r="AI46">
        <v>0.65797277806833854</v>
      </c>
      <c r="AJ46">
        <v>0.66071557244559953</v>
      </c>
      <c r="AK46">
        <v>0.67655670349270158</v>
      </c>
      <c r="AL46">
        <v>0.64624002768183342</v>
      </c>
      <c r="AM46">
        <v>0.64553095940153726</v>
      </c>
      <c r="AO46">
        <v>50</v>
      </c>
      <c r="AP46">
        <v>11.170285742196356</v>
      </c>
      <c r="AQ46">
        <v>4.7592018997044452</v>
      </c>
      <c r="AR46">
        <v>5.8724813778985654</v>
      </c>
      <c r="AS46">
        <v>655.34172346089133</v>
      </c>
      <c r="AT46">
        <v>27.410516314680063</v>
      </c>
      <c r="AU46">
        <v>11.999542910950616</v>
      </c>
      <c r="AV46">
        <v>11.573184383938427</v>
      </c>
      <c r="AW46">
        <v>4.8261448494411603</v>
      </c>
      <c r="AX46">
        <v>6.1547814504279099</v>
      </c>
      <c r="AY46">
        <v>685.28542354966044</v>
      </c>
      <c r="AZ46">
        <v>27.445376574282857</v>
      </c>
      <c r="BA46">
        <v>11.867527364569019</v>
      </c>
      <c r="BB46">
        <v>12.804986027038535</v>
      </c>
      <c r="BC46">
        <v>5.0900168818779274</v>
      </c>
      <c r="BD46">
        <v>6.6789240149608808</v>
      </c>
      <c r="BE46">
        <v>745.23774172814694</v>
      </c>
      <c r="BF46">
        <v>28.279425324118456</v>
      </c>
      <c r="BG46">
        <v>11.901737191589834</v>
      </c>
      <c r="BH46">
        <v>13.472559040468763</v>
      </c>
      <c r="BI46">
        <v>5.2794007023487151</v>
      </c>
      <c r="BJ46">
        <v>7.1375691320007473</v>
      </c>
      <c r="BK46">
        <v>795.88704195999992</v>
      </c>
      <c r="BL46">
        <v>28.432700144873984</v>
      </c>
      <c r="BM46">
        <v>11.891486249578822</v>
      </c>
      <c r="BN46">
        <v>13.78764073553527</v>
      </c>
      <c r="BO46">
        <v>5.3611251101528552</v>
      </c>
      <c r="BP46">
        <v>7.5681365574713668</v>
      </c>
      <c r="BQ46">
        <v>874.25364841531837</v>
      </c>
      <c r="BR46">
        <v>27.330898078618993</v>
      </c>
      <c r="BS46">
        <v>11.415577062224031</v>
      </c>
      <c r="BU46">
        <v>50</v>
      </c>
      <c r="BV46">
        <v>10.793719804765711</v>
      </c>
      <c r="BW46">
        <v>4.0408988042303093</v>
      </c>
      <c r="BX46">
        <v>5.7011222075891563</v>
      </c>
      <c r="BY46">
        <v>663.51374233653462</v>
      </c>
      <c r="BZ46">
        <v>26.505387820987576</v>
      </c>
      <c r="CA46">
        <v>10.769178662929576</v>
      </c>
      <c r="CB46">
        <v>11.084695220126001</v>
      </c>
      <c r="CC46">
        <v>4.0646092394102906</v>
      </c>
      <c r="CD46">
        <v>5.955859650255749</v>
      </c>
      <c r="CE46">
        <v>694.12175094921281</v>
      </c>
      <c r="CF46">
        <v>26.392239288457795</v>
      </c>
      <c r="CG46">
        <v>10.619329961069498</v>
      </c>
      <c r="CH46">
        <v>12.305703101027948</v>
      </c>
      <c r="CI46">
        <v>4.4822889400977415</v>
      </c>
      <c r="CJ46">
        <v>6.4503751773255331</v>
      </c>
      <c r="CK46">
        <v>753.632137062266</v>
      </c>
      <c r="CL46">
        <v>27.301930382256561</v>
      </c>
      <c r="CM46">
        <v>10.962770029590061</v>
      </c>
      <c r="CN46">
        <v>12.958368688278854</v>
      </c>
      <c r="CO46">
        <v>4.582271981614225</v>
      </c>
      <c r="CP46">
        <v>6.9181628212482629</v>
      </c>
      <c r="CQ46">
        <v>805.14605270814138</v>
      </c>
      <c r="CR46">
        <v>27.467100144954713</v>
      </c>
      <c r="CS46">
        <v>10.888895332048321</v>
      </c>
      <c r="CT46">
        <v>13.141089641488964</v>
      </c>
      <c r="CU46">
        <v>4.5775695732232036</v>
      </c>
      <c r="CV46">
        <v>7.2196549701981088</v>
      </c>
      <c r="CW46">
        <v>883.5108229111205</v>
      </c>
      <c r="CX46">
        <v>26.312735127628674</v>
      </c>
      <c r="CY46">
        <v>10.409102095867688</v>
      </c>
      <c r="DA46">
        <v>50</v>
      </c>
      <c r="DB46">
        <v>10.356804292199653</v>
      </c>
      <c r="DC46">
        <v>3.6163244633111145</v>
      </c>
      <c r="DD46">
        <v>5.6901226738749902</v>
      </c>
      <c r="DE46">
        <v>659.83052659514908</v>
      </c>
      <c r="DF46">
        <v>25.991179342845356</v>
      </c>
      <c r="DG46">
        <v>10.185833217346294</v>
      </c>
      <c r="DH46">
        <v>10.625626667834183</v>
      </c>
      <c r="DI46">
        <v>3.8102685978277746</v>
      </c>
      <c r="DJ46">
        <v>5.8881329835333922</v>
      </c>
      <c r="DK46">
        <v>685.40271905287648</v>
      </c>
      <c r="DL46">
        <v>26.058196586619097</v>
      </c>
      <c r="DM46">
        <v>10.383336784448101</v>
      </c>
      <c r="DN46">
        <v>11.796202326388128</v>
      </c>
      <c r="DO46">
        <v>3.923950554227055</v>
      </c>
      <c r="DP46">
        <v>6.3625839779400692</v>
      </c>
      <c r="DQ46">
        <v>747.523632346456</v>
      </c>
      <c r="DR46">
        <v>26.843447480420696</v>
      </c>
      <c r="DS46">
        <v>10.305436626090577</v>
      </c>
      <c r="DT46">
        <v>12.129331053867608</v>
      </c>
      <c r="DU46">
        <v>3.879113792777177</v>
      </c>
      <c r="DV46">
        <v>6.7045007104090093</v>
      </c>
      <c r="DW46">
        <v>791.25867841623051</v>
      </c>
      <c r="DX46">
        <v>26.901429592208611</v>
      </c>
      <c r="DY46">
        <v>10.191348450363302</v>
      </c>
      <c r="DZ46">
        <v>12.264138997128885</v>
      </c>
      <c r="EA46">
        <v>3.9402132465459871</v>
      </c>
      <c r="EB46">
        <v>6.9738158463327347</v>
      </c>
      <c r="EC46">
        <v>867.8833341372524</v>
      </c>
      <c r="ED46">
        <v>25.776086187358047</v>
      </c>
      <c r="EE46">
        <v>9.8621527746206361</v>
      </c>
      <c r="EG46">
        <v>50</v>
      </c>
      <c r="EH46">
        <v>9.9396433103620758</v>
      </c>
      <c r="EI46">
        <v>3.3361530941140067</v>
      </c>
      <c r="EJ46">
        <v>5.240430499849495</v>
      </c>
      <c r="EK46">
        <v>657.64113430001055</v>
      </c>
      <c r="EL46">
        <v>25.443378916057515</v>
      </c>
      <c r="EM46">
        <v>9.79371877835829</v>
      </c>
      <c r="EN46">
        <v>10.210029115647901</v>
      </c>
      <c r="EO46">
        <v>3.4298297826909558</v>
      </c>
      <c r="EP46">
        <v>5.4507361405988224</v>
      </c>
      <c r="EQ46">
        <v>682.92868625390383</v>
      </c>
      <c r="ER46">
        <v>25.544045217352462</v>
      </c>
      <c r="ES46">
        <v>9.8638826942776632</v>
      </c>
      <c r="ET46">
        <v>10.272687367052271</v>
      </c>
      <c r="EU46">
        <v>3.5513710020227687</v>
      </c>
      <c r="EV46">
        <v>5.8865884584297206</v>
      </c>
      <c r="EW46">
        <v>749.03995158817304</v>
      </c>
      <c r="EX46">
        <v>24.755150064578107</v>
      </c>
      <c r="EY46">
        <v>9.7871653600097499</v>
      </c>
      <c r="EZ46">
        <v>10.840608033840462</v>
      </c>
      <c r="FA46">
        <v>3.5508626644573171</v>
      </c>
      <c r="FB46">
        <v>6.1990930764130248</v>
      </c>
      <c r="FC46">
        <v>790.81613062349436</v>
      </c>
      <c r="FD46">
        <v>25.286872424876929</v>
      </c>
      <c r="FE46">
        <v>9.7819726713147581</v>
      </c>
      <c r="FF46">
        <v>11.000378075732343</v>
      </c>
      <c r="FG46">
        <v>3.5816089975980447</v>
      </c>
      <c r="FH46">
        <v>6.450799460726194</v>
      </c>
      <c r="FI46">
        <v>861.01328201229717</v>
      </c>
      <c r="FJ46">
        <v>24.513994314428579</v>
      </c>
      <c r="FK46">
        <v>9.5243522419247046</v>
      </c>
    </row>
    <row r="47" spans="2:167" x14ac:dyDescent="0.25">
      <c r="B47">
        <v>731.35071847146889</v>
      </c>
      <c r="C47">
        <v>1.3673330383677083</v>
      </c>
      <c r="D47">
        <v>779.46530804876181</v>
      </c>
      <c r="E47">
        <v>1.2829307342789937</v>
      </c>
      <c r="F47">
        <v>892.08696248105025</v>
      </c>
      <c r="G47">
        <v>1.1209669483553764</v>
      </c>
      <c r="H47">
        <v>988.8501799851955</v>
      </c>
      <c r="I47">
        <v>1.011275540259265</v>
      </c>
      <c r="J47">
        <v>1092.1361818790342</v>
      </c>
      <c r="K47">
        <v>0.91563672790282191</v>
      </c>
      <c r="L47">
        <v>836.93311050795387</v>
      </c>
      <c r="M47">
        <v>1.1948386166644513</v>
      </c>
      <c r="N47">
        <v>834.41830800225739</v>
      </c>
      <c r="O47">
        <v>1.1984396679816074</v>
      </c>
      <c r="Q47">
        <v>0.10178787982275521</v>
      </c>
      <c r="R47">
        <v>0.10229618139723846</v>
      </c>
      <c r="S47">
        <v>0.10253669040029374</v>
      </c>
      <c r="T47">
        <v>0.10339294241269611</v>
      </c>
      <c r="U47">
        <v>0.10377251304128179</v>
      </c>
      <c r="V47">
        <v>0.10254335824058204</v>
      </c>
      <c r="W47">
        <v>0.10220437247835684</v>
      </c>
      <c r="Y47">
        <v>1.6100441657533069</v>
      </c>
      <c r="Z47">
        <v>1.612640577276206</v>
      </c>
      <c r="AA47">
        <v>1.6635009833365386</v>
      </c>
      <c r="AB47">
        <v>1.6838831268185075</v>
      </c>
      <c r="AC47">
        <v>1.7157942557106622</v>
      </c>
      <c r="AD47">
        <v>1.639545335295407</v>
      </c>
      <c r="AE47">
        <v>1.6369404960619955</v>
      </c>
      <c r="AG47">
        <v>0.63950378008097275</v>
      </c>
      <c r="AH47">
        <v>0.64137074564679031</v>
      </c>
      <c r="AI47">
        <v>0.66601452642008185</v>
      </c>
      <c r="AJ47">
        <v>0.66914949856434502</v>
      </c>
      <c r="AK47">
        <v>0.68528847486737965</v>
      </c>
      <c r="AL47">
        <v>0.65395288086633119</v>
      </c>
      <c r="AM47">
        <v>0.65338657968674885</v>
      </c>
      <c r="AO47">
        <v>51</v>
      </c>
      <c r="AP47">
        <v>11.335353471593894</v>
      </c>
      <c r="AQ47">
        <v>4.8344700367887565</v>
      </c>
      <c r="AR47">
        <v>5.9443652132314746</v>
      </c>
      <c r="AS47">
        <v>664.40726884193828</v>
      </c>
      <c r="AT47">
        <v>27.346321205455848</v>
      </c>
      <c r="AU47">
        <v>11.977146628590381</v>
      </c>
      <c r="AV47">
        <v>11.749152624325429</v>
      </c>
      <c r="AW47">
        <v>4.9034719827905153</v>
      </c>
      <c r="AX47">
        <v>6.2328482195980923</v>
      </c>
      <c r="AY47">
        <v>695.0637856511994</v>
      </c>
      <c r="AZ47">
        <v>27.382345125205585</v>
      </c>
      <c r="BA47">
        <v>11.84377427044353</v>
      </c>
      <c r="BB47">
        <v>13.006774922698416</v>
      </c>
      <c r="BC47">
        <v>5.1734155190431874</v>
      </c>
      <c r="BD47">
        <v>6.7670663635580288</v>
      </c>
      <c r="BE47">
        <v>756.09022272097093</v>
      </c>
      <c r="BF47">
        <v>28.227366071889548</v>
      </c>
      <c r="BG47">
        <v>11.880953651259743</v>
      </c>
      <c r="BH47">
        <v>13.692867435133076</v>
      </c>
      <c r="BI47">
        <v>5.3689908017774268</v>
      </c>
      <c r="BJ47">
        <v>7.2362303070093654</v>
      </c>
      <c r="BK47">
        <v>807.91625178101606</v>
      </c>
      <c r="BL47">
        <v>28.384976123899779</v>
      </c>
      <c r="BM47">
        <v>11.872363594938625</v>
      </c>
      <c r="BN47">
        <v>14.013393077796922</v>
      </c>
      <c r="BO47">
        <v>5.4519576581303006</v>
      </c>
      <c r="BP47">
        <v>7.6744790250474413</v>
      </c>
      <c r="BQ47">
        <v>888.92856552053263</v>
      </c>
      <c r="BR47">
        <v>27.244386670252883</v>
      </c>
      <c r="BS47">
        <v>11.379907919733801</v>
      </c>
      <c r="BU47">
        <v>51</v>
      </c>
      <c r="BV47">
        <v>10.955332805828117</v>
      </c>
      <c r="BW47">
        <v>4.1016286813145646</v>
      </c>
      <c r="BX47">
        <v>5.7714248797172507</v>
      </c>
      <c r="BY47">
        <v>672.70345152244784</v>
      </c>
      <c r="BZ47">
        <v>26.444154372875118</v>
      </c>
      <c r="CA47">
        <v>10.740039921299383</v>
      </c>
      <c r="CB47">
        <v>11.254845989941931</v>
      </c>
      <c r="CC47">
        <v>4.1269425570814109</v>
      </c>
      <c r="CD47">
        <v>6.0317983512814406</v>
      </c>
      <c r="CE47">
        <v>704.07832221804131</v>
      </c>
      <c r="CF47">
        <v>26.3296983351926</v>
      </c>
      <c r="CG47">
        <v>10.589232646186709</v>
      </c>
      <c r="CH47">
        <v>12.501439906811598</v>
      </c>
      <c r="CI47">
        <v>4.5540153845973688</v>
      </c>
      <c r="CJ47">
        <v>6.5358296776985112</v>
      </c>
      <c r="CK47">
        <v>764.57979083065936</v>
      </c>
      <c r="CL47">
        <v>27.253009737017198</v>
      </c>
      <c r="CM47">
        <v>10.938914235211714</v>
      </c>
      <c r="CN47">
        <v>13.172135243325423</v>
      </c>
      <c r="CO47">
        <v>4.6580393629242813</v>
      </c>
      <c r="CP47">
        <v>7.0142593598432592</v>
      </c>
      <c r="CQ47">
        <v>817.27032102962789</v>
      </c>
      <c r="CR47">
        <v>27.422935531136957</v>
      </c>
      <c r="CS47">
        <v>10.866568659146385</v>
      </c>
      <c r="CT47">
        <v>13.357605760255959</v>
      </c>
      <c r="CU47">
        <v>4.6528149515051638</v>
      </c>
      <c r="CV47">
        <v>7.320954119287963</v>
      </c>
      <c r="CW47">
        <v>898.37739666945959</v>
      </c>
      <c r="CX47">
        <v>26.227870749071201</v>
      </c>
      <c r="CY47">
        <v>10.370677791715975</v>
      </c>
      <c r="DA47">
        <v>51</v>
      </c>
      <c r="DB47">
        <v>10.498899220270024</v>
      </c>
      <c r="DC47">
        <v>3.6713910299780399</v>
      </c>
      <c r="DD47">
        <v>5.7577919430409406</v>
      </c>
      <c r="DE47">
        <v>668.8009452941094</v>
      </c>
      <c r="DF47">
        <v>25.915992576902376</v>
      </c>
      <c r="DG47">
        <v>10.159411886331096</v>
      </c>
      <c r="DH47">
        <v>10.77513166717573</v>
      </c>
      <c r="DI47">
        <v>3.870674801052318</v>
      </c>
      <c r="DJ47">
        <v>5.9608429279019903</v>
      </c>
      <c r="DK47">
        <v>694.94804726139569</v>
      </c>
      <c r="DL47">
        <v>25.985331675866853</v>
      </c>
      <c r="DM47">
        <v>10.359596558973568</v>
      </c>
      <c r="DN47">
        <v>11.970955294849386</v>
      </c>
      <c r="DO47">
        <v>3.9876815309226301</v>
      </c>
      <c r="DP47">
        <v>6.4445482915561385</v>
      </c>
      <c r="DQ47">
        <v>758.18214069008775</v>
      </c>
      <c r="DR47">
        <v>26.78329491352763</v>
      </c>
      <c r="DS47">
        <v>10.284255570964671</v>
      </c>
      <c r="DT47">
        <v>12.317134473756306</v>
      </c>
      <c r="DU47">
        <v>3.9453183502669438</v>
      </c>
      <c r="DV47">
        <v>6.7961497529614396</v>
      </c>
      <c r="DW47">
        <v>803.06158766208102</v>
      </c>
      <c r="DX47">
        <v>26.843458691998713</v>
      </c>
      <c r="DY47">
        <v>10.171328288373825</v>
      </c>
      <c r="DZ47">
        <v>12.454141754135836</v>
      </c>
      <c r="EA47">
        <v>4.0077239271159941</v>
      </c>
      <c r="EB47">
        <v>7.0704159254321279</v>
      </c>
      <c r="EC47">
        <v>882.3853362312625</v>
      </c>
      <c r="ED47">
        <v>25.679327734969142</v>
      </c>
      <c r="EE47">
        <v>9.827556211289604</v>
      </c>
      <c r="EG47">
        <v>51</v>
      </c>
      <c r="EH47">
        <v>10.071838316073457</v>
      </c>
      <c r="EI47">
        <v>3.3873254832415718</v>
      </c>
      <c r="EJ47">
        <v>5.301248801974535</v>
      </c>
      <c r="EK47">
        <v>666.44957195164557</v>
      </c>
      <c r="EL47">
        <v>25.366629586037835</v>
      </c>
      <c r="EM47">
        <v>9.7690192934002731</v>
      </c>
      <c r="EN47">
        <v>10.351151400737216</v>
      </c>
      <c r="EO47">
        <v>3.484087802967474</v>
      </c>
      <c r="EP47">
        <v>5.5166424154109306</v>
      </c>
      <c r="EQ47">
        <v>692.36586994040044</v>
      </c>
      <c r="ER47">
        <v>25.46987944489933</v>
      </c>
      <c r="ES47">
        <v>9.8398761359744125</v>
      </c>
      <c r="ET47">
        <v>10.421687626585605</v>
      </c>
      <c r="EU47">
        <v>3.6090499719507854</v>
      </c>
      <c r="EV47">
        <v>5.961084624593898</v>
      </c>
      <c r="EW47">
        <v>760.19456862862614</v>
      </c>
      <c r="EX47">
        <v>24.674404393399403</v>
      </c>
      <c r="EY47">
        <v>9.7589586289853294</v>
      </c>
      <c r="EZ47">
        <v>11.005022062984716</v>
      </c>
      <c r="FA47">
        <v>3.6116842275344943</v>
      </c>
      <c r="FB47">
        <v>6.2824001786924555</v>
      </c>
      <c r="FC47">
        <v>802.98377862958785</v>
      </c>
      <c r="FD47">
        <v>25.212013845805494</v>
      </c>
      <c r="FE47">
        <v>9.7568209092992344</v>
      </c>
      <c r="FF47">
        <v>11.1678132684661</v>
      </c>
      <c r="FG47">
        <v>3.6430586547988848</v>
      </c>
      <c r="FH47">
        <v>6.5387411218834766</v>
      </c>
      <c r="FI47">
        <v>876.40822789871891</v>
      </c>
      <c r="FJ47">
        <v>24.386733341364419</v>
      </c>
      <c r="FK47">
        <v>9.4784895384086845</v>
      </c>
    </row>
    <row r="48" spans="2:167" x14ac:dyDescent="0.25">
      <c r="B48">
        <v>735.50523017682769</v>
      </c>
      <c r="C48">
        <v>1.3596096383428617</v>
      </c>
      <c r="D48">
        <v>784.43116442902613</v>
      </c>
      <c r="E48">
        <v>1.2748091169068769</v>
      </c>
      <c r="F48">
        <v>898.80101359466119</v>
      </c>
      <c r="G48">
        <v>1.1125933158448542</v>
      </c>
      <c r="H48">
        <v>997.37139254473777</v>
      </c>
      <c r="I48">
        <v>1.0026355352428502</v>
      </c>
      <c r="J48">
        <v>1102.2303847369562</v>
      </c>
      <c r="K48">
        <v>0.90725134585964695</v>
      </c>
      <c r="L48">
        <v>843.1445552163118</v>
      </c>
      <c r="M48">
        <v>1.1860362423184319</v>
      </c>
      <c r="N48">
        <v>839.86647558639709</v>
      </c>
      <c r="O48">
        <v>1.1906654558414149</v>
      </c>
      <c r="Q48">
        <v>0.103696436445152</v>
      </c>
      <c r="R48">
        <v>0.10421330099873907</v>
      </c>
      <c r="S48">
        <v>0.10446033788588437</v>
      </c>
      <c r="T48">
        <v>0.10533319073318279</v>
      </c>
      <c r="U48">
        <v>0.10572123700106786</v>
      </c>
      <c r="V48">
        <v>0.10446715441005007</v>
      </c>
      <c r="W48">
        <v>0.10412086242798953</v>
      </c>
      <c r="Y48">
        <v>1.630878910474336</v>
      </c>
      <c r="Z48">
        <v>1.6338117363883022</v>
      </c>
      <c r="AA48">
        <v>1.6856383351913329</v>
      </c>
      <c r="AB48">
        <v>1.7072532761053392</v>
      </c>
      <c r="AC48">
        <v>1.7397410587989071</v>
      </c>
      <c r="AD48">
        <v>1.6610325659157643</v>
      </c>
      <c r="AE48">
        <v>1.6586847013792285</v>
      </c>
      <c r="AG48">
        <v>0.64679463865239573</v>
      </c>
      <c r="AH48">
        <v>0.64882278518050385</v>
      </c>
      <c r="AI48">
        <v>0.67392385407978073</v>
      </c>
      <c r="AJ48">
        <v>0.67746932742506283</v>
      </c>
      <c r="AK48">
        <v>0.69390429021950839</v>
      </c>
      <c r="AL48">
        <v>0.66154858517048609</v>
      </c>
      <c r="AM48">
        <v>0.66111910825334508</v>
      </c>
      <c r="AO48">
        <v>52</v>
      </c>
      <c r="AP48">
        <v>11.498017375608677</v>
      </c>
      <c r="AQ48">
        <v>4.9086884427566453</v>
      </c>
      <c r="AR48">
        <v>6.0148438108176681</v>
      </c>
      <c r="AS48">
        <v>673.32717080466489</v>
      </c>
      <c r="AT48">
        <v>27.283286703590257</v>
      </c>
      <c r="AU48">
        <v>11.955055249897274</v>
      </c>
      <c r="AV48">
        <v>11.922605586668293</v>
      </c>
      <c r="AW48">
        <v>4.9797678850027927</v>
      </c>
      <c r="AX48">
        <v>6.3093565315207156</v>
      </c>
      <c r="AY48">
        <v>704.68569422414168</v>
      </c>
      <c r="AZ48">
        <v>27.320450159400369</v>
      </c>
      <c r="BA48">
        <v>11.820420424268608</v>
      </c>
      <c r="BB48">
        <v>13.205314111955003</v>
      </c>
      <c r="BC48">
        <v>5.2556537333413651</v>
      </c>
      <c r="BD48">
        <v>6.8532615032291559</v>
      </c>
      <c r="BE48">
        <v>766.74808987080291</v>
      </c>
      <c r="BF48">
        <v>28.175760811642512</v>
      </c>
      <c r="BG48">
        <v>11.860457928796015</v>
      </c>
      <c r="BH48">
        <v>13.90962694018517</v>
      </c>
      <c r="BI48">
        <v>5.4573742982724855</v>
      </c>
      <c r="BJ48">
        <v>7.332645604183754</v>
      </c>
      <c r="BK48">
        <v>819.7248976843631</v>
      </c>
      <c r="BL48">
        <v>28.337635342958194</v>
      </c>
      <c r="BM48">
        <v>11.853548498506392</v>
      </c>
      <c r="BN48">
        <v>14.235510656717702</v>
      </c>
      <c r="BO48">
        <v>5.5415751231830797</v>
      </c>
      <c r="BP48">
        <v>7.7783448399506971</v>
      </c>
      <c r="BQ48">
        <v>903.37607779076473</v>
      </c>
      <c r="BR48">
        <v>27.158956247436112</v>
      </c>
      <c r="BS48">
        <v>11.344832161446707</v>
      </c>
      <c r="BU48">
        <v>52</v>
      </c>
      <c r="BV48">
        <v>11.114488783403164</v>
      </c>
      <c r="BW48">
        <v>4.1616159294345847</v>
      </c>
      <c r="BX48">
        <v>5.8403326319992246</v>
      </c>
      <c r="BY48">
        <v>681.73929015616659</v>
      </c>
      <c r="BZ48">
        <v>26.384059000112984</v>
      </c>
      <c r="CA48">
        <v>10.711706249513529</v>
      </c>
      <c r="CB48">
        <v>11.422484946658404</v>
      </c>
      <c r="CC48">
        <v>4.188569953485346</v>
      </c>
      <c r="CD48">
        <v>6.1062055054604709</v>
      </c>
      <c r="CE48">
        <v>713.87175403680169</v>
      </c>
      <c r="CF48">
        <v>26.268317300752184</v>
      </c>
      <c r="CG48">
        <v>10.559996523956706</v>
      </c>
      <c r="CH48">
        <v>12.693938318449941</v>
      </c>
      <c r="CI48">
        <v>4.6248311070291406</v>
      </c>
      <c r="CJ48">
        <v>6.6193843841615463</v>
      </c>
      <c r="CK48">
        <v>775.324749232263</v>
      </c>
      <c r="CL48">
        <v>27.204516572396752</v>
      </c>
      <c r="CM48">
        <v>10.915633538030971</v>
      </c>
      <c r="CN48">
        <v>13.382369504753619</v>
      </c>
      <c r="CO48">
        <v>4.7328890663082595</v>
      </c>
      <c r="CP48">
        <v>7.1081516440123638</v>
      </c>
      <c r="CQ48">
        <v>829.16488838289104</v>
      </c>
      <c r="CR48">
        <v>27.379123398443308</v>
      </c>
      <c r="CS48">
        <v>10.844843678448392</v>
      </c>
      <c r="CT48">
        <v>13.570571598025108</v>
      </c>
      <c r="CU48">
        <v>4.72717296454692</v>
      </c>
      <c r="CV48">
        <v>7.4198992317649228</v>
      </c>
      <c r="CW48">
        <v>913.01012719535754</v>
      </c>
      <c r="CX48">
        <v>26.144082745644926</v>
      </c>
      <c r="CY48">
        <v>10.333125056944123</v>
      </c>
      <c r="DA48">
        <v>52</v>
      </c>
      <c r="DB48">
        <v>10.637620881873998</v>
      </c>
      <c r="DC48">
        <v>3.7258212394544854</v>
      </c>
      <c r="DD48">
        <v>5.8237972497271588</v>
      </c>
      <c r="DE48">
        <v>677.62233526638011</v>
      </c>
      <c r="DF48">
        <v>25.840620713546649</v>
      </c>
      <c r="DG48">
        <v>10.133662908595273</v>
      </c>
      <c r="DH48">
        <v>10.921306847237513</v>
      </c>
      <c r="DI48">
        <v>3.9304540006284001</v>
      </c>
      <c r="DJ48">
        <v>6.0318754715761482</v>
      </c>
      <c r="DK48">
        <v>704.34040259518258</v>
      </c>
      <c r="DL48">
        <v>25.912231614735379</v>
      </c>
      <c r="DM48">
        <v>10.33643286896169</v>
      </c>
      <c r="DN48">
        <v>12.141624572105641</v>
      </c>
      <c r="DO48">
        <v>4.0507134014207233</v>
      </c>
      <c r="DP48">
        <v>6.5244622294732268</v>
      </c>
      <c r="DQ48">
        <v>768.64443040605227</v>
      </c>
      <c r="DR48">
        <v>26.722396508205318</v>
      </c>
      <c r="DS48">
        <v>10.263579384565597</v>
      </c>
      <c r="DT48">
        <v>12.50108591494574</v>
      </c>
      <c r="DU48">
        <v>4.011041098456225</v>
      </c>
      <c r="DV48">
        <v>6.8857439806401137</v>
      </c>
      <c r="DW48">
        <v>814.66369661145768</v>
      </c>
      <c r="DX48">
        <v>26.784701831743408</v>
      </c>
      <c r="DY48">
        <v>10.151815607738978</v>
      </c>
      <c r="DZ48">
        <v>12.640329386821856</v>
      </c>
      <c r="EA48">
        <v>4.0747711153223252</v>
      </c>
      <c r="EB48">
        <v>7.1648707851087092</v>
      </c>
      <c r="EC48">
        <v>896.68600304463143</v>
      </c>
      <c r="ED48">
        <v>25.582612000091839</v>
      </c>
      <c r="EE48">
        <v>9.7936690698007833</v>
      </c>
      <c r="EG48">
        <v>52</v>
      </c>
      <c r="EH48">
        <v>10.200609076562392</v>
      </c>
      <c r="EI48">
        <v>3.437894739025166</v>
      </c>
      <c r="EJ48">
        <v>5.3606020804477277</v>
      </c>
      <c r="EK48">
        <v>675.11069205736658</v>
      </c>
      <c r="EL48">
        <v>25.289437936918205</v>
      </c>
      <c r="EM48">
        <v>9.7448757691076207</v>
      </c>
      <c r="EN48">
        <v>10.488860425225221</v>
      </c>
      <c r="EO48">
        <v>3.5377858640916693</v>
      </c>
      <c r="EP48">
        <v>5.5810540022201529</v>
      </c>
      <c r="EQ48">
        <v>701.65223653232397</v>
      </c>
      <c r="ER48">
        <v>25.395180543729612</v>
      </c>
      <c r="ES48">
        <v>9.8164001953815756</v>
      </c>
      <c r="ET48">
        <v>10.567956576713117</v>
      </c>
      <c r="EU48">
        <v>3.666096248217436</v>
      </c>
      <c r="EV48">
        <v>6.0337439704477278</v>
      </c>
      <c r="EW48">
        <v>771.16606620759467</v>
      </c>
      <c r="EX48">
        <v>24.594382557590347</v>
      </c>
      <c r="EY48">
        <v>9.7312710006527645</v>
      </c>
      <c r="EZ48">
        <v>11.166250862117909</v>
      </c>
      <c r="FA48">
        <v>3.6720551539934552</v>
      </c>
      <c r="FB48">
        <v>6.3638669930195633</v>
      </c>
      <c r="FC48">
        <v>814.95904368814729</v>
      </c>
      <c r="FD48">
        <v>25.13707813014344</v>
      </c>
      <c r="FE48">
        <v>9.7321819388150317</v>
      </c>
      <c r="FF48">
        <v>11.331952188708822</v>
      </c>
      <c r="FG48">
        <v>3.7040833544054368</v>
      </c>
      <c r="FH48">
        <v>6.624757347637245</v>
      </c>
      <c r="FI48">
        <v>891.63512953811289</v>
      </c>
      <c r="FJ48">
        <v>24.260139811781965</v>
      </c>
      <c r="FK48">
        <v>9.4334082785430162</v>
      </c>
    </row>
    <row r="49" spans="2:167" x14ac:dyDescent="0.25">
      <c r="B49">
        <v>739.45073818105277</v>
      </c>
      <c r="C49">
        <v>1.3523551311340396</v>
      </c>
      <c r="D49">
        <v>789.16242828138422</v>
      </c>
      <c r="E49">
        <v>1.267166256480015</v>
      </c>
      <c r="F49">
        <v>905.19209815138095</v>
      </c>
      <c r="G49">
        <v>1.1047378805473882</v>
      </c>
      <c r="H49">
        <v>1005.5138450700896</v>
      </c>
      <c r="I49">
        <v>0.99451639070200448</v>
      </c>
      <c r="J49">
        <v>1111.8847970719626</v>
      </c>
      <c r="K49">
        <v>0.89937375044015355</v>
      </c>
      <c r="L49">
        <v>849.06147460182592</v>
      </c>
      <c r="M49">
        <v>1.1777710211960304</v>
      </c>
      <c r="N49">
        <v>845.05294388137804</v>
      </c>
      <c r="O49">
        <v>1.1833578088101095</v>
      </c>
      <c r="Q49">
        <v>0.10560320205515676</v>
      </c>
      <c r="R49">
        <v>0.10612840412779534</v>
      </c>
      <c r="S49">
        <v>0.1063813820697342</v>
      </c>
      <c r="T49">
        <v>0.1072704047835279</v>
      </c>
      <c r="U49">
        <v>0.10766661865256601</v>
      </c>
      <c r="V49">
        <v>0.1063884423106779</v>
      </c>
      <c r="W49">
        <v>0.10603525366230351</v>
      </c>
      <c r="Y49">
        <v>1.6513027464029268</v>
      </c>
      <c r="Z49">
        <v>1.6545991739654449</v>
      </c>
      <c r="AA49">
        <v>1.7073386901504952</v>
      </c>
      <c r="AB49">
        <v>1.7302261162341535</v>
      </c>
      <c r="AC49">
        <v>1.763289836693229</v>
      </c>
      <c r="AD49">
        <v>1.6821164847599237</v>
      </c>
      <c r="AE49">
        <v>1.6800144749580475</v>
      </c>
      <c r="AG49">
        <v>0.65396609629881597</v>
      </c>
      <c r="AH49">
        <v>0.6561656809910662</v>
      </c>
      <c r="AI49">
        <v>0.68170076018562731</v>
      </c>
      <c r="AJ49">
        <v>0.68567505783446592</v>
      </c>
      <c r="AK49">
        <v>0.70240414721532762</v>
      </c>
      <c r="AL49">
        <v>0.66902713948522663</v>
      </c>
      <c r="AM49">
        <v>0.6687285445318204</v>
      </c>
      <c r="AO49">
        <v>53</v>
      </c>
      <c r="AP49">
        <v>11.658277440496434</v>
      </c>
      <c r="AQ49">
        <v>4.9818564417471469</v>
      </c>
      <c r="AR49">
        <v>6.0839171617221837</v>
      </c>
      <c r="AS49">
        <v>682.09927335620387</v>
      </c>
      <c r="AT49">
        <v>27.221411696716203</v>
      </c>
      <c r="AU49">
        <v>11.933278830658793</v>
      </c>
      <c r="AV49">
        <v>12.093543245793883</v>
      </c>
      <c r="AW49">
        <v>5.0550323266365513</v>
      </c>
      <c r="AX49">
        <v>6.3843063703572422</v>
      </c>
      <c r="AY49">
        <v>714.1488444107714</v>
      </c>
      <c r="AZ49">
        <v>27.259691208654591</v>
      </c>
      <c r="BA49">
        <v>11.79747127304198</v>
      </c>
      <c r="BB49">
        <v>13.400603532843284</v>
      </c>
      <c r="BC49">
        <v>5.3367315040665417</v>
      </c>
      <c r="BD49">
        <v>6.9375094041650831</v>
      </c>
      <c r="BE49">
        <v>777.20968674912081</v>
      </c>
      <c r="BF49">
        <v>28.124608931985261</v>
      </c>
      <c r="BG49">
        <v>11.840246610555287</v>
      </c>
      <c r="BH49">
        <v>14.122837444870809</v>
      </c>
      <c r="BI49">
        <v>5.544551154987774</v>
      </c>
      <c r="BJ49">
        <v>7.4268149726152144</v>
      </c>
      <c r="BK49">
        <v>831.31124989033879</v>
      </c>
      <c r="BL49">
        <v>28.290677909517186</v>
      </c>
      <c r="BM49">
        <v>11.835035351268777</v>
      </c>
      <c r="BN49">
        <v>14.453993290163595</v>
      </c>
      <c r="BO49">
        <v>5.629977444139187</v>
      </c>
      <c r="BP49">
        <v>7.8797339170629073</v>
      </c>
      <c r="BQ49">
        <v>917.59240239699602</v>
      </c>
      <c r="BR49">
        <v>27.074597358376451</v>
      </c>
      <c r="BS49">
        <v>11.310339365195444</v>
      </c>
      <c r="BU49">
        <v>53</v>
      </c>
      <c r="BV49">
        <v>11.271187722773517</v>
      </c>
      <c r="BW49">
        <v>4.2208605453700452</v>
      </c>
      <c r="BX49">
        <v>5.9078454556894551</v>
      </c>
      <c r="BY49">
        <v>690.6190156385652</v>
      </c>
      <c r="BZ49">
        <v>26.325101117476446</v>
      </c>
      <c r="CA49">
        <v>10.684161246196931</v>
      </c>
      <c r="CB49">
        <v>11.587612064588606</v>
      </c>
      <c r="CC49">
        <v>4.2494914228908049</v>
      </c>
      <c r="CD49">
        <v>6.1790810974082344</v>
      </c>
      <c r="CE49">
        <v>723.49957798330092</v>
      </c>
      <c r="CF49">
        <v>26.208095168906254</v>
      </c>
      <c r="CG49">
        <v>10.531601959057843</v>
      </c>
      <c r="CH49">
        <v>12.883198273686634</v>
      </c>
      <c r="CI49">
        <v>4.6947360920447281</v>
      </c>
      <c r="CJ49">
        <v>6.7010392680354087</v>
      </c>
      <c r="CK49">
        <v>785.86533762321449</v>
      </c>
      <c r="CL49">
        <v>27.156450624681067</v>
      </c>
      <c r="CM49">
        <v>10.892908157891664</v>
      </c>
      <c r="CN49">
        <v>13.589071361920624</v>
      </c>
      <c r="CO49">
        <v>4.806821064705602</v>
      </c>
      <c r="CP49">
        <v>7.199839624704798</v>
      </c>
      <c r="CQ49">
        <v>840.82803094739984</v>
      </c>
      <c r="CR49">
        <v>27.335664231314624</v>
      </c>
      <c r="CS49">
        <v>10.823697123683008</v>
      </c>
      <c r="CT49">
        <v>13.779986977053877</v>
      </c>
      <c r="CU49">
        <v>4.8006435679036716</v>
      </c>
      <c r="CV49">
        <v>7.5164902262741773</v>
      </c>
      <c r="CW49">
        <v>927.40507373781929</v>
      </c>
      <c r="CX49">
        <v>26.061361108885933</v>
      </c>
      <c r="CY49">
        <v>10.296415087868073</v>
      </c>
      <c r="DA49">
        <v>53</v>
      </c>
      <c r="DB49">
        <v>10.772969658433059</v>
      </c>
      <c r="DC49">
        <v>3.779615088095353</v>
      </c>
      <c r="DD49">
        <v>5.8881390114270582</v>
      </c>
      <c r="DE49">
        <v>686.29356694455248</v>
      </c>
      <c r="DF49">
        <v>25.765063535012597</v>
      </c>
      <c r="DG49">
        <v>10.108559659656597</v>
      </c>
      <c r="DH49">
        <v>11.064152202212721</v>
      </c>
      <c r="DI49">
        <v>3.9896061806029115</v>
      </c>
      <c r="DJ49">
        <v>6.1012306130220297</v>
      </c>
      <c r="DK49">
        <v>713.57867985614178</v>
      </c>
      <c r="DL49">
        <v>25.838896890516843</v>
      </c>
      <c r="DM49">
        <v>10.313823182136398</v>
      </c>
      <c r="DN49">
        <v>12.308210151744889</v>
      </c>
      <c r="DO49">
        <v>4.1130461540508483</v>
      </c>
      <c r="DP49">
        <v>6.602326165272248</v>
      </c>
      <c r="DQ49">
        <v>778.90994202578679</v>
      </c>
      <c r="DR49">
        <v>26.660752413638981</v>
      </c>
      <c r="DS49">
        <v>10.243378057873317</v>
      </c>
      <c r="DT49">
        <v>12.681185332320213</v>
      </c>
      <c r="DU49">
        <v>4.0762820236722508</v>
      </c>
      <c r="DV49">
        <v>6.9732833779287988</v>
      </c>
      <c r="DW49">
        <v>826.06456355680132</v>
      </c>
      <c r="DX49">
        <v>26.72515887329563</v>
      </c>
      <c r="DY49">
        <v>10.132778076091038</v>
      </c>
      <c r="DZ49">
        <v>12.822701815813819</v>
      </c>
      <c r="EA49">
        <v>4.1413547875667547</v>
      </c>
      <c r="EB49">
        <v>7.2571803933022192</v>
      </c>
      <c r="EC49">
        <v>910.78282301534091</v>
      </c>
      <c r="ED49">
        <v>25.485936683352733</v>
      </c>
      <c r="EE49">
        <v>9.760459451827888</v>
      </c>
      <c r="EG49">
        <v>53</v>
      </c>
      <c r="EH49">
        <v>10.325956912721377</v>
      </c>
      <c r="EI49">
        <v>3.4878608579745407</v>
      </c>
      <c r="EJ49">
        <v>5.4184906362778378</v>
      </c>
      <c r="EK49">
        <v>683.62360272493675</v>
      </c>
      <c r="EL49">
        <v>25.211804480688734</v>
      </c>
      <c r="EM49">
        <v>9.7212635855270317</v>
      </c>
      <c r="EN49">
        <v>10.62315634366858</v>
      </c>
      <c r="EO49">
        <v>3.5909239607662413</v>
      </c>
      <c r="EP49">
        <v>5.6439708992637554</v>
      </c>
      <c r="EQ49">
        <v>710.7869838692659</v>
      </c>
      <c r="ER49">
        <v>25.319948848191082</v>
      </c>
      <c r="ES49">
        <v>9.7934293518551936</v>
      </c>
      <c r="ET49">
        <v>10.711494175938853</v>
      </c>
      <c r="EU49">
        <v>3.7225098202610059</v>
      </c>
      <c r="EV49">
        <v>6.1045667494581259</v>
      </c>
      <c r="EW49">
        <v>781.95157738262628</v>
      </c>
      <c r="EX49">
        <v>24.515084687507755</v>
      </c>
      <c r="EY49">
        <v>9.704095362037279</v>
      </c>
      <c r="EZ49">
        <v>11.324294384034928</v>
      </c>
      <c r="FA49">
        <v>3.7319754310210755</v>
      </c>
      <c r="FB49">
        <v>6.4434935046503501</v>
      </c>
      <c r="FC49">
        <v>826.74015228874941</v>
      </c>
      <c r="FD49">
        <v>25.062065384158565</v>
      </c>
      <c r="FE49">
        <v>9.7080349662147558</v>
      </c>
      <c r="FF49">
        <v>11.492794766616266</v>
      </c>
      <c r="FG49">
        <v>3.7646830748091564</v>
      </c>
      <c r="FH49">
        <v>6.7088481079599838</v>
      </c>
      <c r="FI49">
        <v>906.69013126969151</v>
      </c>
      <c r="FJ49">
        <v>24.134205894370645</v>
      </c>
      <c r="FK49">
        <v>9.3890810179920408</v>
      </c>
    </row>
    <row r="50" spans="2:167" x14ac:dyDescent="0.25">
      <c r="B50">
        <v>743.18715760196358</v>
      </c>
      <c r="C50">
        <v>1.3455560820328119</v>
      </c>
      <c r="D50">
        <v>793.65896880489026</v>
      </c>
      <c r="E50">
        <v>1.2599870212590463</v>
      </c>
      <c r="F50">
        <v>911.25997619425732</v>
      </c>
      <c r="G50">
        <v>1.0973816760573116</v>
      </c>
      <c r="H50">
        <v>1013.2771451828171</v>
      </c>
      <c r="I50">
        <v>0.98689682754028607</v>
      </c>
      <c r="J50">
        <v>1121.0988273791627</v>
      </c>
      <c r="K50">
        <v>0.89198202297449525</v>
      </c>
      <c r="L50">
        <v>854.68363345223861</v>
      </c>
      <c r="M50">
        <v>1.1700235746422327</v>
      </c>
      <c r="N50">
        <v>849.97756318163601</v>
      </c>
      <c r="O50">
        <v>1.1765016434749171</v>
      </c>
      <c r="Q50">
        <v>0.10750817592538987</v>
      </c>
      <c r="R50">
        <v>0.10804148966008967</v>
      </c>
      <c r="S50">
        <v>0.10829982101764807</v>
      </c>
      <c r="T50">
        <v>0.10920458142036343</v>
      </c>
      <c r="U50">
        <v>0.10960865350047311</v>
      </c>
      <c r="V50">
        <v>0.10830721993932509</v>
      </c>
      <c r="W50">
        <v>0.10794754498072479</v>
      </c>
      <c r="Y50">
        <v>1.6713156725799441</v>
      </c>
      <c r="Z50">
        <v>1.6750028881029793</v>
      </c>
      <c r="AA50">
        <v>1.7286020450048307</v>
      </c>
      <c r="AB50">
        <v>1.7528016411597931</v>
      </c>
      <c r="AC50">
        <v>1.7864405793688753</v>
      </c>
      <c r="AD50">
        <v>1.7027970874902438</v>
      </c>
      <c r="AE50">
        <v>1.70092981455832</v>
      </c>
      <c r="AG50">
        <v>0.66101815281825971</v>
      </c>
      <c r="AH50">
        <v>0.6633994327362206</v>
      </c>
      <c r="AI50">
        <v>0.68934524391695728</v>
      </c>
      <c r="AJ50">
        <v>0.69376668865170521</v>
      </c>
      <c r="AK50">
        <v>0.71078804362122605</v>
      </c>
      <c r="AL50">
        <v>0.67638854275363813</v>
      </c>
      <c r="AM50">
        <v>0.67621488797986684</v>
      </c>
      <c r="AO50">
        <v>54</v>
      </c>
      <c r="AP50">
        <v>11.816133653201614</v>
      </c>
      <c r="AQ50">
        <v>5.0539733577693768</v>
      </c>
      <c r="AR50">
        <v>6.1515852574577856</v>
      </c>
      <c r="AS50">
        <v>690.72143996942532</v>
      </c>
      <c r="AT50">
        <v>27.160695134444925</v>
      </c>
      <c r="AU50">
        <v>11.911826733904135</v>
      </c>
      <c r="AV50">
        <v>12.261965577711427</v>
      </c>
      <c r="AW50">
        <v>5.1292650785246936</v>
      </c>
      <c r="AX50">
        <v>6.4576977210130577</v>
      </c>
      <c r="AY50">
        <v>723.45095256687671</v>
      </c>
      <c r="AZ50">
        <v>27.200067831005132</v>
      </c>
      <c r="BA50">
        <v>11.774931907382497</v>
      </c>
      <c r="BB50">
        <v>13.592643126356514</v>
      </c>
      <c r="BC50">
        <v>5.4166488115013234</v>
      </c>
      <c r="BD50">
        <v>7.0198100379797497</v>
      </c>
      <c r="BE50">
        <v>787.47336725216178</v>
      </c>
      <c r="BF50">
        <v>28.07390987844861</v>
      </c>
      <c r="BG50">
        <v>11.82031663155697</v>
      </c>
      <c r="BH50">
        <v>14.332498843302746</v>
      </c>
      <c r="BI50">
        <v>5.6305213366963391</v>
      </c>
      <c r="BJ50">
        <v>7.5187383636321821</v>
      </c>
      <c r="BK50">
        <v>842.67359170695693</v>
      </c>
      <c r="BL50">
        <v>28.244103911788098</v>
      </c>
      <c r="BM50">
        <v>11.816819090092473</v>
      </c>
      <c r="BN50">
        <v>14.668840803816499</v>
      </c>
      <c r="BO50">
        <v>5.7171645624516945</v>
      </c>
      <c r="BP50">
        <v>7.9786461749185253</v>
      </c>
      <c r="BQ50">
        <v>931.57377046056354</v>
      </c>
      <c r="BR50">
        <v>26.991301219672795</v>
      </c>
      <c r="BS50">
        <v>11.27642000867081</v>
      </c>
      <c r="BU50">
        <v>54</v>
      </c>
      <c r="BV50">
        <v>11.425429609959313</v>
      </c>
      <c r="BW50">
        <v>4.2793625260619894</v>
      </c>
      <c r="BX50">
        <v>5.9739633424805527</v>
      </c>
      <c r="BY50">
        <v>699.34040710674958</v>
      </c>
      <c r="BZ50">
        <v>26.267280174171376</v>
      </c>
      <c r="CA50">
        <v>10.657389744481764</v>
      </c>
      <c r="CB50">
        <v>11.750227319252213</v>
      </c>
      <c r="CC50">
        <v>4.3097069598356947</v>
      </c>
      <c r="CD50">
        <v>6.2504251124627315</v>
      </c>
      <c r="CE50">
        <v>732.95934898883195</v>
      </c>
      <c r="CF50">
        <v>26.149030979966586</v>
      </c>
      <c r="CG50">
        <v>10.504030812538675</v>
      </c>
      <c r="CH50">
        <v>13.069219713237521</v>
      </c>
      <c r="CI50">
        <v>4.7637303250285452</v>
      </c>
      <c r="CJ50">
        <v>6.7807943020100572</v>
      </c>
      <c r="CK50">
        <v>796.19989271205122</v>
      </c>
      <c r="CL50">
        <v>27.108811654415291</v>
      </c>
      <c r="CM50">
        <v>10.8707199443147</v>
      </c>
      <c r="CN50">
        <v>13.792240709045689</v>
      </c>
      <c r="CO50">
        <v>4.8798353322449026</v>
      </c>
      <c r="CP50">
        <v>7.2893232550252671</v>
      </c>
      <c r="CQ50">
        <v>852.25803916807604</v>
      </c>
      <c r="CR50">
        <v>27.292558456050781</v>
      </c>
      <c r="CS50">
        <v>10.803107694631413</v>
      </c>
      <c r="CT50">
        <v>13.985851727227198</v>
      </c>
      <c r="CU50">
        <v>4.8732267190378726</v>
      </c>
      <c r="CV50">
        <v>7.6107270249521024</v>
      </c>
      <c r="CW50">
        <v>941.55831055637282</v>
      </c>
      <c r="CX50">
        <v>25.979696526499456</v>
      </c>
      <c r="CY50">
        <v>10.26052147067972</v>
      </c>
      <c r="DA50">
        <v>54</v>
      </c>
      <c r="DB50">
        <v>10.904945931514829</v>
      </c>
      <c r="DC50">
        <v>3.8327725724381976</v>
      </c>
      <c r="DD50">
        <v>5.9508176457940252</v>
      </c>
      <c r="DE50">
        <v>694.81349250691494</v>
      </c>
      <c r="DF50">
        <v>25.689320838814798</v>
      </c>
      <c r="DG50">
        <v>10.084077820218283</v>
      </c>
      <c r="DH50">
        <v>11.203667726567266</v>
      </c>
      <c r="DI50">
        <v>4.0481313252934257</v>
      </c>
      <c r="DJ50">
        <v>6.1689083507778379</v>
      </c>
      <c r="DK50">
        <v>722.66175562973865</v>
      </c>
      <c r="DL50">
        <v>25.765327950494264</v>
      </c>
      <c r="DM50">
        <v>10.291746994544631</v>
      </c>
      <c r="DN50">
        <v>12.470712027661243</v>
      </c>
      <c r="DO50">
        <v>4.1746797776996791</v>
      </c>
      <c r="DP50">
        <v>6.6781404728006315</v>
      </c>
      <c r="DQ50">
        <v>788.97808318659918</v>
      </c>
      <c r="DR50">
        <v>26.598362733299339</v>
      </c>
      <c r="DS50">
        <v>10.223624303299607</v>
      </c>
      <c r="DT50">
        <v>12.857432682746579</v>
      </c>
      <c r="DU50">
        <v>4.1410411128430828</v>
      </c>
      <c r="DV50">
        <v>7.0587679299931025</v>
      </c>
      <c r="DW50">
        <v>837.26371577336863</v>
      </c>
      <c r="DX50">
        <v>26.664829619080148</v>
      </c>
      <c r="DY50">
        <v>10.114186249578854</v>
      </c>
      <c r="DZ50">
        <v>13.001258965144736</v>
      </c>
      <c r="EA50">
        <v>4.207474921263727</v>
      </c>
      <c r="EB50">
        <v>7.3473447193281984</v>
      </c>
      <c r="EC50">
        <v>924.67325045855841</v>
      </c>
      <c r="ED50">
        <v>25.389299838113793</v>
      </c>
      <c r="EE50">
        <v>9.7278984323658442</v>
      </c>
      <c r="EG50">
        <v>54</v>
      </c>
      <c r="EH50">
        <v>10.447883145949081</v>
      </c>
      <c r="EI50">
        <v>3.5372238367743423</v>
      </c>
      <c r="EJ50">
        <v>5.4749147705889749</v>
      </c>
      <c r="EK50">
        <v>691.98738756460227</v>
      </c>
      <c r="EL50">
        <v>25.133729688040209</v>
      </c>
      <c r="EM50">
        <v>9.6981602756264174</v>
      </c>
      <c r="EN50">
        <v>10.754039310707341</v>
      </c>
      <c r="EO50">
        <v>3.643502087942696</v>
      </c>
      <c r="EP50">
        <v>5.7053931048617983</v>
      </c>
      <c r="EQ50">
        <v>719.76928385034739</v>
      </c>
      <c r="ER50">
        <v>25.244184661536757</v>
      </c>
      <c r="ES50">
        <v>9.7709403166004325</v>
      </c>
      <c r="ET50">
        <v>10.852300384747933</v>
      </c>
      <c r="EU50">
        <v>3.7782906780240038</v>
      </c>
      <c r="EV50">
        <v>6.1735532152728299</v>
      </c>
      <c r="EW50">
        <v>792.54823558119256</v>
      </c>
      <c r="EX50">
        <v>24.436510905995206</v>
      </c>
      <c r="EY50">
        <v>9.6774253755509694</v>
      </c>
      <c r="EZ50">
        <v>11.479152583605044</v>
      </c>
      <c r="FA50">
        <v>3.7914450463672882</v>
      </c>
      <c r="FB50">
        <v>6.5212796994887325</v>
      </c>
      <c r="FC50">
        <v>838.32531298790991</v>
      </c>
      <c r="FD50">
        <v>24.986975704615737</v>
      </c>
      <c r="FE50">
        <v>9.6843611532312082</v>
      </c>
      <c r="FF50">
        <v>11.650340935341422</v>
      </c>
      <c r="FG50">
        <v>3.8248577953287879</v>
      </c>
      <c r="FH50">
        <v>6.7910133741127492</v>
      </c>
      <c r="FI50">
        <v>921.56933087392088</v>
      </c>
      <c r="FJ50">
        <v>24.008924382705331</v>
      </c>
      <c r="FK50">
        <v>9.3454828075542498</v>
      </c>
    </row>
    <row r="51" spans="2:167" x14ac:dyDescent="0.25">
      <c r="B51">
        <v>746.7144080397585</v>
      </c>
      <c r="C51">
        <v>1.3392000867174314</v>
      </c>
      <c r="D51">
        <v>797.92066165403537</v>
      </c>
      <c r="E51">
        <v>1.2532574327967243</v>
      </c>
      <c r="F51">
        <v>917.00441981897973</v>
      </c>
      <c r="G51">
        <v>1.0905072847930264</v>
      </c>
      <c r="H51">
        <v>1020.6609185868207</v>
      </c>
      <c r="I51">
        <v>0.97975731390261589</v>
      </c>
      <c r="J51">
        <v>1129.8719107653487</v>
      </c>
      <c r="K51">
        <v>0.88505607624374294</v>
      </c>
      <c r="L51">
        <v>860.01080818591731</v>
      </c>
      <c r="M51">
        <v>1.1627760843022101</v>
      </c>
      <c r="N51">
        <v>854.64019130021222</v>
      </c>
      <c r="O51">
        <v>1.1700830480235709</v>
      </c>
      <c r="Q51">
        <v>0.10941135736688246</v>
      </c>
      <c r="R51">
        <v>0.10995255652679306</v>
      </c>
      <c r="S51">
        <v>0.11021565289258224</v>
      </c>
      <c r="T51">
        <v>0.11113571764518015</v>
      </c>
      <c r="U51">
        <v>0.11154733725172883</v>
      </c>
      <c r="V51">
        <v>0.11022348539190123</v>
      </c>
      <c r="W51">
        <v>0.10985773524297532</v>
      </c>
      <c r="Y51">
        <v>1.6909176880969041</v>
      </c>
      <c r="Z51">
        <v>1.6950228769902542</v>
      </c>
      <c r="AA51">
        <v>1.7494283967063378</v>
      </c>
      <c r="AB51">
        <v>1.7749798451156844</v>
      </c>
      <c r="AC51">
        <v>1.8091932772521047</v>
      </c>
      <c r="AD51">
        <v>1.7230743699835691</v>
      </c>
      <c r="AE51">
        <v>1.7214307180524178</v>
      </c>
      <c r="AG51">
        <v>0.66795080801941908</v>
      </c>
      <c r="AH51">
        <v>0.67052404009060174</v>
      </c>
      <c r="AI51">
        <v>0.69685730449432726</v>
      </c>
      <c r="AJ51">
        <v>0.70174421878850712</v>
      </c>
      <c r="AK51">
        <v>0.71905597730408188</v>
      </c>
      <c r="AL51">
        <v>0.68363279397106735</v>
      </c>
      <c r="AM51">
        <v>0.68357813808241219</v>
      </c>
      <c r="AO51">
        <v>55</v>
      </c>
      <c r="AP51">
        <v>11.971586001358096</v>
      </c>
      <c r="AQ51">
        <v>5.1250385147267519</v>
      </c>
      <c r="AR51">
        <v>6.2178480899854298</v>
      </c>
      <c r="AS51">
        <v>699.19155466013046</v>
      </c>
      <c r="AT51">
        <v>27.101136024579773</v>
      </c>
      <c r="AU51">
        <v>11.890707687826449</v>
      </c>
      <c r="AV51">
        <v>12.427872559614165</v>
      </c>
      <c r="AW51">
        <v>5.2024659117851675</v>
      </c>
      <c r="AX51">
        <v>6.5295305691385135</v>
      </c>
      <c r="AY51">
        <v>732.5897574293673</v>
      </c>
      <c r="AZ51">
        <v>27.141579609139644</v>
      </c>
      <c r="BA51">
        <v>11.75280709300506</v>
      </c>
      <c r="BB51">
        <v>13.781432836451772</v>
      </c>
      <c r="BC51">
        <v>5.4954056369186892</v>
      </c>
      <c r="BD51">
        <v>7.1001633777128808</v>
      </c>
      <c r="BE51">
        <v>797.53749592797396</v>
      </c>
      <c r="BF51">
        <v>28.023663149824813</v>
      </c>
      <c r="BG51">
        <v>11.800665247475205</v>
      </c>
      <c r="BH51">
        <v>14.538611034473412</v>
      </c>
      <c r="BI51">
        <v>5.7152848097946221</v>
      </c>
      <c r="BJ51">
        <v>7.6084157308060609</v>
      </c>
      <c r="BK51">
        <v>853.81021991242699</v>
      </c>
      <c r="BL51">
        <v>28.197913419469305</v>
      </c>
      <c r="BM51">
        <v>11.798895149852978</v>
      </c>
      <c r="BN51">
        <v>14.880053031200852</v>
      </c>
      <c r="BO51">
        <v>5.8031364222076895</v>
      </c>
      <c r="BP51">
        <v>8.0750815357171284</v>
      </c>
      <c r="BQ51">
        <v>945.3164276941917</v>
      </c>
      <c r="BR51">
        <v>26.909059675858387</v>
      </c>
      <c r="BS51">
        <v>11.243065396689936</v>
      </c>
      <c r="BU51">
        <v>55</v>
      </c>
      <c r="BV51">
        <v>11.577214431718936</v>
      </c>
      <c r="BW51">
        <v>4.337121868613</v>
      </c>
      <c r="BX51">
        <v>6.0386862845038252</v>
      </c>
      <c r="BY51">
        <v>707.90126663345677</v>
      </c>
      <c r="BZ51">
        <v>26.210595650833547</v>
      </c>
      <c r="CA51">
        <v>10.631377711665612</v>
      </c>
      <c r="CB51">
        <v>11.91033068737708</v>
      </c>
      <c r="CC51">
        <v>4.3692165591274916</v>
      </c>
      <c r="CD51">
        <v>6.3202375366855756</v>
      </c>
      <c r="CE51">
        <v>742.24864663126857</v>
      </c>
      <c r="CF51">
        <v>26.091123827259739</v>
      </c>
      <c r="CG51">
        <v>10.477266317717312</v>
      </c>
      <c r="CH51">
        <v>13.252002580796193</v>
      </c>
      <c r="CI51">
        <v>4.8318137920991235</v>
      </c>
      <c r="CJ51">
        <v>6.8586494601471815</v>
      </c>
      <c r="CK51">
        <v>806.32676291320627</v>
      </c>
      <c r="CL51">
        <v>27.061599444806617</v>
      </c>
      <c r="CM51">
        <v>10.849052232038719</v>
      </c>
      <c r="CN51">
        <v>13.991877445222865</v>
      </c>
      <c r="CO51">
        <v>4.9519318442470022</v>
      </c>
      <c r="CP51">
        <v>7.3766024902395904</v>
      </c>
      <c r="CQ51">
        <v>863.45321816345404</v>
      </c>
      <c r="CR51">
        <v>27.249806444110128</v>
      </c>
      <c r="CS51">
        <v>10.783055875193327</v>
      </c>
      <c r="CT51">
        <v>14.188165686083444</v>
      </c>
      <c r="CU51">
        <v>4.9449223773257405</v>
      </c>
      <c r="CV51">
        <v>7.7026095534381325</v>
      </c>
      <c r="CW51">
        <v>955.46592760468047</v>
      </c>
      <c r="CX51">
        <v>25.899080339067073</v>
      </c>
      <c r="CY51">
        <v>10.225419965254343</v>
      </c>
      <c r="DA51">
        <v>55</v>
      </c>
      <c r="DB51">
        <v>11.033550082819447</v>
      </c>
      <c r="DC51">
        <v>3.8852936892034182</v>
      </c>
      <c r="DD51">
        <v>6.0118335706264876</v>
      </c>
      <c r="DE51">
        <v>703.1809455251996</v>
      </c>
      <c r="DF51">
        <v>25.613392436410244</v>
      </c>
      <c r="DG51">
        <v>10.060195194074259</v>
      </c>
      <c r="DH51">
        <v>11.339853415040196</v>
      </c>
      <c r="DI51">
        <v>4.1060294192890536</v>
      </c>
      <c r="DJ51">
        <v>6.2349086834539209</v>
      </c>
      <c r="DK51">
        <v>731.58848792802939</v>
      </c>
      <c r="DL51">
        <v>25.691525205334475</v>
      </c>
      <c r="DM51">
        <v>10.270185669763796</v>
      </c>
      <c r="DN51">
        <v>12.629130194055504</v>
      </c>
      <c r="DO51">
        <v>4.2356142618120982</v>
      </c>
      <c r="DP51">
        <v>6.7519055261490211</v>
      </c>
      <c r="DQ51">
        <v>798.84822805031229</v>
      </c>
      <c r="DR51">
        <v>26.535227529488871</v>
      </c>
      <c r="DS51">
        <v>10.204293319325794</v>
      </c>
      <c r="DT51">
        <v>13.029827925079458</v>
      </c>
      <c r="DU51">
        <v>4.2053183534991909</v>
      </c>
      <c r="DV51">
        <v>7.1421976226822643</v>
      </c>
      <c r="DW51">
        <v>848.26064896192031</v>
      </c>
      <c r="DX51">
        <v>26.603713818354635</v>
      </c>
      <c r="DY51">
        <v>10.096013314780867</v>
      </c>
      <c r="DZ51">
        <v>13.176000762265359</v>
      </c>
      <c r="EA51">
        <v>4.2731314948438017</v>
      </c>
      <c r="EB51">
        <v>7.4353637338826761</v>
      </c>
      <c r="EC51">
        <v>938.35470517656302</v>
      </c>
      <c r="ED51">
        <v>25.292699834644107</v>
      </c>
      <c r="EE51">
        <v>9.695959789592866</v>
      </c>
      <c r="EG51">
        <v>55</v>
      </c>
      <c r="EH51">
        <v>10.566389098103031</v>
      </c>
      <c r="EI51">
        <v>3.5859836722842937</v>
      </c>
      <c r="EJ51">
        <v>5.5298747846098193</v>
      </c>
      <c r="EK51">
        <v>700.20110514229543</v>
      </c>
      <c r="EL51">
        <v>25.055213992073455</v>
      </c>
      <c r="EM51">
        <v>9.6755453569889678</v>
      </c>
      <c r="EN51">
        <v>10.88150948105786</v>
      </c>
      <c r="EO51">
        <v>3.6955202408217023</v>
      </c>
      <c r="EP51">
        <v>5.765320617417248</v>
      </c>
      <c r="EQ51">
        <v>728.59828186479899</v>
      </c>
      <c r="ER51">
        <v>25.167888258836012</v>
      </c>
      <c r="ES51">
        <v>9.7489118533679484</v>
      </c>
      <c r="ET51">
        <v>10.990375165610242</v>
      </c>
      <c r="EU51">
        <v>3.8334388119541116</v>
      </c>
      <c r="EV51">
        <v>6.2407036217045935</v>
      </c>
      <c r="EW51">
        <v>802.95317547026241</v>
      </c>
      <c r="EX51">
        <v>24.358661329091603</v>
      </c>
      <c r="EY51">
        <v>9.6512554200342269</v>
      </c>
      <c r="EZ51">
        <v>11.630825417777322</v>
      </c>
      <c r="FA51">
        <v>3.8504639883465588</v>
      </c>
      <c r="FB51">
        <v>6.5972255640882258</v>
      </c>
      <c r="FC51">
        <v>849.71271610561951</v>
      </c>
      <c r="FD51">
        <v>24.911809179540864</v>
      </c>
      <c r="FE51">
        <v>9.6611434495128474</v>
      </c>
      <c r="FF51">
        <v>11.804590631044716</v>
      </c>
      <c r="FG51">
        <v>3.8846074962135204</v>
      </c>
      <c r="FH51">
        <v>6.8712531186495625</v>
      </c>
      <c r="FI51">
        <v>936.26877958397029</v>
      </c>
      <c r="FJ51">
        <v>23.884288628285468</v>
      </c>
      <c r="FK51">
        <v>9.3025909664606097</v>
      </c>
    </row>
    <row r="52" spans="2:167" x14ac:dyDescent="0.25">
      <c r="B52">
        <v>750.03241358133675</v>
      </c>
      <c r="C52">
        <v>1.3332757116790335</v>
      </c>
      <c r="D52">
        <v>801.947388947332</v>
      </c>
      <c r="E52">
        <v>1.2469645936657263</v>
      </c>
      <c r="F52">
        <v>922.42521319524451</v>
      </c>
      <c r="G52">
        <v>1.0840987276746692</v>
      </c>
      <c r="H52">
        <v>1027.6648091133502</v>
      </c>
      <c r="I52">
        <v>0.97307992949839472</v>
      </c>
      <c r="J52">
        <v>1138.2035090353181</v>
      </c>
      <c r="K52">
        <v>0.87857750574635618</v>
      </c>
      <c r="L52">
        <v>865.04278687404849</v>
      </c>
      <c r="M52">
        <v>1.1560121824882652</v>
      </c>
      <c r="N52">
        <v>859.04069357900573</v>
      </c>
      <c r="O52">
        <v>1.164089207268771</v>
      </c>
      <c r="Q52">
        <v>0.11131274572911347</v>
      </c>
      <c r="R52">
        <v>0.11186160371463896</v>
      </c>
      <c r="S52">
        <v>0.11212887595481665</v>
      </c>
      <c r="T52">
        <v>0.11306381060468806</v>
      </c>
      <c r="U52">
        <v>0.11348266581617164</v>
      </c>
      <c r="V52">
        <v>0.11213723686355495</v>
      </c>
      <c r="W52">
        <v>0.11176582336915528</v>
      </c>
      <c r="Y52">
        <v>1.7101087920960201</v>
      </c>
      <c r="Z52">
        <v>1.7146591389107415</v>
      </c>
      <c r="AA52">
        <v>1.7698177423684922</v>
      </c>
      <c r="AB52">
        <v>1.7967607226145323</v>
      </c>
      <c r="AC52">
        <v>1.8315479212216514</v>
      </c>
      <c r="AD52">
        <v>1.7429483283316385</v>
      </c>
      <c r="AE52">
        <v>1.7415171834253727</v>
      </c>
      <c r="AG52">
        <v>0.67476406172166215</v>
      </c>
      <c r="AH52">
        <v>0.67753950274575847</v>
      </c>
      <c r="AI52">
        <v>0.70423694117958691</v>
      </c>
      <c r="AJ52">
        <v>0.70960764720930258</v>
      </c>
      <c r="AK52">
        <v>0.72720794623158913</v>
      </c>
      <c r="AL52">
        <v>0.69075989218522282</v>
      </c>
      <c r="AM52">
        <v>0.69081829435165754</v>
      </c>
      <c r="AO52">
        <v>56</v>
      </c>
      <c r="AP52">
        <v>12.124634473289845</v>
      </c>
      <c r="AQ52">
        <v>5.1950512364412358</v>
      </c>
      <c r="AR52">
        <v>6.2827056517146822</v>
      </c>
      <c r="AS52">
        <v>707.50752306552863</v>
      </c>
      <c r="AT52">
        <v>27.042733429735957</v>
      </c>
      <c r="AU52">
        <v>11.869929837993416</v>
      </c>
      <c r="AV52">
        <v>12.591264169880942</v>
      </c>
      <c r="AW52">
        <v>5.2746345978316587</v>
      </c>
      <c r="AX52">
        <v>6.599804901129918</v>
      </c>
      <c r="AY52">
        <v>741.56302128517655</v>
      </c>
      <c r="AZ52">
        <v>27.084226148974903</v>
      </c>
      <c r="BA52">
        <v>11.731101299057096</v>
      </c>
      <c r="BB52">
        <v>13.966972610055198</v>
      </c>
      <c r="BC52">
        <v>5.5730019625837421</v>
      </c>
      <c r="BD52">
        <v>7.1785693978325185</v>
      </c>
      <c r="BE52">
        <v>807.40044830407476</v>
      </c>
      <c r="BF52">
        <v>27.973868294962124</v>
      </c>
      <c r="BG52">
        <v>11.78129000982625</v>
      </c>
      <c r="BH52">
        <v>14.741173922267096</v>
      </c>
      <c r="BI52">
        <v>5.7988415423065058</v>
      </c>
      <c r="BJ52">
        <v>7.6958470299568242</v>
      </c>
      <c r="BK52">
        <v>864.71944513797098</v>
      </c>
      <c r="BL52">
        <v>28.152106484361607</v>
      </c>
      <c r="BM52">
        <v>11.781259421082632</v>
      </c>
      <c r="BN52">
        <v>15.087629813709079</v>
      </c>
      <c r="BO52">
        <v>5.8878929701368117</v>
      </c>
      <c r="BP52">
        <v>8.169039925335289</v>
      </c>
      <c r="BQ52">
        <v>958.8166350433379</v>
      </c>
      <c r="BR52">
        <v>26.827865164200482</v>
      </c>
      <c r="BS52">
        <v>11.210267597189015</v>
      </c>
      <c r="BU52">
        <v>56</v>
      </c>
      <c r="BV52">
        <v>11.726542175549707</v>
      </c>
      <c r="BW52">
        <v>4.3941385702873417</v>
      </c>
      <c r="BX52">
        <v>6.1020142743296866</v>
      </c>
      <c r="BY52">
        <v>716.2994204274811</v>
      </c>
      <c r="BZ52">
        <v>26.155047056820077</v>
      </c>
      <c r="CA52">
        <v>10.606112159008209</v>
      </c>
      <c r="CB52">
        <v>12.067922146900854</v>
      </c>
      <c r="CC52">
        <v>4.4280202158436017</v>
      </c>
      <c r="CD52">
        <v>6.3885183568629609</v>
      </c>
      <c r="CE52">
        <v>751.3650764292023</v>
      </c>
      <c r="CF52">
        <v>26.034372853990238</v>
      </c>
      <c r="CG52">
        <v>10.451292968875578</v>
      </c>
      <c r="CH52">
        <v>13.431546823039255</v>
      </c>
      <c r="CI52">
        <v>4.8989864801104126</v>
      </c>
      <c r="CJ52">
        <v>6.9346047178826433</v>
      </c>
      <c r="CK52">
        <v>816.24430870108881</v>
      </c>
      <c r="CL52">
        <v>27.014813800325868</v>
      </c>
      <c r="CM52">
        <v>10.827889712487147</v>
      </c>
      <c r="CN52">
        <v>14.18798147443313</v>
      </c>
      <c r="CO52">
        <v>5.0231105772279712</v>
      </c>
      <c r="CP52">
        <v>7.4616772877800912</v>
      </c>
      <c r="CQ52">
        <v>874.41188813411975</v>
      </c>
      <c r="CR52">
        <v>27.207408514943729</v>
      </c>
      <c r="CS52">
        <v>10.76352377210925</v>
      </c>
      <c r="CT52">
        <v>14.386928698839251</v>
      </c>
      <c r="CU52">
        <v>5.0157305040634501</v>
      </c>
      <c r="CV52">
        <v>7.7921377408861394</v>
      </c>
      <c r="CW52">
        <v>969.1240312144065</v>
      </c>
      <c r="CX52">
        <v>25.819504502338972</v>
      </c>
      <c r="CY52">
        <v>10.191088314075396</v>
      </c>
      <c r="DA52">
        <v>56</v>
      </c>
      <c r="DB52">
        <v>11.158782494165889</v>
      </c>
      <c r="DC52">
        <v>3.9371784352944306</v>
      </c>
      <c r="DD52">
        <v>6.0711872038529462</v>
      </c>
      <c r="DE52">
        <v>711.39474060392808</v>
      </c>
      <c r="DF52">
        <v>25.537278151996489</v>
      </c>
      <c r="DG52">
        <v>10.036891545517989</v>
      </c>
      <c r="DH52">
        <v>11.472709262644043</v>
      </c>
      <c r="DI52">
        <v>4.163300447451272</v>
      </c>
      <c r="DJ52">
        <v>6.2992316097328684</v>
      </c>
      <c r="DK52">
        <v>740.35771582418647</v>
      </c>
      <c r="DL52">
        <v>25.617489032115138</v>
      </c>
      <c r="DM52">
        <v>10.249122295569872</v>
      </c>
      <c r="DN52">
        <v>12.7834646454357</v>
      </c>
      <c r="DO52">
        <v>4.2958495963921779</v>
      </c>
      <c r="DP52">
        <v>6.8236216996279468</v>
      </c>
      <c r="DQ52">
        <v>808.51971669980844</v>
      </c>
      <c r="DR52">
        <v>26.471346827375562</v>
      </c>
      <c r="DS52">
        <v>10.185362582072971</v>
      </c>
      <c r="DT52">
        <v>13.198371020166139</v>
      </c>
      <c r="DU52">
        <v>4.2691137337749501</v>
      </c>
      <c r="DV52">
        <v>7.2235724425308474</v>
      </c>
      <c r="DW52">
        <v>859.05482667011279</v>
      </c>
      <c r="DX52">
        <v>26.541811172754272</v>
      </c>
      <c r="DY52">
        <v>10.078234860344008</v>
      </c>
      <c r="DZ52">
        <v>13.346927138055264</v>
      </c>
      <c r="EA52">
        <v>4.3383244877569593</v>
      </c>
      <c r="EB52">
        <v>7.5212374090466492</v>
      </c>
      <c r="EC52">
        <v>951.82457204669208</v>
      </c>
      <c r="ED52">
        <v>25.19613532871141</v>
      </c>
      <c r="EE52">
        <v>9.6646197663418008</v>
      </c>
      <c r="EG52">
        <v>56</v>
      </c>
      <c r="EH52">
        <v>10.681476091452311</v>
      </c>
      <c r="EI52">
        <v>3.634140361539357</v>
      </c>
      <c r="EJ52">
        <v>5.583370979662833</v>
      </c>
      <c r="EK52">
        <v>708.26378841620965</v>
      </c>
      <c r="EL52">
        <v>24.976257791625176</v>
      </c>
      <c r="EM52">
        <v>9.6534001816292445</v>
      </c>
      <c r="EN52">
        <v>11.005567009505667</v>
      </c>
      <c r="EO52">
        <v>3.7469784148534169</v>
      </c>
      <c r="EP52">
        <v>5.8237534354160942</v>
      </c>
      <c r="EQ52">
        <v>737.27309620394738</v>
      </c>
      <c r="ER52">
        <v>25.09105988958029</v>
      </c>
      <c r="ES52">
        <v>9.7273246186229141</v>
      </c>
      <c r="ET52">
        <v>11.125718482983956</v>
      </c>
      <c r="EU52">
        <v>3.8879542130050808</v>
      </c>
      <c r="EV52">
        <v>6.3060182227153607</v>
      </c>
      <c r="EW52">
        <v>813.16353384187391</v>
      </c>
      <c r="EX52">
        <v>24.281536066667574</v>
      </c>
      <c r="EY52">
        <v>9.6255805384866484</v>
      </c>
      <c r="EZ52">
        <v>11.779312845585812</v>
      </c>
      <c r="FA52">
        <v>3.9090322458392879</v>
      </c>
      <c r="FB52">
        <v>6.6713310856535664</v>
      </c>
      <c r="FC52">
        <v>860.90053341486851</v>
      </c>
      <c r="FD52">
        <v>24.836565888892352</v>
      </c>
      <c r="FE52">
        <v>9.6383664443139505</v>
      </c>
      <c r="FF52">
        <v>11.955543792903756</v>
      </c>
      <c r="FG52">
        <v>3.9439321586460054</v>
      </c>
      <c r="FH52">
        <v>6.9495673154215938</v>
      </c>
      <c r="FI52">
        <v>950.78448206498649</v>
      </c>
      <c r="FJ52">
        <v>23.760292482124953</v>
      </c>
      <c r="FK52">
        <v>9.2603848822382542</v>
      </c>
    </row>
    <row r="53" spans="2:167" x14ac:dyDescent="0.25">
      <c r="B53">
        <v>753.1411028043799</v>
      </c>
      <c r="C53">
        <v>1.3277724403520426</v>
      </c>
      <c r="D53">
        <v>805.73903927545871</v>
      </c>
      <c r="E53">
        <v>1.241096622175867</v>
      </c>
      <c r="F53">
        <v>927.52215258700312</v>
      </c>
      <c r="G53">
        <v>1.0781413653688432</v>
      </c>
      <c r="H53">
        <v>1034.2884787638682</v>
      </c>
      <c r="I53">
        <v>0.9668482445005594</v>
      </c>
      <c r="J53">
        <v>1146.0931107741906</v>
      </c>
      <c r="K53">
        <v>0.87252945733570986</v>
      </c>
      <c r="L53">
        <v>869.77936926168491</v>
      </c>
      <c r="M53">
        <v>1.1497168538831328</v>
      </c>
      <c r="N53">
        <v>863.17894289848391</v>
      </c>
      <c r="O53">
        <v>1.1585083350644332</v>
      </c>
      <c r="Q53">
        <v>0.1132123404000447</v>
      </c>
      <c r="R53">
        <v>0.11376863026599315</v>
      </c>
      <c r="S53">
        <v>0.11403948856211804</v>
      </c>
      <c r="T53">
        <v>0.11498885759115991</v>
      </c>
      <c r="U53">
        <v>0.11541463530716435</v>
      </c>
      <c r="V53">
        <v>0.11404847264885309</v>
      </c>
      <c r="W53">
        <v>0.11367180833982089</v>
      </c>
      <c r="Y53">
        <v>1.7288889837702477</v>
      </c>
      <c r="Z53">
        <v>1.7339116722421581</v>
      </c>
      <c r="AA53">
        <v>1.7897700792665183</v>
      </c>
      <c r="AB53">
        <v>1.8181442684489806</v>
      </c>
      <c r="AC53">
        <v>1.8535045026101185</v>
      </c>
      <c r="AD53">
        <v>1.762418958841472</v>
      </c>
      <c r="AE53">
        <v>1.7611892087750196</v>
      </c>
      <c r="AG53">
        <v>0.68145791375504228</v>
      </c>
      <c r="AH53">
        <v>0.68444582041017465</v>
      </c>
      <c r="AI53">
        <v>0.71148415327594972</v>
      </c>
      <c r="AJ53">
        <v>0.71735697293135359</v>
      </c>
      <c r="AK53">
        <v>0.73524394847256813</v>
      </c>
      <c r="AL53">
        <v>0.69776983649626845</v>
      </c>
      <c r="AM53">
        <v>0.69793535632711279</v>
      </c>
      <c r="AO53">
        <v>57</v>
      </c>
      <c r="AP53">
        <v>12.275279058011547</v>
      </c>
      <c r="AQ53">
        <v>5.2640108466776026</v>
      </c>
      <c r="AR53">
        <v>6.3461579355041433</v>
      </c>
      <c r="AS53">
        <v>715.66727352307373</v>
      </c>
      <c r="AT53">
        <v>26.985486464322751</v>
      </c>
      <c r="AU53">
        <v>11.849500794492169</v>
      </c>
      <c r="AV53">
        <v>12.752140388077683</v>
      </c>
      <c r="AW53">
        <v>5.3457709083842779</v>
      </c>
      <c r="AX53">
        <v>6.6685207041304801</v>
      </c>
      <c r="AY53">
        <v>750.36853114045766</v>
      </c>
      <c r="AZ53">
        <v>27.028007078392896</v>
      </c>
      <c r="BA53">
        <v>11.709818723681778</v>
      </c>
      <c r="BB53">
        <v>14.149262397066973</v>
      </c>
      <c r="BC53">
        <v>5.649437771755383</v>
      </c>
      <c r="BD53">
        <v>7.2550280742374049</v>
      </c>
      <c r="BE53">
        <v>817.06061121562709</v>
      </c>
      <c r="BF53">
        <v>27.924524909962457</v>
      </c>
      <c r="BG53">
        <v>11.762188743965694</v>
      </c>
      <c r="BH53">
        <v>14.94018741547151</v>
      </c>
      <c r="BI53">
        <v>5.8811915038871518</v>
      </c>
      <c r="BJ53">
        <v>7.7810322191583143</v>
      </c>
      <c r="BK53">
        <v>875.39959225085045</v>
      </c>
      <c r="BL53">
        <v>28.106683140869592</v>
      </c>
      <c r="BM53">
        <v>11.763908212442105</v>
      </c>
      <c r="BN53">
        <v>15.291571000625808</v>
      </c>
      <c r="BO53">
        <v>5.9714341556194155</v>
      </c>
      <c r="BP53">
        <v>8.2605212733379343</v>
      </c>
      <c r="BQ53">
        <v>972.07066932765213</v>
      </c>
      <c r="BR53">
        <v>26.747710684125067</v>
      </c>
      <c r="BS53">
        <v>11.178019384841756</v>
      </c>
      <c r="BU53">
        <v>57</v>
      </c>
      <c r="BV53">
        <v>11.873412829688574</v>
      </c>
      <c r="BW53">
        <v>4.4504126285111258</v>
      </c>
      <c r="BX53">
        <v>6.1639473049680653</v>
      </c>
      <c r="BY53">
        <v>724.53272003405812</v>
      </c>
      <c r="BZ53">
        <v>26.100633927759343</v>
      </c>
      <c r="CA53">
        <v>10.581581060516964</v>
      </c>
      <c r="CB53">
        <v>12.223001676972478</v>
      </c>
      <c r="CC53">
        <v>4.4861179253317029</v>
      </c>
      <c r="CD53">
        <v>6.4552675605065666</v>
      </c>
      <c r="CE53">
        <v>760.30627113597654</v>
      </c>
      <c r="CF53">
        <v>25.978777250450772</v>
      </c>
      <c r="CG53">
        <v>10.42609642126685</v>
      </c>
      <c r="CH53">
        <v>13.607852389631356</v>
      </c>
      <c r="CI53">
        <v>4.9652483766530144</v>
      </c>
      <c r="CJ53">
        <v>7.0086600520287794</v>
      </c>
      <c r="CK53">
        <v>825.95090296465185</v>
      </c>
      <c r="CL53">
        <v>26.968454545484768</v>
      </c>
      <c r="CM53">
        <v>10.807218319195695</v>
      </c>
      <c r="CN53">
        <v>14.380552705555944</v>
      </c>
      <c r="CO53">
        <v>5.0933715089019316</v>
      </c>
      <c r="CP53">
        <v>7.5445476072507143</v>
      </c>
      <c r="CQ53">
        <v>885.13238477130471</v>
      </c>
      <c r="CR53">
        <v>27.165364938418925</v>
      </c>
      <c r="CS53">
        <v>10.744494971698776</v>
      </c>
      <c r="CT53">
        <v>14.582140618413215</v>
      </c>
      <c r="CU53">
        <v>5.08565106247306</v>
      </c>
      <c r="CV53">
        <v>7.8793115199752677</v>
      </c>
      <c r="CW53">
        <v>982.52874477913088</v>
      </c>
      <c r="CX53">
        <v>25.740961554435373</v>
      </c>
      <c r="CY53">
        <v>10.157506073043919</v>
      </c>
      <c r="DA53">
        <v>57</v>
      </c>
      <c r="DB53">
        <v>11.280643547478288</v>
      </c>
      <c r="DC53">
        <v>3.9884268077978349</v>
      </c>
      <c r="DD53">
        <v>6.1288789635170211</v>
      </c>
      <c r="DE53">
        <v>719.4536730111198</v>
      </c>
      <c r="DF53">
        <v>25.460977821429918</v>
      </c>
      <c r="DG53">
        <v>10.014148454020866</v>
      </c>
      <c r="DH53">
        <v>11.60223526466517</v>
      </c>
      <c r="DI53">
        <v>4.2199443949147426</v>
      </c>
      <c r="DJ53">
        <v>6.3618771283696001</v>
      </c>
      <c r="DK53">
        <v>748.96825907828395</v>
      </c>
      <c r="DL53">
        <v>25.543219777028536</v>
      </c>
      <c r="DM53">
        <v>10.228541556044577</v>
      </c>
      <c r="DN53">
        <v>12.933715376617613</v>
      </c>
      <c r="DO53">
        <v>4.3553857720041238</v>
      </c>
      <c r="DP53">
        <v>6.8932893677444573</v>
      </c>
      <c r="DQ53">
        <v>817.99185451277208</v>
      </c>
      <c r="DR53">
        <v>26.40672061857714</v>
      </c>
      <c r="DS53">
        <v>10.166811660466321</v>
      </c>
      <c r="DT53">
        <v>13.363061930851332</v>
      </c>
      <c r="DU53">
        <v>4.332427242410068</v>
      </c>
      <c r="DV53">
        <v>7.302892376760366</v>
      </c>
      <c r="DW53">
        <v>869.64567969191762</v>
      </c>
      <c r="DX53">
        <v>26.479121341209524</v>
      </c>
      <c r="DY53">
        <v>10.060828674582424</v>
      </c>
      <c r="DZ53">
        <v>13.514038026833424</v>
      </c>
      <c r="EA53">
        <v>4.4030538804757366</v>
      </c>
      <c r="EB53">
        <v>7.604965718290349</v>
      </c>
      <c r="EC53">
        <v>965.08020058654563</v>
      </c>
      <c r="ED53">
        <v>25.099605234036918</v>
      </c>
      <c r="EE53">
        <v>9.6338568591358733</v>
      </c>
      <c r="EG53">
        <v>57</v>
      </c>
      <c r="EH53">
        <v>10.793145448630197</v>
      </c>
      <c r="EI53">
        <v>3.6816939017498997</v>
      </c>
      <c r="EJ53">
        <v>5.6354036571534731</v>
      </c>
      <c r="EK53">
        <v>716.17444415617319</v>
      </c>
      <c r="EL53">
        <v>24.896861454254992</v>
      </c>
      <c r="EM53">
        <v>9.6317078018659217</v>
      </c>
      <c r="EN53">
        <v>11.126212050898374</v>
      </c>
      <c r="EO53">
        <v>3.7978766057378022</v>
      </c>
      <c r="EP53">
        <v>5.880691557427455</v>
      </c>
      <c r="EQ53">
        <v>745.79281745396543</v>
      </c>
      <c r="ER53">
        <v>25.013699780019341</v>
      </c>
      <c r="ES53">
        <v>9.7061610189219447</v>
      </c>
      <c r="ET53">
        <v>11.258330303318857</v>
      </c>
      <c r="EU53">
        <v>3.9418368726375732</v>
      </c>
      <c r="EV53">
        <v>6.3694972724004053</v>
      </c>
      <c r="EW53">
        <v>823.17645051451348</v>
      </c>
      <c r="EX53">
        <v>24.205135222998599</v>
      </c>
      <c r="EY53">
        <v>9.6003963917102286</v>
      </c>
      <c r="EZ53">
        <v>11.924614828154459</v>
      </c>
      <c r="FA53">
        <v>3.9671498082931524</v>
      </c>
      <c r="FB53">
        <v>6.7435962520422477</v>
      </c>
      <c r="FC53">
        <v>871.88691782398257</v>
      </c>
      <c r="FD53">
        <v>24.761245905151259</v>
      </c>
      <c r="FE53">
        <v>9.6160162349710099</v>
      </c>
      <c r="FF53">
        <v>12.103200363122648</v>
      </c>
      <c r="FG53">
        <v>4.0028317647452401</v>
      </c>
      <c r="FH53">
        <v>7.0259559395811655</v>
      </c>
      <c r="FI53">
        <v>965.11239636022151</v>
      </c>
      <c r="FJ53">
        <v>23.636930243803597</v>
      </c>
      <c r="FK53">
        <v>9.2188458337712547</v>
      </c>
    </row>
    <row r="54" spans="2:167" x14ac:dyDescent="0.25">
      <c r="B54">
        <v>756.04040878119338</v>
      </c>
      <c r="C54">
        <v>1.3226806244551028</v>
      </c>
      <c r="D54">
        <v>809.29550770895867</v>
      </c>
      <c r="E54">
        <v>1.2356425934340205</v>
      </c>
      <c r="F54">
        <v>932.29504637158175</v>
      </c>
      <c r="G54">
        <v>1.0726218099001175</v>
      </c>
      <c r="H54">
        <v>1040.5316077507532</v>
      </c>
      <c r="I54">
        <v>0.96104721139767424</v>
      </c>
      <c r="J54">
        <v>1153.5402314256962</v>
      </c>
      <c r="K54">
        <v>0.86689650933463236</v>
      </c>
      <c r="L54">
        <v>874.22036678764289</v>
      </c>
      <c r="M54">
        <v>1.1438763474186027</v>
      </c>
      <c r="N54">
        <v>867.05481968685683</v>
      </c>
      <c r="O54">
        <v>1.1533296134160897</v>
      </c>
      <c r="Q54">
        <v>0.11511014080615359</v>
      </c>
      <c r="R54">
        <v>0.11567363527892002</v>
      </c>
      <c r="S54">
        <v>0.11594748916989418</v>
      </c>
      <c r="T54">
        <v>0.11691085604275722</v>
      </c>
      <c r="U54">
        <v>0.11734324204218916</v>
      </c>
      <c r="V54">
        <v>0.11595719114195026</v>
      </c>
      <c r="W54">
        <v>0.11557568919605804</v>
      </c>
      <c r="Y54">
        <v>1.7472582623633324</v>
      </c>
      <c r="Z54">
        <v>1.7527804754565774</v>
      </c>
      <c r="AA54">
        <v>1.8092854048376474</v>
      </c>
      <c r="AB54">
        <v>1.8391304776922375</v>
      </c>
      <c r="AC54">
        <v>1.8750630132053054</v>
      </c>
      <c r="AD54">
        <v>1.7814862580357407</v>
      </c>
      <c r="AE54">
        <v>1.7804467923121352</v>
      </c>
      <c r="AG54">
        <v>0.68803236396030787</v>
      </c>
      <c r="AH54">
        <v>0.69124299280928936</v>
      </c>
      <c r="AI54">
        <v>0.71859894012805658</v>
      </c>
      <c r="AJ54">
        <v>0.72499219502487056</v>
      </c>
      <c r="AK54">
        <v>0.74316398219726154</v>
      </c>
      <c r="AL54">
        <v>0.70466262605691377</v>
      </c>
      <c r="AM54">
        <v>0.70492932357562887</v>
      </c>
      <c r="AO54">
        <v>58</v>
      </c>
      <c r="AP54">
        <v>12.423519745229193</v>
      </c>
      <c r="AQ54">
        <v>5.3319166691676969</v>
      </c>
      <c r="AR54">
        <v>6.4082049346618177</v>
      </c>
      <c r="AS54">
        <v>723.66875814873663</v>
      </c>
      <c r="AT54">
        <v>26.92939429184986</v>
      </c>
      <c r="AU54">
        <v>11.829427674571953</v>
      </c>
      <c r="AV54">
        <v>12.910501194958819</v>
      </c>
      <c r="AW54">
        <v>5.4158746154802246</v>
      </c>
      <c r="AX54">
        <v>6.7356779660311874</v>
      </c>
      <c r="AY54">
        <v>759.00409988905835</v>
      </c>
      <c r="AZ54">
        <v>26.972922046117734</v>
      </c>
      <c r="BA54">
        <v>11.688963317125857</v>
      </c>
      <c r="BB54">
        <v>14.328302150366031</v>
      </c>
      <c r="BC54">
        <v>5.7247130486878683</v>
      </c>
      <c r="BD54">
        <v>7.3295393842592613</v>
      </c>
      <c r="BE54">
        <v>826.51638313403282</v>
      </c>
      <c r="BF54">
        <v>27.875632635736689</v>
      </c>
      <c r="BG54">
        <v>11.74335952956387</v>
      </c>
      <c r="BH54">
        <v>15.135651427788741</v>
      </c>
      <c r="BI54">
        <v>5.962334665826666</v>
      </c>
      <c r="BJ54">
        <v>7.8639712587433053</v>
      </c>
      <c r="BK54">
        <v>885.84900073749088</v>
      </c>
      <c r="BL54">
        <v>28.061643406400609</v>
      </c>
      <c r="BM54">
        <v>11.746838217419755</v>
      </c>
      <c r="BN54">
        <v>15.491876449151002</v>
      </c>
      <c r="BO54">
        <v>6.0537599306943033</v>
      </c>
      <c r="BP54">
        <v>8.3495255129891177</v>
      </c>
      <c r="BQ54">
        <v>985.0748238823661</v>
      </c>
      <c r="BR54">
        <v>26.668589770729778</v>
      </c>
      <c r="BS54">
        <v>11.146314191366363</v>
      </c>
      <c r="BU54">
        <v>58</v>
      </c>
      <c r="BV54">
        <v>12.017826383112732</v>
      </c>
      <c r="BW54">
        <v>4.5059440408724321</v>
      </c>
      <c r="BX54">
        <v>6.2244853698687708</v>
      </c>
      <c r="BY54">
        <v>732.59904353411082</v>
      </c>
      <c r="BZ54">
        <v>26.04735582332999</v>
      </c>
      <c r="CA54">
        <v>10.557773279719527</v>
      </c>
      <c r="CB54">
        <v>12.375569257953677</v>
      </c>
      <c r="CC54">
        <v>4.5435096832100603</v>
      </c>
      <c r="CD54">
        <v>6.5204851358544333</v>
      </c>
      <c r="CE54">
        <v>769.06989203243518</v>
      </c>
      <c r="CF54">
        <v>25.924336251542304</v>
      </c>
      <c r="CG54">
        <v>10.401663401151309</v>
      </c>
      <c r="CH54">
        <v>13.780919233229882</v>
      </c>
      <c r="CI54">
        <v>5.0305994700553445</v>
      </c>
      <c r="CJ54">
        <v>7.0808154407765764</v>
      </c>
      <c r="CK54">
        <v>835.44493136233018</v>
      </c>
      <c r="CL54">
        <v>26.922521523768875</v>
      </c>
      <c r="CM54">
        <v>10.787025125509702</v>
      </c>
      <c r="CN54">
        <v>14.569591052380209</v>
      </c>
      <c r="CO54">
        <v>5.1627146181837364</v>
      </c>
      <c r="CP54">
        <v>7.6252134104318907</v>
      </c>
      <c r="CQ54">
        <v>895.61305966549446</v>
      </c>
      <c r="CR54">
        <v>27.123675936878662</v>
      </c>
      <c r="CS54">
        <v>10.725954412356625</v>
      </c>
      <c r="CT54">
        <v>14.773801305448368</v>
      </c>
      <c r="CU54">
        <v>5.1546840177081439</v>
      </c>
      <c r="CV54">
        <v>7.964130826920222</v>
      </c>
      <c r="CW54">
        <v>995.67620943809413</v>
      </c>
      <c r="CX54">
        <v>25.663444587382994</v>
      </c>
      <c r="CY54">
        <v>10.1246544614144</v>
      </c>
      <c r="DA54">
        <v>58</v>
      </c>
      <c r="DB54">
        <v>11.399133624772269</v>
      </c>
      <c r="DC54">
        <v>4.039038803983571</v>
      </c>
      <c r="DD54">
        <v>6.1849092677624524</v>
      </c>
      <c r="DE54">
        <v>727.35651830013387</v>
      </c>
      <c r="DF54">
        <v>25.3844912912501</v>
      </c>
      <c r="DG54">
        <v>9.9919491842441062</v>
      </c>
      <c r="DH54">
        <v>11.728431416664101</v>
      </c>
      <c r="DI54">
        <v>4.2759612470880972</v>
      </c>
      <c r="DJ54">
        <v>6.422845238191452</v>
      </c>
      <c r="DK54">
        <v>757.41891775410375</v>
      </c>
      <c r="DL54">
        <v>25.468717757798697</v>
      </c>
      <c r="DM54">
        <v>10.208429617372483</v>
      </c>
      <c r="DN54">
        <v>13.079882382725261</v>
      </c>
      <c r="DO54">
        <v>4.4142227797731568</v>
      </c>
      <c r="DP54">
        <v>6.9609089051787105</v>
      </c>
      <c r="DQ54">
        <v>827.26391151187454</v>
      </c>
      <c r="DR54">
        <v>26.341348864350319</v>
      </c>
      <c r="DS54">
        <v>10.148622052132739</v>
      </c>
      <c r="DT54">
        <v>13.523900621981614</v>
      </c>
      <c r="DU54">
        <v>4.3952588687509451</v>
      </c>
      <c r="DV54">
        <v>7.3801574132808225</v>
      </c>
      <c r="DW54">
        <v>880.03260544435921</v>
      </c>
      <c r="DX54">
        <v>26.415643944313427</v>
      </c>
      <c r="DY54">
        <v>10.043774565815653</v>
      </c>
      <c r="DZ54">
        <v>13.677333366368266</v>
      </c>
      <c r="EA54">
        <v>4.467319654498219</v>
      </c>
      <c r="EB54">
        <v>7.6865486364773021</v>
      </c>
      <c r="EC54">
        <v>978.11890449566147</v>
      </c>
      <c r="ED54">
        <v>25.003108698139314</v>
      </c>
      <c r="EE54">
        <v>9.6036516313373426</v>
      </c>
      <c r="EG54">
        <v>58</v>
      </c>
      <c r="EH54">
        <v>10.901398492586763</v>
      </c>
      <c r="EI54">
        <v>3.72864429030184</v>
      </c>
      <c r="EJ54">
        <v>5.6859731185593914</v>
      </c>
      <c r="EK54">
        <v>723.93205234523828</v>
      </c>
      <c r="EL54">
        <v>24.817025318932068</v>
      </c>
      <c r="EM54">
        <v>9.6104528504617583</v>
      </c>
      <c r="EN54">
        <v>11.243444760138514</v>
      </c>
      <c r="EO54">
        <v>3.8482148094249231</v>
      </c>
      <c r="EP54">
        <v>5.9361349821036669</v>
      </c>
      <c r="EQ54">
        <v>754.15650786870299</v>
      </c>
      <c r="ER54">
        <v>24.935808135259133</v>
      </c>
      <c r="ES54">
        <v>9.6854050835396315</v>
      </c>
      <c r="ET54">
        <v>11.388210595059512</v>
      </c>
      <c r="EU54">
        <v>3.9950867828199703</v>
      </c>
      <c r="EV54">
        <v>6.4311410249724537</v>
      </c>
      <c r="EW54">
        <v>832.98906925008748</v>
      </c>
      <c r="EX54">
        <v>24.129458897282472</v>
      </c>
      <c r="EY54">
        <v>9.5756992171947068</v>
      </c>
      <c r="EZ54">
        <v>12.06673132870182</v>
      </c>
      <c r="FA54">
        <v>4.0248166657243738</v>
      </c>
      <c r="FB54">
        <v>6.8140210517659918</v>
      </c>
      <c r="FC54">
        <v>882.67000305160502</v>
      </c>
      <c r="FD54">
        <v>24.685849293839599</v>
      </c>
      <c r="FE54">
        <v>9.5940803101347285</v>
      </c>
      <c r="FF54">
        <v>12.247560286940834</v>
      </c>
      <c r="FG54">
        <v>4.0613062975692946</v>
      </c>
      <c r="FH54">
        <v>7.1004189675855596</v>
      </c>
      <c r="FI54">
        <v>979.24843380299012</v>
      </c>
      <c r="FJ54">
        <v>23.514196617050771</v>
      </c>
      <c r="FK54">
        <v>9.1779568346809111</v>
      </c>
    </row>
    <row r="55" spans="2:167" x14ac:dyDescent="0.25">
      <c r="B55">
        <v>758.73026908230622</v>
      </c>
      <c r="C55">
        <v>1.3179914401062613</v>
      </c>
      <c r="D55">
        <v>812.61669580549267</v>
      </c>
      <c r="E55">
        <v>1.230592486176729</v>
      </c>
      <c r="F55">
        <v>936.74371505767351</v>
      </c>
      <c r="G55">
        <v>1.0675278455841382</v>
      </c>
      <c r="H55">
        <v>1046.3938945358357</v>
      </c>
      <c r="I55">
        <v>0.95566306839317405</v>
      </c>
      <c r="J55">
        <v>1160.5444133664166</v>
      </c>
      <c r="K55">
        <v>0.86166456749318032</v>
      </c>
      <c r="L55">
        <v>878.36560260324677</v>
      </c>
      <c r="M55">
        <v>1.1384780973164939</v>
      </c>
      <c r="N55">
        <v>870.66821192870611</v>
      </c>
      <c r="O55">
        <v>1.148543137672154</v>
      </c>
      <c r="Q55">
        <v>0.11700614641246419</v>
      </c>
      <c r="R55">
        <v>0.11757661790724486</v>
      </c>
      <c r="S55">
        <v>0.11785287633133884</v>
      </c>
      <c r="T55">
        <v>0.118829803543839</v>
      </c>
      <c r="U55">
        <v>0.11926848254341178</v>
      </c>
      <c r="V55">
        <v>0.11786339083674835</v>
      </c>
      <c r="W55">
        <v>0.11747746503955142</v>
      </c>
      <c r="Y55">
        <v>1.7652166271698453</v>
      </c>
      <c r="Z55">
        <v>1.7712655471205347</v>
      </c>
      <c r="AA55">
        <v>1.828363716681354</v>
      </c>
      <c r="AB55">
        <v>1.8597193456986709</v>
      </c>
      <c r="AC55">
        <v>1.8962234452514666</v>
      </c>
      <c r="AD55">
        <v>1.8001502226531083</v>
      </c>
      <c r="AE55">
        <v>1.7992899323605664</v>
      </c>
      <c r="AG55">
        <v>0.69448741218891064</v>
      </c>
      <c r="AH55">
        <v>0.69793101968551619</v>
      </c>
      <c r="AI55">
        <v>0.72558130112203878</v>
      </c>
      <c r="AJ55">
        <v>0.73251331261312447</v>
      </c>
      <c r="AK55">
        <v>0.75096804567761466</v>
      </c>
      <c r="AL55">
        <v>0.71143826007249811</v>
      </c>
      <c r="AM55">
        <v>0.71180019569143071</v>
      </c>
      <c r="AO55">
        <v>59</v>
      </c>
      <c r="AP55">
        <v>12.569356525340632</v>
      </c>
      <c r="AQ55">
        <v>5.398768027634727</v>
      </c>
      <c r="AR55">
        <v>6.4688466429454827</v>
      </c>
      <c r="AS55">
        <v>731.50995391375272</v>
      </c>
      <c r="AT55">
        <v>26.874456122525366</v>
      </c>
      <c r="AU55">
        <v>11.809717141277986</v>
      </c>
      <c r="AV55">
        <v>13.066346572468607</v>
      </c>
      <c r="AW55">
        <v>5.4849454914844245</v>
      </c>
      <c r="AX55">
        <v>6.8012766754716578</v>
      </c>
      <c r="AY55">
        <v>767.46756747924576</v>
      </c>
      <c r="AZ55">
        <v>26.918970720718846</v>
      </c>
      <c r="BA55">
        <v>11.668538802669277</v>
      </c>
      <c r="BB55">
        <v>14.504091825814466</v>
      </c>
      <c r="BC55">
        <v>5.7988277786323019</v>
      </c>
      <c r="BD55">
        <v>7.4021033066648947</v>
      </c>
      <c r="BE55">
        <v>835.76617449585217</v>
      </c>
      <c r="BF55">
        <v>27.827191155878477</v>
      </c>
      <c r="BG55">
        <v>11.724800683273797</v>
      </c>
      <c r="BH55">
        <v>15.327565877845702</v>
      </c>
      <c r="BI55">
        <v>6.0422710010535523</v>
      </c>
      <c r="BJ55">
        <v>7.9446641113082732</v>
      </c>
      <c r="BK55">
        <v>896.06602508658284</v>
      </c>
      <c r="BL55">
        <v>28.016987281671305</v>
      </c>
      <c r="BM55">
        <v>11.730046484747836</v>
      </c>
      <c r="BN55">
        <v>15.688546024421802</v>
      </c>
      <c r="BO55">
        <v>6.1348702500660854</v>
      </c>
      <c r="BP55">
        <v>8.4360525812622367</v>
      </c>
      <c r="BQ55">
        <v>997.82540919941368</v>
      </c>
      <c r="BR55">
        <v>26.590496471928478</v>
      </c>
      <c r="BS55">
        <v>11.115146061720358</v>
      </c>
      <c r="BU55">
        <v>59</v>
      </c>
      <c r="BV55">
        <v>12.159782825540226</v>
      </c>
      <c r="BW55">
        <v>4.5607328051214511</v>
      </c>
      <c r="BX55">
        <v>6.2836284629218619</v>
      </c>
      <c r="BY55">
        <v>740.49629674125447</v>
      </c>
      <c r="BZ55">
        <v>25.995212325243326</v>
      </c>
      <c r="CA55">
        <v>10.534678503548601</v>
      </c>
      <c r="CB55">
        <v>12.525624871420254</v>
      </c>
      <c r="CC55">
        <v>4.6001954853678413</v>
      </c>
      <c r="CD55">
        <v>6.5841710718717641</v>
      </c>
      <c r="CE55">
        <v>777.65363021719531</v>
      </c>
      <c r="CF55">
        <v>25.871049134571269</v>
      </c>
      <c r="CG55">
        <v>10.377981624738442</v>
      </c>
      <c r="CH55">
        <v>13.950747309489415</v>
      </c>
      <c r="CI55">
        <v>5.0950397493847337</v>
      </c>
      <c r="CJ55">
        <v>7.151070863697722</v>
      </c>
      <c r="CK55">
        <v>844.72479267724475</v>
      </c>
      <c r="CL55">
        <v>26.877014596709031</v>
      </c>
      <c r="CM55">
        <v>10.767298253093571</v>
      </c>
      <c r="CN55">
        <v>14.755096433614693</v>
      </c>
      <c r="CO55">
        <v>5.2311398851915127</v>
      </c>
      <c r="CP55">
        <v>7.703674661285139</v>
      </c>
      <c r="CQ55">
        <v>905.85228071492736</v>
      </c>
      <c r="CR55">
        <v>27.082341686875957</v>
      </c>
      <c r="CS55">
        <v>10.707888270868443</v>
      </c>
      <c r="CT55">
        <v>14.961910628333566</v>
      </c>
      <c r="CU55">
        <v>5.2228293368591228</v>
      </c>
      <c r="CV55">
        <v>8.0465956014810693</v>
      </c>
      <c r="CW55">
        <v>1008.5625847595655</v>
      </c>
      <c r="CX55">
        <v>25.586947222498193</v>
      </c>
      <c r="CY55">
        <v>10.092516228496612</v>
      </c>
      <c r="DA55">
        <v>59</v>
      </c>
      <c r="DB55">
        <v>11.514253108141226</v>
      </c>
      <c r="DC55">
        <v>4.0890144213050688</v>
      </c>
      <c r="DD55">
        <v>6.2392785348181228</v>
      </c>
      <c r="DE55">
        <v>735.102031922386</v>
      </c>
      <c r="DF55">
        <v>25.307818417798273</v>
      </c>
      <c r="DG55">
        <v>9.9702785697032201</v>
      </c>
      <c r="DH55">
        <v>11.851297714475821</v>
      </c>
      <c r="DI55">
        <v>4.3313509896547204</v>
      </c>
      <c r="DJ55">
        <v>6.4821359380982591</v>
      </c>
      <c r="DK55">
        <v>765.70847182671434</v>
      </c>
      <c r="DL55">
        <v>25.393983265843708</v>
      </c>
      <c r="DM55">
        <v>10.188774025811803</v>
      </c>
      <c r="DN55">
        <v>13.221965659191348</v>
      </c>
      <c r="DO55">
        <v>4.4723606113863497</v>
      </c>
      <c r="DP55">
        <v>7.0264806867605394</v>
      </c>
      <c r="DQ55">
        <v>836.33512169063135</v>
      </c>
      <c r="DR55">
        <v>26.275231498431534</v>
      </c>
      <c r="DS55">
        <v>10.130777037574047</v>
      </c>
      <c r="DT55">
        <v>13.680887060409679</v>
      </c>
      <c r="DU55">
        <v>4.457608602751951</v>
      </c>
      <c r="DV55">
        <v>7.4553675406921647</v>
      </c>
      <c r="DW55">
        <v>890.21496732082971</v>
      </c>
      <c r="DX55">
        <v>26.351378568203984</v>
      </c>
      <c r="DY55">
        <v>10.027054202684798</v>
      </c>
      <c r="DZ55">
        <v>13.836813097887202</v>
      </c>
      <c r="EA55">
        <v>4.5311217923508744</v>
      </c>
      <c r="EB55">
        <v>7.7659861398681862</v>
      </c>
      <c r="EC55">
        <v>990.93796117283023</v>
      </c>
      <c r="ED55">
        <v>24.906645081163031</v>
      </c>
      <c r="EE55">
        <v>9.573986547456002</v>
      </c>
      <c r="EG55">
        <v>59</v>
      </c>
      <c r="EH55">
        <v>11.006236546541453</v>
      </c>
      <c r="EI55">
        <v>3.7749915247567891</v>
      </c>
      <c r="EJ55">
        <v>5.7350796654196206</v>
      </c>
      <c r="EK55">
        <v>731.53556556287174</v>
      </c>
      <c r="EL55">
        <v>24.736749698455064</v>
      </c>
      <c r="EM55">
        <v>9.5896214334774683</v>
      </c>
      <c r="EN55">
        <v>11.357265292176434</v>
      </c>
      <c r="EO55">
        <v>3.897993022115223</v>
      </c>
      <c r="EP55">
        <v>5.9900837081803884</v>
      </c>
      <c r="EQ55">
        <v>762.36320072190085</v>
      </c>
      <c r="ER55">
        <v>24.857385141148455</v>
      </c>
      <c r="ES55">
        <v>9.6650423506477985</v>
      </c>
      <c r="ET55">
        <v>11.515359328648211</v>
      </c>
      <c r="EU55">
        <v>4.0477039360291247</v>
      </c>
      <c r="EV55">
        <v>6.4909497347457874</v>
      </c>
      <c r="EW55">
        <v>842.59853868625237</v>
      </c>
      <c r="EX55">
        <v>24.054507184107706</v>
      </c>
      <c r="EY55">
        <v>9.551485792666055</v>
      </c>
      <c r="EZ55">
        <v>12.205662312545453</v>
      </c>
      <c r="FA55">
        <v>4.0820328087189193</v>
      </c>
      <c r="FB55">
        <v>6.8826054739921219</v>
      </c>
      <c r="FC55">
        <v>893.24790329413599</v>
      </c>
      <c r="FD55">
        <v>24.61037611397505</v>
      </c>
      <c r="FE55">
        <v>9.5725474460123916</v>
      </c>
      <c r="FF55">
        <v>12.388623512641477</v>
      </c>
      <c r="FG55">
        <v>4.1193557411179196</v>
      </c>
      <c r="FH55">
        <v>7.1729563772006175</v>
      </c>
      <c r="FI55">
        <v>993.18845889337729</v>
      </c>
      <c r="FJ55">
        <v>23.392086671066927</v>
      </c>
      <c r="FK55">
        <v>9.1377024945609922</v>
      </c>
    </row>
    <row r="56" spans="2:167" x14ac:dyDescent="0.25">
      <c r="B56">
        <v>761.21062577983059</v>
      </c>
      <c r="C56">
        <v>1.3136968483270173</v>
      </c>
      <c r="D56">
        <v>815.70251161664828</v>
      </c>
      <c r="E56">
        <v>1.2259371348729708</v>
      </c>
      <c r="F56">
        <v>940.86799130219731</v>
      </c>
      <c r="G56">
        <v>1.0628483583716795</v>
      </c>
      <c r="H56">
        <v>1051.8750558667525</v>
      </c>
      <c r="I56">
        <v>0.95068325313218205</v>
      </c>
      <c r="J56">
        <v>1167.1052259759438</v>
      </c>
      <c r="K56">
        <v>0.85682077137799728</v>
      </c>
      <c r="L56">
        <v>882.21491158991932</v>
      </c>
      <c r="M56">
        <v>1.1335106524075971</v>
      </c>
      <c r="N56">
        <v>874.0190151730734</v>
      </c>
      <c r="O56">
        <v>1.1441398672567551</v>
      </c>
      <c r="Q56">
        <v>0.11890035672257593</v>
      </c>
      <c r="R56">
        <v>0.11947757736061239</v>
      </c>
      <c r="S56">
        <v>0.11975564869756765</v>
      </c>
      <c r="T56">
        <v>0.12074569782525298</v>
      </c>
      <c r="U56">
        <v>0.12119035353821478</v>
      </c>
      <c r="V56">
        <v>0.11976707032704643</v>
      </c>
      <c r="W56">
        <v>0.11937713503264942</v>
      </c>
      <c r="Y56">
        <v>1.7827640775352258</v>
      </c>
      <c r="Z56">
        <v>1.7893668858951262</v>
      </c>
      <c r="AA56">
        <v>1.8470050125595838</v>
      </c>
      <c r="AB56">
        <v>1.8799108681043684</v>
      </c>
      <c r="AC56">
        <v>1.9169857914505002</v>
      </c>
      <c r="AD56">
        <v>1.8184108496485591</v>
      </c>
      <c r="AE56">
        <v>1.8177186273573525</v>
      </c>
      <c r="AG56">
        <v>0.70082305830301361</v>
      </c>
      <c r="AH56">
        <v>0.70450990079826104</v>
      </c>
      <c r="AI56">
        <v>0.73243123568557533</v>
      </c>
      <c r="AJ56">
        <v>0.73992032487255288</v>
      </c>
      <c r="AK56">
        <v>0.75865613728753989</v>
      </c>
      <c r="AL56">
        <v>0.71809673780106908</v>
      </c>
      <c r="AM56">
        <v>0.71854797229614442</v>
      </c>
      <c r="AO56">
        <v>60</v>
      </c>
      <c r="AP56">
        <v>12.712789389436105</v>
      </c>
      <c r="AQ56">
        <v>5.4645642458175345</v>
      </c>
      <c r="AR56">
        <v>6.5280830545630213</v>
      </c>
      <c r="AS56">
        <v>739.18886371889334</v>
      </c>
      <c r="AT56">
        <v>26.820671211115961</v>
      </c>
      <c r="AU56">
        <v>11.790375438508574</v>
      </c>
      <c r="AV56">
        <v>13.219676503742392</v>
      </c>
      <c r="AW56">
        <v>5.5529833091001644</v>
      </c>
      <c r="AX56">
        <v>6.8653168218409109</v>
      </c>
      <c r="AY56">
        <v>775.75680207764105</v>
      </c>
      <c r="AZ56">
        <v>26.866152789727565</v>
      </c>
      <c r="BA56">
        <v>11.648548695618985</v>
      </c>
      <c r="BB56">
        <v>14.676631382261693</v>
      </c>
      <c r="BC56">
        <v>5.8717819478380076</v>
      </c>
      <c r="BD56">
        <v>7.472719821658214</v>
      </c>
      <c r="BE56">
        <v>844.80840803195156</v>
      </c>
      <c r="BF56">
        <v>27.779200194823151</v>
      </c>
      <c r="BG56">
        <v>11.706510743344779</v>
      </c>
      <c r="BH56">
        <v>15.515930689203897</v>
      </c>
      <c r="BI56">
        <v>6.1210004841379808</v>
      </c>
      <c r="BJ56">
        <v>8.0231107417179093</v>
      </c>
      <c r="BK56">
        <v>906.04903517203411</v>
      </c>
      <c r="BL56">
        <v>27.972714750930198</v>
      </c>
      <c r="BM56">
        <v>11.713530392096075</v>
      </c>
      <c r="BN56">
        <v>15.881579599533197</v>
      </c>
      <c r="BO56">
        <v>6.2147650711121152</v>
      </c>
      <c r="BP56">
        <v>8.520102418849703</v>
      </c>
      <c r="BQ56">
        <v>1010.3187535680859</v>
      </c>
      <c r="BR56">
        <v>26.513425328838288</v>
      </c>
      <c r="BS56">
        <v>11.084509615496991</v>
      </c>
      <c r="BU56">
        <v>60</v>
      </c>
      <c r="BV56">
        <v>12.299282147430494</v>
      </c>
      <c r="BW56">
        <v>4.614778919170595</v>
      </c>
      <c r="BX56">
        <v>6.3413765784579539</v>
      </c>
      <c r="BY56">
        <v>748.22241439542745</v>
      </c>
      <c r="BZ56">
        <v>25.944203035406773</v>
      </c>
      <c r="CA56">
        <v>10.512287182573649</v>
      </c>
      <c r="CB56">
        <v>12.673168500163415</v>
      </c>
      <c r="CC56">
        <v>4.6561753279653839</v>
      </c>
      <c r="CD56">
        <v>6.6463253582516932</v>
      </c>
      <c r="CE56">
        <v>786.05520789323316</v>
      </c>
      <c r="CF56">
        <v>25.818915217296013</v>
      </c>
      <c r="CG56">
        <v>10.355039725059433</v>
      </c>
      <c r="CH56">
        <v>14.117336577065906</v>
      </c>
      <c r="CI56">
        <v>5.1585692044484484</v>
      </c>
      <c r="CJ56">
        <v>7.2194263017465206</v>
      </c>
      <c r="CK56">
        <v>853.78889917256333</v>
      </c>
      <c r="CL56">
        <v>26.831933643076603</v>
      </c>
      <c r="CM56">
        <v>10.748026789991989</v>
      </c>
      <c r="CN56">
        <v>14.937068772897781</v>
      </c>
      <c r="CO56">
        <v>5.2986472912490594</v>
      </c>
      <c r="CP56">
        <v>7.7799313259574179</v>
      </c>
      <c r="CQ56">
        <v>915.84843253383269</v>
      </c>
      <c r="CR56">
        <v>27.04136232061721</v>
      </c>
      <c r="CS56">
        <v>10.690283860879289</v>
      </c>
      <c r="CT56">
        <v>15.146468463223641</v>
      </c>
      <c r="CU56">
        <v>5.2900869889583211</v>
      </c>
      <c r="CV56">
        <v>8.1267057869724422</v>
      </c>
      <c r="CW56">
        <v>1021.1840494236105</v>
      </c>
      <c r="CX56">
        <v>25.511463589200595</v>
      </c>
      <c r="CY56">
        <v>10.061075535098386</v>
      </c>
      <c r="DA56">
        <v>60</v>
      </c>
      <c r="DB56">
        <v>11.626002379742634</v>
      </c>
      <c r="DC56">
        <v>4.1383536573993798</v>
      </c>
      <c r="DD56">
        <v>6.2919871829830543</v>
      </c>
      <c r="DE56">
        <v>742.68894883070152</v>
      </c>
      <c r="DF56">
        <v>25.230959066419249</v>
      </c>
      <c r="DG56">
        <v>9.9491229086222983</v>
      </c>
      <c r="DH56">
        <v>11.970834154210072</v>
      </c>
      <c r="DI56">
        <v>4.3861136085734991</v>
      </c>
      <c r="DJ56">
        <v>6.5397492270624342</v>
      </c>
      <c r="DK56">
        <v>773.83568078056555</v>
      </c>
      <c r="DL56">
        <v>25.319016568211072</v>
      </c>
      <c r="DM56">
        <v>10.169563616521771</v>
      </c>
      <c r="DN56">
        <v>13.359965201757698</v>
      </c>
      <c r="DO56">
        <v>4.5297992590934024</v>
      </c>
      <c r="DP56">
        <v>7.0900050874459986</v>
      </c>
      <c r="DQ56">
        <v>845.20468231412246</v>
      </c>
      <c r="DR56">
        <v>26.208368429569102</v>
      </c>
      <c r="DS56">
        <v>10.113261550499352</v>
      </c>
      <c r="DT56">
        <v>13.834021214998341</v>
      </c>
      <c r="DU56">
        <v>4.5194764349766423</v>
      </c>
      <c r="DV56">
        <v>7.5285227482856572</v>
      </c>
      <c r="DW56">
        <v>900.19209402021033</v>
      </c>
      <c r="DX56">
        <v>26.286324768017817</v>
      </c>
      <c r="DY56">
        <v>10.010650972072733</v>
      </c>
      <c r="DZ56">
        <v>13.992477166085646</v>
      </c>
      <c r="EA56">
        <v>4.5944602775912333</v>
      </c>
      <c r="EB56">
        <v>7.8432782061244639</v>
      </c>
      <c r="EC56">
        <v>1003.53461120819</v>
      </c>
      <c r="ED56">
        <v>24.81021393734434</v>
      </c>
      <c r="EE56">
        <v>9.5448458260841775</v>
      </c>
      <c r="EG56">
        <v>60</v>
      </c>
      <c r="EH56">
        <v>11.107660933935607</v>
      </c>
      <c r="EI56">
        <v>3.8207356028521824</v>
      </c>
      <c r="EJ56">
        <v>5.7827235993237629</v>
      </c>
      <c r="EK56">
        <v>738.98390834911118</v>
      </c>
      <c r="EL56">
        <v>24.656034881634593</v>
      </c>
      <c r="EM56">
        <v>9.5692010344888772</v>
      </c>
      <c r="EN56">
        <v>11.46767380200315</v>
      </c>
      <c r="EO56">
        <v>3.9472112402597928</v>
      </c>
      <c r="EP56">
        <v>6.042537734476678</v>
      </c>
      <c r="EQ56">
        <v>770.41189963804948</v>
      </c>
      <c r="ER56">
        <v>24.778430965977652</v>
      </c>
      <c r="ES56">
        <v>9.645059765574393</v>
      </c>
      <c r="ET56">
        <v>11.639776476527748</v>
      </c>
      <c r="EU56">
        <v>4.0996883252510647</v>
      </c>
      <c r="EV56">
        <v>6.5489236561203246</v>
      </c>
      <c r="EW56">
        <v>852.00201328385367</v>
      </c>
      <c r="EX56">
        <v>23.98028017387864</v>
      </c>
      <c r="EY56">
        <v>9.5277534037969591</v>
      </c>
      <c r="EZ56">
        <v>12.341407747106137</v>
      </c>
      <c r="FA56">
        <v>4.1387982284336449</v>
      </c>
      <c r="FB56">
        <v>6.9493495085448762</v>
      </c>
      <c r="FC56">
        <v>903.61871288545501</v>
      </c>
      <c r="FD56">
        <v>24.534826418469063</v>
      </c>
      <c r="FE56">
        <v>9.5514076141168598</v>
      </c>
      <c r="FF56">
        <v>12.526389991559418</v>
      </c>
      <c r="FG56">
        <v>4.1769800803349897</v>
      </c>
      <c r="FH56">
        <v>7.2435681475041527</v>
      </c>
      <c r="FI56">
        <v>1006.928289138545</v>
      </c>
      <c r="FJ56">
        <v>23.270595806902207</v>
      </c>
      <c r="FK56">
        <v>9.0980688959517</v>
      </c>
    </row>
    <row r="57" spans="2:167" x14ac:dyDescent="0.25">
      <c r="B57">
        <v>763.48142545057897</v>
      </c>
      <c r="C57">
        <v>1.3097895595951616</v>
      </c>
      <c r="D57">
        <v>818.55286969429778</v>
      </c>
      <c r="E57">
        <v>1.2216681866541701</v>
      </c>
      <c r="F57">
        <v>944.66771992602207</v>
      </c>
      <c r="G57">
        <v>1.0585732728099475</v>
      </c>
      <c r="H57">
        <v>1056.9748268111214</v>
      </c>
      <c r="I57">
        <v>0.94609632569678725</v>
      </c>
      <c r="J57">
        <v>1173.2222657029588</v>
      </c>
      <c r="K57">
        <v>0.85235341097181672</v>
      </c>
      <c r="L57">
        <v>885.76814037560655</v>
      </c>
      <c r="M57">
        <v>1.1289636129562686</v>
      </c>
      <c r="N57">
        <v>877.10713254100244</v>
      </c>
      <c r="O57">
        <v>1.1401115814700693</v>
      </c>
      <c r="Q57">
        <v>0.12079277127869019</v>
      </c>
      <c r="R57">
        <v>0.12137651290454142</v>
      </c>
      <c r="S57">
        <v>0.12165580501774489</v>
      </c>
      <c r="T57">
        <v>0.1226585367646094</v>
      </c>
      <c r="U57">
        <v>0.12310885195969956</v>
      </c>
      <c r="V57">
        <v>0.12166822830668064</v>
      </c>
      <c r="W57">
        <v>0.12127469839842467</v>
      </c>
      <c r="Y57">
        <v>1.7999006128558137</v>
      </c>
      <c r="Z57">
        <v>1.8070844905361019</v>
      </c>
      <c r="AA57">
        <v>1.8652092903969661</v>
      </c>
      <c r="AB57">
        <v>1.8997050408276634</v>
      </c>
      <c r="AC57">
        <v>1.9373500449630678</v>
      </c>
      <c r="AD57">
        <v>1.8362681361936997</v>
      </c>
      <c r="AE57">
        <v>1.8357328758528355</v>
      </c>
      <c r="AG57">
        <v>0.70703930217549849</v>
      </c>
      <c r="AH57">
        <v>0.71097963592393831</v>
      </c>
      <c r="AI57">
        <v>0.73914874328794555</v>
      </c>
      <c r="AJ57">
        <v>0.74721323103285919</v>
      </c>
      <c r="AK57">
        <v>0.76622825550316687</v>
      </c>
      <c r="AL57">
        <v>0.7246380585534572</v>
      </c>
      <c r="AM57">
        <v>0.72517265303882594</v>
      </c>
      <c r="AO57">
        <v>61</v>
      </c>
      <c r="AP57">
        <v>12.853818329298701</v>
      </c>
      <c r="AQ57">
        <v>5.5293046474949055</v>
      </c>
      <c r="AR57">
        <v>6.5859141641727321</v>
      </c>
      <c r="AS57">
        <v>746.70351746527433</v>
      </c>
      <c r="AT57">
        <v>26.768038855044566</v>
      </c>
      <c r="AU57">
        <v>11.771408422875645</v>
      </c>
      <c r="AV57">
        <v>13.370490973107751</v>
      </c>
      <c r="AW57">
        <v>5.6199878413797046</v>
      </c>
      <c r="AX57">
        <v>6.9277983952781135</v>
      </c>
      <c r="AY57">
        <v>783.86970122929836</v>
      </c>
      <c r="AZ57">
        <v>26.814467958856287</v>
      </c>
      <c r="BA57">
        <v>11.628996320579423</v>
      </c>
      <c r="BB57">
        <v>14.845920781548307</v>
      </c>
      <c r="BC57">
        <v>5.943575543553834</v>
      </c>
      <c r="BD57">
        <v>7.5413889108820795</v>
      </c>
      <c r="BE57">
        <v>853.64151909677992</v>
      </c>
      <c r="BF57">
        <v>27.731659516262575</v>
      </c>
      <c r="BG57">
        <v>11.688488455968248</v>
      </c>
      <c r="BH57">
        <v>15.700745790368654</v>
      </c>
      <c r="BI57">
        <v>6.1985230912948479</v>
      </c>
      <c r="BJ57">
        <v>8.0993111171093624</v>
      </c>
      <c r="BK57">
        <v>915.79641663565417</v>
      </c>
      <c r="BL57">
        <v>27.928825782103409</v>
      </c>
      <c r="BM57">
        <v>11.697287622663412</v>
      </c>
      <c r="BN57">
        <v>16.070977055557517</v>
      </c>
      <c r="BO57">
        <v>6.2934443538890399</v>
      </c>
      <c r="BP57">
        <v>8.6016749701720503</v>
      </c>
      <c r="BQ57">
        <v>1022.5512037150271</v>
      </c>
      <c r="BR57">
        <v>26.437371359077584</v>
      </c>
      <c r="BS57">
        <v>11.054400012934442</v>
      </c>
      <c r="BU57">
        <v>61</v>
      </c>
      <c r="BV57">
        <v>12.436324339984884</v>
      </c>
      <c r="BW57">
        <v>4.6680823810946199</v>
      </c>
      <c r="BX57">
        <v>6.3977297112485454</v>
      </c>
      <c r="BY57">
        <v>755.77536135201933</v>
      </c>
      <c r="BZ57">
        <v>25.894327574248329</v>
      </c>
      <c r="CA57">
        <v>10.49059047690816</v>
      </c>
      <c r="CB57">
        <v>12.818200128190943</v>
      </c>
      <c r="CC57">
        <v>4.7114492074344749</v>
      </c>
      <c r="CD57">
        <v>6.7069479854159981</v>
      </c>
      <c r="CE57">
        <v>794.27237964955134</v>
      </c>
      <c r="CF57">
        <v>25.767933856197796</v>
      </c>
      <c r="CG57">
        <v>10.332827185914608</v>
      </c>
      <c r="CH57">
        <v>14.280686997620542</v>
      </c>
      <c r="CI57">
        <v>5.2211878257946527</v>
      </c>
      <c r="CJ57">
        <v>7.2858817372616818</v>
      </c>
      <c r="CK57">
        <v>862.63567694689743</v>
      </c>
      <c r="CL57">
        <v>26.787278558189943</v>
      </c>
      <c r="CM57">
        <v>10.729200717151045</v>
      </c>
      <c r="CN57">
        <v>15.11550799880675</v>
      </c>
      <c r="CO57">
        <v>5.3652368188881043</v>
      </c>
      <c r="CP57">
        <v>7.8539833727852093</v>
      </c>
      <c r="CQ57">
        <v>925.59991686028582</v>
      </c>
      <c r="CR57">
        <v>27.000737927142936</v>
      </c>
      <c r="CS57">
        <v>10.673129542076422</v>
      </c>
      <c r="CT57">
        <v>15.32747469405842</v>
      </c>
      <c r="CU57">
        <v>5.3564569449847053</v>
      </c>
      <c r="CV57">
        <v>8.2044613302722649</v>
      </c>
      <c r="CW57">
        <v>1033.5368019040502</v>
      </c>
      <c r="CX57">
        <v>25.436988306902631</v>
      </c>
      <c r="CY57">
        <v>10.030317847967252</v>
      </c>
      <c r="DA57">
        <v>61</v>
      </c>
      <c r="DB57">
        <v>11.73438182178435</v>
      </c>
      <c r="DC57">
        <v>4.1870565100873121</v>
      </c>
      <c r="DD57">
        <v>6.3430356306113964</v>
      </c>
      <c r="DE57">
        <v>750.11598307303211</v>
      </c>
      <c r="DF57">
        <v>25.153913110737591</v>
      </c>
      <c r="DG57">
        <v>9.9284698707038643</v>
      </c>
      <c r="DH57">
        <v>12.08704073225161</v>
      </c>
      <c r="DI57">
        <v>4.4402490900795755</v>
      </c>
      <c r="DJ57">
        <v>6.5956851041290285</v>
      </c>
      <c r="DK57">
        <v>781.79928319783482</v>
      </c>
      <c r="DL57">
        <v>25.243817909309879</v>
      </c>
      <c r="DM57">
        <v>10.150788432100537</v>
      </c>
      <c r="DN57">
        <v>13.493881006475663</v>
      </c>
      <c r="DO57">
        <v>4.586538715707376</v>
      </c>
      <c r="DP57">
        <v>7.1514824822938712</v>
      </c>
      <c r="DQ57">
        <v>853.87175319372705</v>
      </c>
      <c r="DR57">
        <v>26.140759543781559</v>
      </c>
      <c r="DS57">
        <v>10.096062062490518</v>
      </c>
      <c r="DT57">
        <v>13.983303056624271</v>
      </c>
      <c r="DU57">
        <v>4.5808623565988995</v>
      </c>
      <c r="DV57">
        <v>7.5996230260451769</v>
      </c>
      <c r="DW57">
        <v>909.96327885098947</v>
      </c>
      <c r="DX57">
        <v>26.220482070963349</v>
      </c>
      <c r="DY57">
        <v>9.9945498525826633</v>
      </c>
      <c r="DZ57">
        <v>14.144325519135489</v>
      </c>
      <c r="EA57">
        <v>4.6573350948104091</v>
      </c>
      <c r="EB57">
        <v>7.9184248143118143</v>
      </c>
      <c r="EC57">
        <v>1015.9060578492102</v>
      </c>
      <c r="ED57">
        <v>24.713814998818055</v>
      </c>
      <c r="EE57">
        <v>9.5162153092799464</v>
      </c>
      <c r="EG57">
        <v>61</v>
      </c>
      <c r="EH57">
        <v>11.205672978385001</v>
      </c>
      <c r="EI57">
        <v>3.8658765225014013</v>
      </c>
      <c r="EJ57">
        <v>5.8289052219011692</v>
      </c>
      <c r="EK57">
        <v>746.27597654902638</v>
      </c>
      <c r="EL57">
        <v>24.574881135263762</v>
      </c>
      <c r="EM57">
        <v>9.5491804289909865</v>
      </c>
      <c r="EN57">
        <v>11.574670444643191</v>
      </c>
      <c r="EO57">
        <v>3.9958694605606127</v>
      </c>
      <c r="EP57">
        <v>6.0934970598950837</v>
      </c>
      <c r="EQ57">
        <v>778.30157790112594</v>
      </c>
      <c r="ER57">
        <v>24.698945762010002</v>
      </c>
      <c r="ES57">
        <v>9.6254455898608207</v>
      </c>
      <c r="ET57">
        <v>11.761462013144024</v>
      </c>
      <c r="EU57">
        <v>4.1510399439816545</v>
      </c>
      <c r="EV57">
        <v>6.6050630435656785</v>
      </c>
      <c r="EW57">
        <v>861.1966542892045</v>
      </c>
      <c r="EX57">
        <v>23.90677795320234</v>
      </c>
      <c r="EY57">
        <v>9.5044998156448788</v>
      </c>
      <c r="EZ57">
        <v>12.47396760191177</v>
      </c>
      <c r="FA57">
        <v>4.1951129165973517</v>
      </c>
      <c r="FB57">
        <v>7.0142531459066291</v>
      </c>
      <c r="FC57">
        <v>913.78050594873048</v>
      </c>
      <c r="FD57">
        <v>24.45920025447435</v>
      </c>
      <c r="FE57">
        <v>9.5306518992241198</v>
      </c>
      <c r="FF57">
        <v>12.660859678088599</v>
      </c>
      <c r="FG57">
        <v>4.2341793011108191</v>
      </c>
      <c r="FH57">
        <v>7.3122542588891672</v>
      </c>
      <c r="FI57">
        <v>1020.4636948554322</v>
      </c>
      <c r="FJ57">
        <v>23.14971972830817</v>
      </c>
      <c r="FK57">
        <v>9.0590434852314363</v>
      </c>
    </row>
    <row r="58" spans="2:167" x14ac:dyDescent="0.25">
      <c r="B58">
        <v>765.54261917894053</v>
      </c>
      <c r="C58">
        <v>1.3062630021467905</v>
      </c>
      <c r="D58">
        <v>821.16769109651182</v>
      </c>
      <c r="E58">
        <v>1.2177780626813166</v>
      </c>
      <c r="F58">
        <v>948.14275792855437</v>
      </c>
      <c r="G58">
        <v>1.0546934959296006</v>
      </c>
      <c r="H58">
        <v>1061.6929607885163</v>
      </c>
      <c r="I58">
        <v>0.94189189994940059</v>
      </c>
      <c r="J58">
        <v>1178.8951561271911</v>
      </c>
      <c r="K58">
        <v>0.84825185242521262</v>
      </c>
      <c r="L58">
        <v>889.02514735004695</v>
      </c>
      <c r="M58">
        <v>1.1248275743163625</v>
      </c>
      <c r="N58">
        <v>879.93247473253996</v>
      </c>
      <c r="O58">
        <v>1.1364508399396842</v>
      </c>
      <c r="Q58">
        <v>0.12268338966163518</v>
      </c>
      <c r="R58">
        <v>0.12327342386047574</v>
      </c>
      <c r="S58">
        <v>0.12355334413920112</v>
      </c>
      <c r="T58">
        <v>0.12456831838653716</v>
      </c>
      <c r="U58">
        <v>0.12502397494715739</v>
      </c>
      <c r="V58">
        <v>0.1235668635696541</v>
      </c>
      <c r="W58">
        <v>0.12317015442073005</v>
      </c>
      <c r="Y58">
        <v>1.8166262325788822</v>
      </c>
      <c r="Z58">
        <v>1.824418359893951</v>
      </c>
      <c r="AA58">
        <v>1.882976548281003</v>
      </c>
      <c r="AB58">
        <v>1.9191018600696272</v>
      </c>
      <c r="AC58">
        <v>1.9573161994096453</v>
      </c>
      <c r="AD58">
        <v>1.8537220796770406</v>
      </c>
      <c r="AE58">
        <v>1.8533326765107676</v>
      </c>
      <c r="AG58">
        <v>0.71313614368997269</v>
      </c>
      <c r="AH58">
        <v>0.7173402248559867</v>
      </c>
      <c r="AI58">
        <v>0.7457338234400811</v>
      </c>
      <c r="AJ58">
        <v>0.75439203037710501</v>
      </c>
      <c r="AK58">
        <v>0.77368439890307583</v>
      </c>
      <c r="AL58">
        <v>0.73106222169334323</v>
      </c>
      <c r="AM58">
        <v>0.7316742375959866</v>
      </c>
      <c r="AO58">
        <v>62</v>
      </c>
      <c r="AP58">
        <v>12.992443337404817</v>
      </c>
      <c r="AQ58">
        <v>5.5929885565098578</v>
      </c>
      <c r="AR58">
        <v>6.6423399668836254</v>
      </c>
      <c r="AS58">
        <v>754.0519731207246</v>
      </c>
      <c r="AT58">
        <v>26.71655839270311</v>
      </c>
      <c r="AU58">
        <v>11.752821592702958</v>
      </c>
      <c r="AV58">
        <v>13.518789966085606</v>
      </c>
      <c r="AW58">
        <v>5.6859588617348598</v>
      </c>
      <c r="AX58">
        <v>6.9887213866732569</v>
      </c>
      <c r="AY58">
        <v>791.80419301286724</v>
      </c>
      <c r="AZ58">
        <v>26.763915951310246</v>
      </c>
      <c r="BA58">
        <v>11.609884827186216</v>
      </c>
      <c r="BB58">
        <v>15.011959988509684</v>
      </c>
      <c r="BC58">
        <v>6.0142085540293433</v>
      </c>
      <c r="BD58">
        <v>7.6081105574200212</v>
      </c>
      <c r="BE58">
        <v>862.26395599767591</v>
      </c>
      <c r="BF58">
        <v>27.684568921791321</v>
      </c>
      <c r="BG58">
        <v>11.670732763170676</v>
      </c>
      <c r="BH58">
        <v>15.882011114797782</v>
      </c>
      <c r="BI58">
        <v>6.2748388003866546</v>
      </c>
      <c r="BJ58">
        <v>8.1732652068962022</v>
      </c>
      <c r="BK58">
        <v>925.30657126944413</v>
      </c>
      <c r="BL58">
        <v>27.885320326869419</v>
      </c>
      <c r="BM58">
        <v>11.681316144340393</v>
      </c>
      <c r="BN58">
        <v>16.256738281562694</v>
      </c>
      <c r="BO58">
        <v>6.3709080611389215</v>
      </c>
      <c r="BP58">
        <v>8.6807701833864606</v>
      </c>
      <c r="BQ58">
        <v>1034.5191254433707</v>
      </c>
      <c r="BR58">
        <v>26.362330042691941</v>
      </c>
      <c r="BS58">
        <v>11.024812925031242</v>
      </c>
      <c r="BU58">
        <v>62</v>
      </c>
      <c r="BV58">
        <v>12.570909395147133</v>
      </c>
      <c r="BW58">
        <v>4.7206431891307181</v>
      </c>
      <c r="BX58">
        <v>6.4526878565062802</v>
      </c>
      <c r="BY58">
        <v>763.15313376533493</v>
      </c>
      <c r="BZ58">
        <v>25.845585579184963</v>
      </c>
      <c r="CA58">
        <v>10.469580207202853</v>
      </c>
      <c r="CB58">
        <v>12.960719740728287</v>
      </c>
      <c r="CC58">
        <v>4.7660171204785913</v>
      </c>
      <c r="CD58">
        <v>6.7660389445157652</v>
      </c>
      <c r="CE58">
        <v>802.30293373669463</v>
      </c>
      <c r="CF58">
        <v>25.718104444954964</v>
      </c>
      <c r="CG58">
        <v>10.311334282146941</v>
      </c>
      <c r="CH58">
        <v>14.440798535823363</v>
      </c>
      <c r="CI58">
        <v>5.2828956047132936</v>
      </c>
      <c r="CJ58">
        <v>7.3504371539679791</v>
      </c>
      <c r="CK58">
        <v>871.26356628963435</v>
      </c>
      <c r="CL58">
        <v>26.743049253320972</v>
      </c>
      <c r="CM58">
        <v>10.710810842450591</v>
      </c>
      <c r="CN58">
        <v>15.290414044866317</v>
      </c>
      <c r="CO58">
        <v>5.4309084518504056</v>
      </c>
      <c r="CP58">
        <v>7.9258307722983377</v>
      </c>
      <c r="CQ58">
        <v>935.1051529635248</v>
      </c>
      <c r="CR58">
        <v>26.960468553270395</v>
      </c>
      <c r="CS58">
        <v>10.656414638842717</v>
      </c>
      <c r="CT58">
        <v>15.50492921258054</v>
      </c>
      <c r="CU58">
        <v>5.4219391778683539</v>
      </c>
      <c r="CV58">
        <v>8.279862181829893</v>
      </c>
      <c r="CW58">
        <v>1045.6170611493842</v>
      </c>
      <c r="CX58">
        <v>25.363516469672547</v>
      </c>
      <c r="CY58">
        <v>10.000229845729004</v>
      </c>
      <c r="DA58">
        <v>62</v>
      </c>
      <c r="DB58">
        <v>11.839391816510856</v>
      </c>
      <c r="DC58">
        <v>4.2351229773735399</v>
      </c>
      <c r="DD58">
        <v>6.3924242960974142</v>
      </c>
      <c r="DE58">
        <v>757.3818273762671</v>
      </c>
      <c r="DF58">
        <v>25.076680432000046</v>
      </c>
      <c r="DG58">
        <v>9.9083084137019224</v>
      </c>
      <c r="DH58">
        <v>12.199917445260468</v>
      </c>
      <c r="DI58">
        <v>4.4937574206850481</v>
      </c>
      <c r="DJ58">
        <v>6.6499435684158099</v>
      </c>
      <c r="DK58">
        <v>789.59799633675254</v>
      </c>
      <c r="DL58">
        <v>25.168387512461162</v>
      </c>
      <c r="DM58">
        <v>10.132439649834897</v>
      </c>
      <c r="DN58">
        <v>13.623713069706485</v>
      </c>
      <c r="DO58">
        <v>4.6425789746053692</v>
      </c>
      <c r="DP58">
        <v>7.2109132464421659</v>
      </c>
      <c r="DQ58">
        <v>862.33545593499025</v>
      </c>
      <c r="DR58">
        <v>26.072404706372012</v>
      </c>
      <c r="DS58">
        <v>10.079166480421865</v>
      </c>
      <c r="DT58">
        <v>14.128732558181524</v>
      </c>
      <c r="DU58">
        <v>4.6417663594039897</v>
      </c>
      <c r="DV58">
        <v>7.6686683646484246</v>
      </c>
      <c r="DW58">
        <v>919.52777900953993</v>
      </c>
      <c r="DX58">
        <v>26.153849979055295</v>
      </c>
      <c r="DY58">
        <v>9.9787373018082057</v>
      </c>
      <c r="DZ58">
        <v>14.292358108693062</v>
      </c>
      <c r="EA58">
        <v>4.7197462296354677</v>
      </c>
      <c r="EB58">
        <v>7.9914259449033427</v>
      </c>
      <c r="EC58">
        <v>1028.0494664396242</v>
      </c>
      <c r="ED58">
        <v>24.617448161510069</v>
      </c>
      <c r="EE58">
        <v>9.488082346521491</v>
      </c>
      <c r="EG58">
        <v>62</v>
      </c>
      <c r="EH58">
        <v>11.300274003632321</v>
      </c>
      <c r="EI58">
        <v>3.9104142817938867</v>
      </c>
      <c r="EJ58">
        <v>5.8736248348101165</v>
      </c>
      <c r="EK58">
        <v>753.4106366367979</v>
      </c>
      <c r="EL58">
        <v>24.493288705899111</v>
      </c>
      <c r="EM58">
        <v>9.5295496079632649</v>
      </c>
      <c r="EN58">
        <v>11.67825537514746</v>
      </c>
      <c r="EO58">
        <v>4.0439676799707813</v>
      </c>
      <c r="EP58">
        <v>6.1429616834217153</v>
      </c>
      <c r="EQ58">
        <v>786.03117774041573</v>
      </c>
      <c r="ER58">
        <v>24.618929666863611</v>
      </c>
      <c r="ES58">
        <v>9.6061893200018211</v>
      </c>
      <c r="ET58">
        <v>11.880415914948435</v>
      </c>
      <c r="EU58">
        <v>4.2017587862272068</v>
      </c>
      <c r="EV58">
        <v>6.6593681516052206</v>
      </c>
      <c r="EW58">
        <v>870.17963071091106</v>
      </c>
      <c r="EX58">
        <v>23.834000605241695</v>
      </c>
      <c r="EY58">
        <v>9.4817232474408026</v>
      </c>
      <c r="EZ58">
        <v>12.603341848601078</v>
      </c>
      <c r="FA58">
        <v>4.2509768655117925</v>
      </c>
      <c r="FB58">
        <v>7.077316377219053</v>
      </c>
      <c r="FC58">
        <v>923.7313360401248</v>
      </c>
      <c r="FD58">
        <v>24.38349766368713</v>
      </c>
      <c r="FE58">
        <v>9.5102724264163676</v>
      </c>
      <c r="FF58">
        <v>12.792032529689108</v>
      </c>
      <c r="FG58">
        <v>4.2909533902843267</v>
      </c>
      <c r="FH58">
        <v>7.3790146930668499</v>
      </c>
      <c r="FI58">
        <v>1033.7903989345687</v>
      </c>
      <c r="FJ58">
        <v>23.029454416560537</v>
      </c>
      <c r="FK58">
        <v>9.0206149758561693</v>
      </c>
    </row>
    <row r="59" spans="2:167" x14ac:dyDescent="0.25">
      <c r="B59">
        <v>767.39416255951369</v>
      </c>
      <c r="C59">
        <v>1.3031112937641705</v>
      </c>
      <c r="D59">
        <v>823.54690339302158</v>
      </c>
      <c r="E59">
        <v>1.2142599236060385</v>
      </c>
      <c r="F59">
        <v>951.2929745011852</v>
      </c>
      <c r="G59">
        <v>1.0512008674555329</v>
      </c>
      <c r="H59">
        <v>1066.029229600246</v>
      </c>
      <c r="I59">
        <v>0.93806058242417378</v>
      </c>
      <c r="J59">
        <v>1184.1235480172493</v>
      </c>
      <c r="K59">
        <v>0.84450647204377094</v>
      </c>
      <c r="L59">
        <v>891.98580267886928</v>
      </c>
      <c r="M59">
        <v>1.1210940768302988</v>
      </c>
      <c r="N59">
        <v>882.494960033187</v>
      </c>
      <c r="O59">
        <v>1.1331509473576984</v>
      </c>
      <c r="Q59">
        <v>0.12457221149088833</v>
      </c>
      <c r="R59">
        <v>0.12516830960583097</v>
      </c>
      <c r="S59">
        <v>0.12544826500754142</v>
      </c>
      <c r="T59">
        <v>0.12647504086292241</v>
      </c>
      <c r="U59">
        <v>0.12693571984650887</v>
      </c>
      <c r="V59">
        <v>0.12546297501025716</v>
      </c>
      <c r="W59">
        <v>0.1250635024442506</v>
      </c>
      <c r="Y59">
        <v>1.8329409362026692</v>
      </c>
      <c r="Z59">
        <v>1.8413684929139837</v>
      </c>
      <c r="AA59">
        <v>1.9003067844622556</v>
      </c>
      <c r="AB59">
        <v>1.9381013223145285</v>
      </c>
      <c r="AC59">
        <v>1.9768842488715006</v>
      </c>
      <c r="AD59">
        <v>1.8707726777042548</v>
      </c>
      <c r="AE59">
        <v>1.8705180281084066</v>
      </c>
      <c r="AG59">
        <v>0.7191135827407753</v>
      </c>
      <c r="AH59">
        <v>0.72359166740488357</v>
      </c>
      <c r="AI59">
        <v>0.75218647569460984</v>
      </c>
      <c r="AJ59">
        <v>0.76145672224179806</v>
      </c>
      <c r="AK59">
        <v>0.78102456616851668</v>
      </c>
      <c r="AL59">
        <v>0.73736922663732296</v>
      </c>
      <c r="AM59">
        <v>0.73805272567161551</v>
      </c>
      <c r="AO59">
        <v>63</v>
      </c>
      <c r="AP59">
        <v>13.128664406924546</v>
      </c>
      <c r="AQ59">
        <v>5.6556152967939424</v>
      </c>
      <c r="AR59">
        <v>6.6973604582556741</v>
      </c>
      <c r="AS59">
        <v>761.2323177807084</v>
      </c>
      <c r="AT59">
        <v>26.666229201961343</v>
      </c>
      <c r="AU59">
        <v>11.73462011445716</v>
      </c>
      <c r="AV59">
        <v>13.664573469391197</v>
      </c>
      <c r="AW59">
        <v>5.7508961439475756</v>
      </c>
      <c r="AX59">
        <v>7.0480857876677812</v>
      </c>
      <c r="AY59">
        <v>799.55823718974989</v>
      </c>
      <c r="AZ59">
        <v>26.714496507183778</v>
      </c>
      <c r="BA59">
        <v>11.591217204467423</v>
      </c>
      <c r="BB59">
        <v>15.174748970979254</v>
      </c>
      <c r="BC59">
        <v>6.0836809685159201</v>
      </c>
      <c r="BD59">
        <v>7.6728847457978482</v>
      </c>
      <c r="BE59">
        <v>870.67418032410103</v>
      </c>
      <c r="BF59">
        <v>27.637928249762552</v>
      </c>
      <c r="BG59">
        <v>11.653242792092909</v>
      </c>
      <c r="BH59">
        <v>16.059726600909567</v>
      </c>
      <c r="BI59">
        <v>6.3499475909261784</v>
      </c>
      <c r="BJ59">
        <v>8.2449729827721132</v>
      </c>
      <c r="BK59">
        <v>934.57791739736672</v>
      </c>
      <c r="BL59">
        <v>27.842198320667897</v>
      </c>
      <c r="BM59">
        <v>11.665614191158449</v>
      </c>
      <c r="BN59">
        <v>16.43886317462929</v>
      </c>
      <c r="BO59">
        <v>6.447156158294975</v>
      </c>
      <c r="BP59">
        <v>8.7573880103947186</v>
      </c>
      <c r="BQ59">
        <v>1046.218904270813</v>
      </c>
      <c r="BR59">
        <v>26.288297310467307</v>
      </c>
      <c r="BS59">
        <v>10.995744507331946</v>
      </c>
      <c r="BU59">
        <v>63</v>
      </c>
      <c r="BV59">
        <v>12.703037305603802</v>
      </c>
      <c r="BW59">
        <v>4.7724613416786275</v>
      </c>
      <c r="BX59">
        <v>6.5062510098852266</v>
      </c>
      <c r="BY59">
        <v>770.35376026523568</v>
      </c>
      <c r="BZ59">
        <v>25.797976703219256</v>
      </c>
      <c r="CA59">
        <v>10.44924881020574</v>
      </c>
      <c r="CB59">
        <v>13.100727324219614</v>
      </c>
      <c r="CC59">
        <v>4.819879064073131</v>
      </c>
      <c r="CD59">
        <v>6.8235982274319893</v>
      </c>
      <c r="CE59">
        <v>810.14469333485647</v>
      </c>
      <c r="CF59">
        <v>25.669426413101782</v>
      </c>
      <c r="CG59">
        <v>10.290552025583867</v>
      </c>
      <c r="CH59">
        <v>14.597671159356585</v>
      </c>
      <c r="CI59">
        <v>5.3436925332369265</v>
      </c>
      <c r="CJ59">
        <v>7.4130925369777918</v>
      </c>
      <c r="CK59">
        <v>879.6710220360759</v>
      </c>
      <c r="CL59">
        <v>26.699245655192748</v>
      </c>
      <c r="CM59">
        <v>10.692848741422431</v>
      </c>
      <c r="CN59">
        <v>15.461786849556736</v>
      </c>
      <c r="CO59">
        <v>5.4956621750897172</v>
      </c>
      <c r="CP59">
        <v>7.9954734972235242</v>
      </c>
      <c r="CQ59">
        <v>944.36257805060256</v>
      </c>
      <c r="CR59">
        <v>26.920554204318741</v>
      </c>
      <c r="CS59">
        <v>10.640129367302345</v>
      </c>
      <c r="CT59">
        <v>15.678831918352087</v>
      </c>
      <c r="CU59">
        <v>5.4865336624946037</v>
      </c>
      <c r="CV59">
        <v>8.3529082956737302</v>
      </c>
      <c r="CW59">
        <v>1057.4210672624627</v>
      </c>
      <c r="CX59">
        <v>25.291043633413167</v>
      </c>
      <c r="CY59">
        <v>9.9707993350252639</v>
      </c>
      <c r="DA59">
        <v>63</v>
      </c>
      <c r="DB59">
        <v>11.941032746189579</v>
      </c>
      <c r="DC59">
        <v>4.282553057446715</v>
      </c>
      <c r="DD59">
        <v>6.44015359786047</v>
      </c>
      <c r="DE59">
        <v>764.48515271986582</v>
      </c>
      <c r="DF59">
        <v>24.99926091847702</v>
      </c>
      <c r="DG59">
        <v>9.8886287088262925</v>
      </c>
      <c r="DH59">
        <v>12.30946429017219</v>
      </c>
      <c r="DI59">
        <v>4.5466385871796842</v>
      </c>
      <c r="DJ59">
        <v>6.7025246191133201</v>
      </c>
      <c r="DK59">
        <v>797.23051569962468</v>
      </c>
      <c r="DL59">
        <v>25.092725581284476</v>
      </c>
      <c r="DM59">
        <v>10.114509516790413</v>
      </c>
      <c r="DN59">
        <v>13.749461388121636</v>
      </c>
      <c r="DO59">
        <v>4.6979200297291346</v>
      </c>
      <c r="DP59">
        <v>7.2682977550845864</v>
      </c>
      <c r="DQ59">
        <v>870.59487315770411</v>
      </c>
      <c r="DR59">
        <v>26.003303763724194</v>
      </c>
      <c r="DS59">
        <v>10.062564055266998</v>
      </c>
      <c r="DT59">
        <v>14.270309694584819</v>
      </c>
      <c r="DU59">
        <v>4.7021884357895622</v>
      </c>
      <c r="DV59">
        <v>7.7356587554680436</v>
      </c>
      <c r="DW59">
        <v>928.88481483167652</v>
      </c>
      <c r="DX59">
        <v>26.086427971546154</v>
      </c>
      <c r="DY59">
        <v>9.9632011558660842</v>
      </c>
      <c r="DZ59">
        <v>14.436574889906579</v>
      </c>
      <c r="EA59">
        <v>4.7816936687316325</v>
      </c>
      <c r="EB59">
        <v>8.0622815797825922</v>
      </c>
      <c r="EC59">
        <v>1039.9619638303432</v>
      </c>
      <c r="ED59">
        <v>24.52111347289614</v>
      </c>
      <c r="EE59">
        <v>9.4604356916118171</v>
      </c>
      <c r="EG59">
        <v>63</v>
      </c>
      <c r="EH59">
        <v>11.391465333499657</v>
      </c>
      <c r="EI59">
        <v>3.9543488789952392</v>
      </c>
      <c r="EJ59">
        <v>5.9168827397269661</v>
      </c>
      <c r="EK59">
        <v>760.38672501869144</v>
      </c>
      <c r="EL59">
        <v>24.411257821471665</v>
      </c>
      <c r="EM59">
        <v>9.5102997097008508</v>
      </c>
      <c r="EN59">
        <v>11.778428748586061</v>
      </c>
      <c r="EO59">
        <v>4.0915058956947234</v>
      </c>
      <c r="EP59">
        <v>6.190931604126316</v>
      </c>
      <c r="EQ59">
        <v>793.59960959258513</v>
      </c>
      <c r="ER59">
        <v>24.53838280475939</v>
      </c>
      <c r="ES59">
        <v>9.5872816148947226</v>
      </c>
      <c r="ET59">
        <v>11.996638160400076</v>
      </c>
      <c r="EU59">
        <v>4.2518448465050485</v>
      </c>
      <c r="EV59">
        <v>6.7118392348001077</v>
      </c>
      <c r="EW59">
        <v>878.94812031093556</v>
      </c>
      <c r="EX59">
        <v>23.761948210038511</v>
      </c>
      <c r="EY59">
        <v>9.4594223504011676</v>
      </c>
      <c r="EZ59">
        <v>12.729530460927009</v>
      </c>
      <c r="FA59">
        <v>4.3063900680525977</v>
      </c>
      <c r="FB59">
        <v>7.1385391942841672</v>
      </c>
      <c r="FC59">
        <v>933.46923578419933</v>
      </c>
      <c r="FD59">
        <v>24.307718682608336</v>
      </c>
      <c r="FE59">
        <v>9.49026229623753</v>
      </c>
      <c r="FF59">
        <v>12.919908506893691</v>
      </c>
      <c r="FG59">
        <v>4.3473023356450575</v>
      </c>
      <c r="FH59">
        <v>7.443849433069393</v>
      </c>
      <c r="FI59">
        <v>1046.9040765636457</v>
      </c>
      <c r="FJ59">
        <v>22.909796108821205</v>
      </c>
      <c r="FK59">
        <v>8.9827732625903138</v>
      </c>
    </row>
    <row r="60" spans="2:167" x14ac:dyDescent="0.25">
      <c r="B60">
        <v>769.03601569949763</v>
      </c>
      <c r="C60">
        <v>1.3003292168188285</v>
      </c>
      <c r="D60">
        <v>825.69044067023356</v>
      </c>
      <c r="E60">
        <v>1.211107638824394</v>
      </c>
      <c r="F60">
        <v>954.11825103959302</v>
      </c>
      <c r="G60">
        <v>1.0480881158183641</v>
      </c>
      <c r="H60">
        <v>1069.9834234569219</v>
      </c>
      <c r="I60">
        <v>0.93459391807134895</v>
      </c>
      <c r="J60">
        <v>1188.9071193843106</v>
      </c>
      <c r="K60">
        <v>0.84110859771607871</v>
      </c>
      <c r="L60">
        <v>894.64998831652679</v>
      </c>
      <c r="M60">
        <v>1.1177555614589696</v>
      </c>
      <c r="N60">
        <v>884.7945143198051</v>
      </c>
      <c r="O60">
        <v>1.1302059221838194</v>
      </c>
      <c r="Q60">
        <v>0.12645923642459683</v>
      </c>
      <c r="R60">
        <v>0.12706116957403771</v>
      </c>
      <c r="S60">
        <v>0.12734056666674476</v>
      </c>
      <c r="T60">
        <v>0.1283787025131293</v>
      </c>
      <c r="U60">
        <v>0.12884408421071192</v>
      </c>
      <c r="V60">
        <v>0.12735656162317732</v>
      </c>
      <c r="W60">
        <v>0.12695474187455075</v>
      </c>
      <c r="Y60">
        <v>1.8488447232764003</v>
      </c>
      <c r="Z60">
        <v>1.8579348886364002</v>
      </c>
      <c r="AA60">
        <v>1.9171999973545037</v>
      </c>
      <c r="AB60">
        <v>1.9567034243302579</v>
      </c>
      <c r="AC60">
        <v>1.9960541878916076</v>
      </c>
      <c r="AD60">
        <v>1.8874199280984194</v>
      </c>
      <c r="AE60">
        <v>1.8872889295366044</v>
      </c>
      <c r="AG60">
        <v>0.72497161923298303</v>
      </c>
      <c r="AH60">
        <v>0.72973396339815821</v>
      </c>
      <c r="AI60">
        <v>0.7585066996458999</v>
      </c>
      <c r="AJ60">
        <v>0.76840730601697038</v>
      </c>
      <c r="AK60">
        <v>0.78824875608361111</v>
      </c>
      <c r="AL60">
        <v>0.74355907285496481</v>
      </c>
      <c r="AM60">
        <v>0.74430811699720179</v>
      </c>
      <c r="AO60">
        <v>64</v>
      </c>
      <c r="AP60">
        <v>13.262481531722063</v>
      </c>
      <c r="AQ60">
        <v>5.7171841923915458</v>
      </c>
      <c r="AR60">
        <v>6.7509756343000609</v>
      </c>
      <c r="AS60">
        <v>768.24266872279941</v>
      </c>
      <c r="AT60">
        <v>26.617050698854676</v>
      </c>
      <c r="AU60">
        <v>11.716808846872521</v>
      </c>
      <c r="AV60">
        <v>13.807841470935028</v>
      </c>
      <c r="AW60">
        <v>5.8147994621804662</v>
      </c>
      <c r="AX60">
        <v>7.1058915906551654</v>
      </c>
      <c r="AY60">
        <v>807.12982634616765</v>
      </c>
      <c r="AZ60">
        <v>26.666209382933534</v>
      </c>
      <c r="BA60">
        <v>11.572996293977248</v>
      </c>
      <c r="BB60">
        <v>15.334287699791567</v>
      </c>
      <c r="BC60">
        <v>6.1519927772677825</v>
      </c>
      <c r="BD60">
        <v>7.7357114619850851</v>
      </c>
      <c r="BE60">
        <v>878.87066727670663</v>
      </c>
      <c r="BF60">
        <v>27.591737374335089</v>
      </c>
      <c r="BG60">
        <v>11.636017845516056</v>
      </c>
      <c r="BH60">
        <v>16.233892192090241</v>
      </c>
      <c r="BI60">
        <v>6.4238494440789449</v>
      </c>
      <c r="BJ60">
        <v>8.3144344187143133</v>
      </c>
      <c r="BK60">
        <v>943.60889025646838</v>
      </c>
      <c r="BL60">
        <v>27.799459682646738</v>
      </c>
      <c r="BM60">
        <v>11.650180246779815</v>
      </c>
      <c r="BN60">
        <v>16.617351639866314</v>
      </c>
      <c r="BO60">
        <v>6.522188613486863</v>
      </c>
      <c r="BP60">
        <v>8.8315284068506248</v>
      </c>
      <c r="BQ60">
        <v>1057.6469460664266</v>
      </c>
      <c r="BR60">
        <v>26.215269534425452</v>
      </c>
      <c r="BS60">
        <v>10.967191377007055</v>
      </c>
      <c r="BU60">
        <v>64</v>
      </c>
      <c r="BV60">
        <v>12.832708064784654</v>
      </c>
      <c r="BW60">
        <v>4.8235368373006997</v>
      </c>
      <c r="BX60">
        <v>6.5584191674810857</v>
      </c>
      <c r="BY60">
        <v>777.37530312578247</v>
      </c>
      <c r="BZ60">
        <v>25.751500613651054</v>
      </c>
      <c r="CA60">
        <v>10.429589298431242</v>
      </c>
      <c r="CB60">
        <v>13.238222866328721</v>
      </c>
      <c r="CC60">
        <v>4.8730350354656178</v>
      </c>
      <c r="CD60">
        <v>6.8796258267761567</v>
      </c>
      <c r="CE60">
        <v>817.79551781331281</v>
      </c>
      <c r="CF60">
        <v>25.621899224855699</v>
      </c>
      <c r="CG60">
        <v>10.270472116069014</v>
      </c>
      <c r="CH60">
        <v>14.751304838917619</v>
      </c>
      <c r="CI60">
        <v>5.4035786041414564</v>
      </c>
      <c r="CJ60">
        <v>7.47384787279249</v>
      </c>
      <c r="CK60">
        <v>887.85651392227589</v>
      </c>
      <c r="CL60">
        <v>26.655867705559661</v>
      </c>
      <c r="CM60">
        <v>10.675306703934108</v>
      </c>
      <c r="CN60">
        <v>15.629626356321179</v>
      </c>
      <c r="CO60">
        <v>5.5594979747736089</v>
      </c>
      <c r="CP60">
        <v>8.0629115224876884</v>
      </c>
      <c r="CQ60">
        <v>953.37064767221921</v>
      </c>
      <c r="CR60">
        <v>26.880994844634376</v>
      </c>
      <c r="CS60">
        <v>10.624264769822057</v>
      </c>
      <c r="CT60">
        <v>15.84918271877001</v>
      </c>
      <c r="CU60">
        <v>5.5502403757079195</v>
      </c>
      <c r="CV60">
        <v>8.4235996294182982</v>
      </c>
      <c r="CW60">
        <v>1068.9450821786822</v>
      </c>
      <c r="CX60">
        <v>25.219565805337343</v>
      </c>
      <c r="CY60">
        <v>9.9420151757264499</v>
      </c>
      <c r="DA60">
        <v>64</v>
      </c>
      <c r="DB60">
        <v>12.039304993097129</v>
      </c>
      <c r="DC60">
        <v>4.329346748679562</v>
      </c>
      <c r="DD60">
        <v>6.4862239543299873</v>
      </c>
      <c r="DE60">
        <v>771.42460789901804</v>
      </c>
      <c r="DF60">
        <v>24.921654464916774</v>
      </c>
      <c r="DG60">
        <v>9.8694220741282077</v>
      </c>
      <c r="DH60">
        <v>12.415681264198012</v>
      </c>
      <c r="DI60">
        <v>4.5988925766315996</v>
      </c>
      <c r="DJ60">
        <v>6.7534282554849225</v>
      </c>
      <c r="DK60">
        <v>804.69551459026161</v>
      </c>
      <c r="DL60">
        <v>25.016832300936873</v>
      </c>
      <c r="DM60">
        <v>10.096991291980739</v>
      </c>
      <c r="DN60">
        <v>13.871125958703136</v>
      </c>
      <c r="DO60">
        <v>4.7525618755856494</v>
      </c>
      <c r="DP60">
        <v>7.3236363834469982</v>
      </c>
      <c r="DQ60">
        <v>878.64904768723352</v>
      </c>
      <c r="DR60">
        <v>25.933456544902789</v>
      </c>
      <c r="DS60">
        <v>10.04624530110725</v>
      </c>
      <c r="DT60">
        <v>14.408034442772557</v>
      </c>
      <c r="DU60">
        <v>4.7621285787665615</v>
      </c>
      <c r="DV60">
        <v>7.8005941905726637</v>
      </c>
      <c r="DW60">
        <v>938.03356901656753</v>
      </c>
      <c r="DX60">
        <v>26.018215507085952</v>
      </c>
      <c r="DY60">
        <v>9.9479305398659292</v>
      </c>
      <c r="DZ60">
        <v>14.576975821422996</v>
      </c>
      <c r="EA60">
        <v>4.8431773998043353</v>
      </c>
      <c r="EB60">
        <v>8.1309917022463143</v>
      </c>
      <c r="EC60">
        <v>1051.6406377613316</v>
      </c>
      <c r="ED60">
        <v>24.424811121438829</v>
      </c>
      <c r="EE60">
        <v>9.433265411132254</v>
      </c>
      <c r="EG60">
        <v>64</v>
      </c>
      <c r="EH60">
        <v>11.47924829184093</v>
      </c>
      <c r="EI60">
        <v>3.9976803125473142</v>
      </c>
      <c r="EJ60">
        <v>5.9586792383353462</v>
      </c>
      <c r="EK60">
        <v>767.20304731418787</v>
      </c>
      <c r="EL60">
        <v>24.328788692745146</v>
      </c>
      <c r="EM60">
        <v>9.491422959129526</v>
      </c>
      <c r="EN60">
        <v>11.875190720041166</v>
      </c>
      <c r="EO60">
        <v>4.1384841051883896</v>
      </c>
      <c r="EP60">
        <v>6.2374068211623239</v>
      </c>
      <c r="EQ60">
        <v>801.00575133913844</v>
      </c>
      <c r="ER60">
        <v>24.457305287648822</v>
      </c>
      <c r="ES60">
        <v>9.5687142311485118</v>
      </c>
      <c r="ET60">
        <v>12.110128729967812</v>
      </c>
      <c r="EU60">
        <v>4.3012981198440281</v>
      </c>
      <c r="EV60">
        <v>6.7624765477333186</v>
      </c>
      <c r="EW60">
        <v>887.49931060957363</v>
      </c>
      <c r="EX60">
        <v>23.690620844810113</v>
      </c>
      <c r="EY60">
        <v>9.4375961882783894</v>
      </c>
      <c r="EZ60">
        <v>12.852533414759932</v>
      </c>
      <c r="FA60">
        <v>4.3613525176701353</v>
      </c>
      <c r="FB60">
        <v>7.1979215895653494</v>
      </c>
      <c r="FC60">
        <v>942.99221650080779</v>
      </c>
      <c r="FD60">
        <v>24.231863342767937</v>
      </c>
      <c r="FE60">
        <v>9.4706155271168875</v>
      </c>
      <c r="FF60">
        <v>13.04448757331382</v>
      </c>
      <c r="FG60">
        <v>4.4032261259350598</v>
      </c>
      <c r="FH60">
        <v>7.5067584632526048</v>
      </c>
      <c r="FI60">
        <v>1059.8003549094292</v>
      </c>
      <c r="FJ60">
        <v>22.79074127966771</v>
      </c>
      <c r="FK60">
        <v>8.9455093455558981</v>
      </c>
    </row>
    <row r="61" spans="2:167" x14ac:dyDescent="0.25">
      <c r="B61">
        <v>770.46814322084117</v>
      </c>
      <c r="C61">
        <v>1.2979121963688609</v>
      </c>
      <c r="D61">
        <v>827.5982435357929</v>
      </c>
      <c r="E61">
        <v>1.2083157592597655</v>
      </c>
      <c r="F61">
        <v>956.6184811549025</v>
      </c>
      <c r="G61">
        <v>1.045348819513422</v>
      </c>
      <c r="H61">
        <v>1073.5553510038173</v>
      </c>
      <c r="I61">
        <v>0.93148434225115628</v>
      </c>
      <c r="J61">
        <v>1193.2455755316457</v>
      </c>
      <c r="K61">
        <v>0.83805045709426085</v>
      </c>
      <c r="L61">
        <v>897.01759801805588</v>
      </c>
      <c r="M61">
        <v>1.1148053306975045</v>
      </c>
      <c r="N61">
        <v>886.83107106597595</v>
      </c>
      <c r="O61">
        <v>1.1276104690355451</v>
      </c>
      <c r="Q61">
        <v>0.12834446415959605</v>
      </c>
      <c r="R61">
        <v>0.12895200325458081</v>
      </c>
      <c r="S61">
        <v>0.12923024825925378</v>
      </c>
      <c r="T61">
        <v>0.13027930180420327</v>
      </c>
      <c r="U61">
        <v>0.1307490658001382</v>
      </c>
      <c r="V61">
        <v>0.12924762250359964</v>
      </c>
      <c r="W61">
        <v>0.1288438721781173</v>
      </c>
      <c r="Y61">
        <v>1.8643375934003197</v>
      </c>
      <c r="Z61">
        <v>1.8741175461963617</v>
      </c>
      <c r="AA61">
        <v>1.9336561855348984</v>
      </c>
      <c r="AB61">
        <v>1.9749081631687198</v>
      </c>
      <c r="AC61">
        <v>2.0148260114754821</v>
      </c>
      <c r="AD61">
        <v>1.9036638289002294</v>
      </c>
      <c r="AE61">
        <v>1.9036453797998865</v>
      </c>
      <c r="AG61">
        <v>0.73071025308241566</v>
      </c>
      <c r="AH61">
        <v>0.73576711268040274</v>
      </c>
      <c r="AI61">
        <v>0.76469449493009578</v>
      </c>
      <c r="AJ61">
        <v>0.77524378114625458</v>
      </c>
      <c r="AK61">
        <v>0.79535696753554019</v>
      </c>
      <c r="AL61">
        <v>0.74963175986886177</v>
      </c>
      <c r="AM61">
        <v>0.75044041133175388</v>
      </c>
      <c r="AO61">
        <v>65</v>
      </c>
      <c r="AP61">
        <v>13.393894706355947</v>
      </c>
      <c r="AQ61">
        <v>5.7776945674841897</v>
      </c>
      <c r="AR61">
        <v>6.8031854914793906</v>
      </c>
      <c r="AS61">
        <v>775.08117445369351</v>
      </c>
      <c r="AT61">
        <v>26.569022336436326</v>
      </c>
      <c r="AU61">
        <v>11.69939236300023</v>
      </c>
      <c r="AV61">
        <v>13.948593959823688</v>
      </c>
      <c r="AW61">
        <v>5.8776685909873461</v>
      </c>
      <c r="AX61">
        <v>7.1621387887814487</v>
      </c>
      <c r="AY61">
        <v>814.51698702703459</v>
      </c>
      <c r="AZ61">
        <v>26.61905435092234</v>
      </c>
      <c r="BA61">
        <v>11.555224801830386</v>
      </c>
      <c r="BB61">
        <v>15.490576148785014</v>
      </c>
      <c r="BC61">
        <v>6.2191439715428976</v>
      </c>
      <c r="BD61">
        <v>7.7965906933963067</v>
      </c>
      <c r="BE61">
        <v>886.85190599611542</v>
      </c>
      <c r="BF61">
        <v>27.545996204696014</v>
      </c>
      <c r="BG61">
        <v>11.619057393512604</v>
      </c>
      <c r="BH61">
        <v>16.404507836700816</v>
      </c>
      <c r="BI61">
        <v>6.4965443426655103</v>
      </c>
      <c r="BJ61">
        <v>8.3816494909866961</v>
      </c>
      <c r="BK61">
        <v>952.39794237722606</v>
      </c>
      <c r="BL61">
        <v>27.757104315550677</v>
      </c>
      <c r="BM61">
        <v>11.635013029814257</v>
      </c>
      <c r="BN61">
        <v>16.792203590425853</v>
      </c>
      <c r="BO61">
        <v>6.5960053975456185</v>
      </c>
      <c r="BP61">
        <v>8.9031913321668075</v>
      </c>
      <c r="BQ61">
        <v>1068.7996776860109</v>
      </c>
      <c r="BR61">
        <v>26.143243520328085</v>
      </c>
      <c r="BS61">
        <v>10.939150592903047</v>
      </c>
      <c r="BU61">
        <v>65</v>
      </c>
      <c r="BV61">
        <v>12.959921666863023</v>
      </c>
      <c r="BW61">
        <v>4.8738696747219965</v>
      </c>
      <c r="BX61">
        <v>6.6091923258314269</v>
      </c>
      <c r="BY61">
        <v>784.21585942470438</v>
      </c>
      <c r="BZ61">
        <v>25.706156990891774</v>
      </c>
      <c r="CA61">
        <v>10.410595223534203</v>
      </c>
      <c r="CB61">
        <v>13.37320635593991</v>
      </c>
      <c r="CC61">
        <v>4.9254850321758967</v>
      </c>
      <c r="CD61">
        <v>6.9341217358907397</v>
      </c>
      <c r="CE61">
        <v>825.2533039799157</v>
      </c>
      <c r="CF61">
        <v>25.575522378098864</v>
      </c>
      <c r="CG61">
        <v>10.251086897073952</v>
      </c>
      <c r="CH61">
        <v>14.90169954822187</v>
      </c>
      <c r="CI61">
        <v>5.4625538109468232</v>
      </c>
      <c r="CJ61">
        <v>7.5327031493037149</v>
      </c>
      <c r="CK61">
        <v>895.81852693945621</v>
      </c>
      <c r="CL61">
        <v>26.612915360863624</v>
      </c>
      <c r="CM61">
        <v>10.658177686209116</v>
      </c>
      <c r="CN61">
        <v>15.793932513572599</v>
      </c>
      <c r="CO61">
        <v>5.6224158382851375</v>
      </c>
      <c r="CP61">
        <v>8.1281448252209838</v>
      </c>
      <c r="CQ61">
        <v>962.12783612759961</v>
      </c>
      <c r="CR61">
        <v>26.841790397931348</v>
      </c>
      <c r="CS61">
        <v>10.608812656152336</v>
      </c>
      <c r="CT61">
        <v>16.015981529080406</v>
      </c>
      <c r="CU61">
        <v>5.6130592963154511</v>
      </c>
      <c r="CV61">
        <v>8.4919361442707508</v>
      </c>
      <c r="CW61">
        <v>1080.1853903424878</v>
      </c>
      <c r="CX61">
        <v>25.149079435553972</v>
      </c>
      <c r="CY61">
        <v>9.9138672142454762</v>
      </c>
      <c r="DA61">
        <v>65</v>
      </c>
      <c r="DB61">
        <v>12.134208939505593</v>
      </c>
      <c r="DC61">
        <v>4.3755040496289697</v>
      </c>
      <c r="DD61">
        <v>6.5306357839304354</v>
      </c>
      <c r="DE61">
        <v>778.19881907703859</v>
      </c>
      <c r="DF61">
        <v>24.84386097204704</v>
      </c>
      <c r="DG61">
        <v>9.8506809151231689</v>
      </c>
      <c r="DH61">
        <v>12.518568364825104</v>
      </c>
      <c r="DI61">
        <v>4.6505193763879111</v>
      </c>
      <c r="DJ61">
        <v>6.8026544768668682</v>
      </c>
      <c r="DK61">
        <v>811.99164366051446</v>
      </c>
      <c r="DL61">
        <v>24.940707839218309</v>
      </c>
      <c r="DM61">
        <v>10.07987919495079</v>
      </c>
      <c r="DN61">
        <v>13.988706778743843</v>
      </c>
      <c r="DO61">
        <v>4.8065045072476407</v>
      </c>
      <c r="DP61">
        <v>7.3769295067638696</v>
      </c>
      <c r="DQ61">
        <v>886.49698171609157</v>
      </c>
      <c r="DR61">
        <v>25.862862863077336</v>
      </c>
      <c r="DS61">
        <v>10.030201923312708</v>
      </c>
      <c r="DT61">
        <v>14.541906781709603</v>
      </c>
      <c r="DU61">
        <v>4.8215867819600806</v>
      </c>
      <c r="DV61">
        <v>7.8634746627278682</v>
      </c>
      <c r="DW61">
        <v>946.97318582205446</v>
      </c>
      <c r="DX61">
        <v>25.949212025636825</v>
      </c>
      <c r="DY61">
        <v>9.9329157881661505</v>
      </c>
      <c r="DZ61">
        <v>14.713560865394417</v>
      </c>
      <c r="EA61">
        <v>4.9041974116011096</v>
      </c>
      <c r="EB61">
        <v>8.1975562970070435</v>
      </c>
      <c r="EC61">
        <v>1063.0825362133967</v>
      </c>
      <c r="ED61">
        <v>24.328541427540188</v>
      </c>
      <c r="EE61">
        <v>9.4065628032306154</v>
      </c>
      <c r="EG61">
        <v>65</v>
      </c>
      <c r="EH61">
        <v>11.563624202494395</v>
      </c>
      <c r="EI61">
        <v>4.0404085810683039</v>
      </c>
      <c r="EJ61">
        <v>5.9990146323153022</v>
      </c>
      <c r="EK61">
        <v>773.85837761449204</v>
      </c>
      <c r="EL61">
        <v>24.245881514636672</v>
      </c>
      <c r="EM61">
        <v>9.472912613921185</v>
      </c>
      <c r="EN61">
        <v>11.968541444599824</v>
      </c>
      <c r="EO61">
        <v>4.1849023061594259</v>
      </c>
      <c r="EP61">
        <v>6.282387333766934</v>
      </c>
      <c r="EQ61">
        <v>808.2484475183519</v>
      </c>
      <c r="ER61">
        <v>24.375697216233664</v>
      </c>
      <c r="ES61">
        <v>9.5504799655105561</v>
      </c>
      <c r="ET61">
        <v>12.220887606132059</v>
      </c>
      <c r="EU61">
        <v>4.3501186017849944</v>
      </c>
      <c r="EV61">
        <v>6.8112803449936683</v>
      </c>
      <c r="EW61">
        <v>895.83039990398458</v>
      </c>
      <c r="EX61">
        <v>23.620018584222365</v>
      </c>
      <c r="EY61">
        <v>9.4162442204027794</v>
      </c>
      <c r="EZ61">
        <v>12.972350688090534</v>
      </c>
      <c r="FA61">
        <v>4.4158642083903068</v>
      </c>
      <c r="FB61">
        <v>7.255463556188233</v>
      </c>
      <c r="FC61">
        <v>952.29826782327609</v>
      </c>
      <c r="FD61">
        <v>24.155931670915457</v>
      </c>
      <c r="FE61">
        <v>9.45132700432716</v>
      </c>
      <c r="FF61">
        <v>13.165769695645299</v>
      </c>
      <c r="FG61">
        <v>4.4587247508506156</v>
      </c>
      <c r="FH61">
        <v>7.5677417692983067</v>
      </c>
      <c r="FI61">
        <v>1072.4748127565008</v>
      </c>
      <c r="FJ61">
        <v>22.672286625470317</v>
      </c>
      <c r="FK61">
        <v>8.9088152630842234</v>
      </c>
    </row>
    <row r="62" spans="2:167" x14ac:dyDescent="0.25">
      <c r="B62">
        <v>771.69051426214719</v>
      </c>
      <c r="C62">
        <v>1.2958562811364231</v>
      </c>
      <c r="D62">
        <v>829.27025912269619</v>
      </c>
      <c r="E62">
        <v>1.2058794934451438</v>
      </c>
      <c r="F62">
        <v>958.79357068369688</v>
      </c>
      <c r="G62">
        <v>1.0429773734161771</v>
      </c>
      <c r="H62">
        <v>1076.7448393440013</v>
      </c>
      <c r="I62">
        <v>0.92872513845456883</v>
      </c>
      <c r="J62">
        <v>1197.1386490999703</v>
      </c>
      <c r="K62">
        <v>0.83532513193172531</v>
      </c>
      <c r="L62">
        <v>899.08853734966578</v>
      </c>
      <c r="M62">
        <v>1.1122375143918541</v>
      </c>
      <c r="N62">
        <v>888.60457134681019</v>
      </c>
      <c r="O62">
        <v>1.1253599545232518</v>
      </c>
      <c r="Q62">
        <v>0.13022789443142591</v>
      </c>
      <c r="R62">
        <v>0.13084081019303459</v>
      </c>
      <c r="S62">
        <v>0.13111730902605553</v>
      </c>
      <c r="T62">
        <v>0.13217683735105629</v>
      </c>
      <c r="U62">
        <v>0.13265066258291777</v>
      </c>
      <c r="V62">
        <v>0.13113615684729671</v>
      </c>
      <c r="W62">
        <v>0.13073089288239814</v>
      </c>
      <c r="Y62">
        <v>1.8794195462257062</v>
      </c>
      <c r="Z62">
        <v>1.8899164648240467</v>
      </c>
      <c r="AA62">
        <v>1.9496753477440933</v>
      </c>
      <c r="AB62">
        <v>1.9927155361661859</v>
      </c>
      <c r="AC62">
        <v>2.0331997150919516</v>
      </c>
      <c r="AD62">
        <v>1.9195043783681944</v>
      </c>
      <c r="AE62">
        <v>1.9195873780165249</v>
      </c>
      <c r="AG62">
        <v>0.73632948421563926</v>
      </c>
      <c r="AH62">
        <v>0.74169111511328456</v>
      </c>
      <c r="AI62">
        <v>0.77074986122515432</v>
      </c>
      <c r="AJ62">
        <v>0.78196614712694867</v>
      </c>
      <c r="AK62">
        <v>0.80234919951471462</v>
      </c>
      <c r="AL62">
        <v>0.7555872872546805</v>
      </c>
      <c r="AM62">
        <v>0.75644960846181608</v>
      </c>
      <c r="AO62">
        <v>66</v>
      </c>
      <c r="AP62">
        <v>13.52290392607947</v>
      </c>
      <c r="AQ62">
        <v>5.8371457464148326</v>
      </c>
      <c r="AR62">
        <v>6.8539900267078808</v>
      </c>
      <c r="AS62">
        <v>781.74601574773521</v>
      </c>
      <c r="AT62">
        <v>26.522143603780872</v>
      </c>
      <c r="AU62">
        <v>11.682374970387292</v>
      </c>
      <c r="AV62">
        <v>14.086830926360607</v>
      </c>
      <c r="AW62">
        <v>5.9395033053237158</v>
      </c>
      <c r="AX62">
        <v>7.2168273759457016</v>
      </c>
      <c r="AY62">
        <v>821.71778086053246</v>
      </c>
      <c r="AZ62">
        <v>26.573031199028122</v>
      </c>
      <c r="BA62">
        <v>11.537905309750567</v>
      </c>
      <c r="BB62">
        <v>15.643614294804287</v>
      </c>
      <c r="BC62">
        <v>6.2851345436038057</v>
      </c>
      <c r="BD62">
        <v>7.8555224288923169</v>
      </c>
      <c r="BE62">
        <v>894.61639989133039</v>
      </c>
      <c r="BF62">
        <v>27.500704684444912</v>
      </c>
      <c r="BG62">
        <v>11.602361066116558</v>
      </c>
      <c r="BH62">
        <v>16.57157348808331</v>
      </c>
      <c r="BI62">
        <v>6.5680322711635322</v>
      </c>
      <c r="BJ62">
        <v>8.4466181781427103</v>
      </c>
      <c r="BK62">
        <v>960.94354396298866</v>
      </c>
      <c r="BL62">
        <v>27.715132105554197</v>
      </c>
      <c r="BM62">
        <v>11.620111480776195</v>
      </c>
      <c r="BN62">
        <v>16.963418947516391</v>
      </c>
      <c r="BO62">
        <v>6.6686064840081238</v>
      </c>
      <c r="BP62">
        <v>8.9723767495209668</v>
      </c>
      <c r="BQ62">
        <v>1079.6735476057729</v>
      </c>
      <c r="BR62">
        <v>26.072216502042977</v>
      </c>
      <c r="BS62">
        <v>10.91161963828274</v>
      </c>
      <c r="BU62">
        <v>66</v>
      </c>
      <c r="BV62">
        <v>13.084678106756128</v>
      </c>
      <c r="BW62">
        <v>4.9234598528303453</v>
      </c>
      <c r="BX62">
        <v>6.6585704819158558</v>
      </c>
      <c r="BY62">
        <v>790.87356219249568</v>
      </c>
      <c r="BZ62">
        <v>25.661945527370932</v>
      </c>
      <c r="CA62">
        <v>10.392260643031053</v>
      </c>
      <c r="CB62">
        <v>13.505677783158752</v>
      </c>
      <c r="CC62">
        <v>4.9772290519963018</v>
      </c>
      <c r="CD62">
        <v>6.9870859488496633</v>
      </c>
      <c r="CE62">
        <v>832.51598731936485</v>
      </c>
      <c r="CF62">
        <v>25.530295403501658</v>
      </c>
      <c r="CG62">
        <v>10.23238931544015</v>
      </c>
      <c r="CH62">
        <v>15.048855264005166</v>
      </c>
      <c r="CI62">
        <v>5.5206181479176077</v>
      </c>
      <c r="CJ62">
        <v>7.5896583557945112</v>
      </c>
      <c r="CK62">
        <v>903.55556168788041</v>
      </c>
      <c r="CL62">
        <v>26.570388591959961</v>
      </c>
      <c r="CM62">
        <v>10.641455267632717</v>
      </c>
      <c r="CN62">
        <v>15.954705274699958</v>
      </c>
      <c r="CO62">
        <v>5.6844157542243714</v>
      </c>
      <c r="CP62">
        <v>8.1911733847595478</v>
      </c>
      <c r="CQ62">
        <v>970.6326368682661</v>
      </c>
      <c r="CR62">
        <v>26.802940747459289</v>
      </c>
      <c r="CS62">
        <v>10.593765550496819</v>
      </c>
      <c r="CT62">
        <v>16.179228272391523</v>
      </c>
      <c r="CU62">
        <v>5.6749904050902957</v>
      </c>
      <c r="CV62">
        <v>8.5579178050368565</v>
      </c>
      <c r="CW62">
        <v>1091.1382993819477</v>
      </c>
      <c r="CX62">
        <v>25.079581410607744</v>
      </c>
      <c r="CY62">
        <v>9.8863462241055942</v>
      </c>
      <c r="DA62">
        <v>66</v>
      </c>
      <c r="DB62">
        <v>12.225744967668795</v>
      </c>
      <c r="DC62">
        <v>4.4210249590360657</v>
      </c>
      <c r="DD62">
        <v>6.5733895050662863</v>
      </c>
      <c r="DE62">
        <v>784.80638932668421</v>
      </c>
      <c r="DF62">
        <v>24.765880346118944</v>
      </c>
      <c r="DG62">
        <v>9.8323986719996945</v>
      </c>
      <c r="DH62">
        <v>12.618125589816707</v>
      </c>
      <c r="DI62">
        <v>4.7015189740754026</v>
      </c>
      <c r="DJ62">
        <v>6.8502032826683275</v>
      </c>
      <c r="DK62">
        <v>819.11753044560589</v>
      </c>
      <c r="DL62">
        <v>24.864352347555641</v>
      </c>
      <c r="DM62">
        <v>10.063168360192059</v>
      </c>
      <c r="DN62">
        <v>14.102203845847692</v>
      </c>
      <c r="DO62">
        <v>4.8597479203540415</v>
      </c>
      <c r="DP62">
        <v>7.428177500254713</v>
      </c>
      <c r="DQ62">
        <v>894.13763593470401</v>
      </c>
      <c r="DR62">
        <v>25.791522516786486</v>
      </c>
      <c r="DS62">
        <v>10.014426755002034</v>
      </c>
      <c r="DT62">
        <v>14.671926692389862</v>
      </c>
      <c r="DU62">
        <v>4.8805630396101245</v>
      </c>
      <c r="DV62">
        <v>7.924300165397054</v>
      </c>
      <c r="DW62">
        <v>955.70277023037147</v>
      </c>
      <c r="DX62">
        <v>25.879416950165719</v>
      </c>
      <c r="DY62">
        <v>9.9181483734151179</v>
      </c>
      <c r="DZ62">
        <v>14.846329987483873</v>
      </c>
      <c r="EA62">
        <v>4.9647536939133188</v>
      </c>
      <c r="EB62">
        <v>8.2619753501954545</v>
      </c>
      <c r="EC62">
        <v>1074.2846667287781</v>
      </c>
      <c r="ED62">
        <v>24.232304835871151</v>
      </c>
      <c r="EE62">
        <v>9.3803203256915602</v>
      </c>
      <c r="EG62">
        <v>66</v>
      </c>
      <c r="EH62">
        <v>11.644594389235031</v>
      </c>
      <c r="EI62">
        <v>4.0825336833528167</v>
      </c>
      <c r="EJ62">
        <v>6.0378892233324697</v>
      </c>
      <c r="EK62">
        <v>780.35145771760574</v>
      </c>
      <c r="EL62">
        <v>24.162536467412991</v>
      </c>
      <c r="EM62">
        <v>9.4547629168129088</v>
      </c>
      <c r="EN62">
        <v>12.058481077346826</v>
      </c>
      <c r="EO62">
        <v>4.2307604965673429</v>
      </c>
      <c r="EP62">
        <v>6.32587314126115</v>
      </c>
      <c r="EQ62">
        <v>815.32650851075027</v>
      </c>
      <c r="ER62">
        <v>24.293558680887823</v>
      </c>
      <c r="ES62">
        <v>9.5325726037623859</v>
      </c>
      <c r="ET62">
        <v>12.328914773386465</v>
      </c>
      <c r="EU62">
        <v>4.3983062883812067</v>
      </c>
      <c r="EV62">
        <v>6.8582508811598251</v>
      </c>
      <c r="EW62">
        <v>903.93859829991766</v>
      </c>
      <c r="EX62">
        <v>23.550141500641868</v>
      </c>
      <c r="EY62">
        <v>9.3953662870009431</v>
      </c>
      <c r="EZ62">
        <v>13.088982261032488</v>
      </c>
      <c r="FA62">
        <v>4.4699251348152638</v>
      </c>
      <c r="FB62">
        <v>7.3111650879415429</v>
      </c>
      <c r="FC62">
        <v>961.38535730764443</v>
      </c>
      <c r="FD62">
        <v>24.079923689179697</v>
      </c>
      <c r="FE62">
        <v>9.4323924348392136</v>
      </c>
      <c r="FF62">
        <v>13.283754843673384</v>
      </c>
      <c r="FG62">
        <v>4.5137982010438336</v>
      </c>
      <c r="FH62">
        <v>7.6267993382165384</v>
      </c>
      <c r="FI62">
        <v>1084.9229801012466</v>
      </c>
      <c r="FJ62">
        <v>22.554429051341458</v>
      </c>
      <c r="FK62">
        <v>8.8726840324895004</v>
      </c>
    </row>
    <row r="63" spans="2:167" x14ac:dyDescent="0.25">
      <c r="B63">
        <v>772.70310248033525</v>
      </c>
      <c r="C63">
        <v>1.2941581272160729</v>
      </c>
      <c r="D63">
        <v>830.70644109295324</v>
      </c>
      <c r="E63">
        <v>1.203794686705822</v>
      </c>
      <c r="F63">
        <v>960.64343769688219</v>
      </c>
      <c r="G63">
        <v>1.0409689597187841</v>
      </c>
      <c r="H63">
        <v>1079.5517340592505</v>
      </c>
      <c r="I63">
        <v>0.92631040129950426</v>
      </c>
      <c r="J63">
        <v>1200.586100108605</v>
      </c>
      <c r="K63">
        <v>0.83292651806441864</v>
      </c>
      <c r="L63">
        <v>900.86272369815299</v>
      </c>
      <c r="M63">
        <v>1.1100470401249107</v>
      </c>
      <c r="N63">
        <v>890.11496384321026</v>
      </c>
      <c r="O63">
        <v>1.1234503863212724</v>
      </c>
      <c r="Q63">
        <v>0.13210952701434497</v>
      </c>
      <c r="R63">
        <v>0.13272758999109452</v>
      </c>
      <c r="S63">
        <v>0.13300174830675301</v>
      </c>
      <c r="T63">
        <v>0.13407130791663432</v>
      </c>
      <c r="U63">
        <v>0.13454887273525182</v>
      </c>
      <c r="V63">
        <v>0.1330221639507089</v>
      </c>
      <c r="W63">
        <v>0.13261580357583619</v>
      </c>
      <c r="Y63">
        <v>1.8940905814548923</v>
      </c>
      <c r="Z63">
        <v>1.9053316438447063</v>
      </c>
      <c r="AA63">
        <v>1.9652574828863656</v>
      </c>
      <c r="AB63">
        <v>2.0101255409436205</v>
      </c>
      <c r="AC63">
        <v>2.0511752946738531</v>
      </c>
      <c r="AD63">
        <v>1.934941574978813</v>
      </c>
      <c r="AE63">
        <v>1.935114923418602</v>
      </c>
      <c r="AG63">
        <v>0.74182931256997209</v>
      </c>
      <c r="AH63">
        <v>0.74750597057555468</v>
      </c>
      <c r="AI63">
        <v>0.77667279825087421</v>
      </c>
      <c r="AJ63">
        <v>0.78857440351007835</v>
      </c>
      <c r="AK63">
        <v>0.80922545111493127</v>
      </c>
      <c r="AL63">
        <v>0.76142565464120249</v>
      </c>
      <c r="AM63">
        <v>0.76233570820148511</v>
      </c>
      <c r="AO63">
        <v>67</v>
      </c>
      <c r="AP63">
        <v>13.649509186840858</v>
      </c>
      <c r="AQ63">
        <v>5.8955370537121468</v>
      </c>
      <c r="AR63">
        <v>6.9033892373515311</v>
      </c>
      <c r="AS63">
        <v>788.235406675935</v>
      </c>
      <c r="AT63">
        <v>26.476414025127891</v>
      </c>
      <c r="AU63">
        <v>11.665760729567028</v>
      </c>
      <c r="AV63">
        <v>14.222552362046729</v>
      </c>
      <c r="AW63">
        <v>6.0003033805572468</v>
      </c>
      <c r="AX63">
        <v>7.2699573468004601</v>
      </c>
      <c r="AY63">
        <v>828.73030567228125</v>
      </c>
      <c r="AZ63">
        <v>26.528139730313004</v>
      </c>
      <c r="BA63">
        <v>11.521040285234077</v>
      </c>
      <c r="BB63">
        <v>15.793402117702579</v>
      </c>
      <c r="BC63">
        <v>6.3499644867183491</v>
      </c>
      <c r="BD63">
        <v>7.9125066587811865</v>
      </c>
      <c r="BE63">
        <v>902.16266696765342</v>
      </c>
      <c r="BF63">
        <v>27.455862791128279</v>
      </c>
      <c r="BG63">
        <v>11.585928646920665</v>
      </c>
      <c r="BH63">
        <v>16.73508910456642</v>
      </c>
      <c r="BI63">
        <v>6.6383132157096476</v>
      </c>
      <c r="BJ63">
        <v>8.5093404610279499</v>
      </c>
      <c r="BK63">
        <v>969.24418326838259</v>
      </c>
      <c r="BL63">
        <v>27.673542922040898</v>
      </c>
      <c r="BM63">
        <v>11.605474750520086</v>
      </c>
      <c r="BN63">
        <v>17.130997640414979</v>
      </c>
      <c r="BO63">
        <v>6.7399918491211777</v>
      </c>
      <c r="BP63">
        <v>9.0390846258615447</v>
      </c>
      <c r="BQ63">
        <v>1090.2650265541358</v>
      </c>
      <c r="BR63">
        <v>26.002186137649293</v>
      </c>
      <c r="BS63">
        <v>10.884596406014982</v>
      </c>
      <c r="BU63">
        <v>67</v>
      </c>
      <c r="BV63">
        <v>13.206977380125329</v>
      </c>
      <c r="BW63">
        <v>4.9723073706763996</v>
      </c>
      <c r="BX63">
        <v>6.7065536331561839</v>
      </c>
      <c r="BY63">
        <v>797.3465815499593</v>
      </c>
      <c r="BZ63">
        <v>25.618865926525181</v>
      </c>
      <c r="CA63">
        <v>10.374580090051296</v>
      </c>
      <c r="CB63">
        <v>13.635637139312756</v>
      </c>
      <c r="CC63">
        <v>5.0282670929918147</v>
      </c>
      <c r="CD63">
        <v>7.0385184604587199</v>
      </c>
      <c r="CE63">
        <v>839.58154321897371</v>
      </c>
      <c r="CF63">
        <v>25.486217863777526</v>
      </c>
      <c r="CG63">
        <v>10.214372884853416</v>
      </c>
      <c r="CH63">
        <v>15.192771966025967</v>
      </c>
      <c r="CI63">
        <v>5.5777716100635759</v>
      </c>
      <c r="CJ63">
        <v>7.644713482940344</v>
      </c>
      <c r="CK63">
        <v>911.06613473006655</v>
      </c>
      <c r="CL63">
        <v>26.528287383908204</v>
      </c>
      <c r="CM63">
        <v>10.625133611860338</v>
      </c>
      <c r="CN63">
        <v>16.111944598073876</v>
      </c>
      <c r="CO63">
        <v>5.7454977124097679</v>
      </c>
      <c r="CP63">
        <v>8.2519971826480152</v>
      </c>
      <c r="CQ63">
        <v>978.88356290056072</v>
      </c>
      <c r="CR63">
        <v>26.764445736009311</v>
      </c>
      <c r="CS63">
        <v>10.57911664388809</v>
      </c>
      <c r="CT63">
        <v>16.338922879685626</v>
      </c>
      <c r="CU63">
        <v>5.7360336847744575</v>
      </c>
      <c r="CV63">
        <v>8.6215445801263932</v>
      </c>
      <c r="CW63">
        <v>1101.8001407811835</v>
      </c>
      <c r="CX63">
        <v>25.011069048840564</v>
      </c>
      <c r="CY63">
        <v>9.8594438530260327</v>
      </c>
      <c r="DA63">
        <v>67</v>
      </c>
      <c r="DB63">
        <v>12.313913459808548</v>
      </c>
      <c r="DC63">
        <v>4.4659094758262858</v>
      </c>
      <c r="DD63">
        <v>6.614485536106983</v>
      </c>
      <c r="DE63">
        <v>791.24589816008142</v>
      </c>
      <c r="DF63">
        <v>24.687712498489006</v>
      </c>
      <c r="DG63">
        <v>9.8145697728437717</v>
      </c>
      <c r="DH63">
        <v>12.714352937212288</v>
      </c>
      <c r="DI63">
        <v>4.7518913576011172</v>
      </c>
      <c r="DJ63">
        <v>6.8960746723714408</v>
      </c>
      <c r="DK63">
        <v>826.07177888793706</v>
      </c>
      <c r="DL63">
        <v>24.787765961876094</v>
      </c>
      <c r="DM63">
        <v>10.046854796881341</v>
      </c>
      <c r="DN63">
        <v>14.21161715792994</v>
      </c>
      <c r="DO63">
        <v>4.9122921111104008</v>
      </c>
      <c r="DP63">
        <v>7.4773807391005169</v>
      </c>
      <c r="DQ63">
        <v>901.5699286302779</v>
      </c>
      <c r="DR63">
        <v>25.71943529105733</v>
      </c>
      <c r="DS63">
        <v>9.9989137010044988</v>
      </c>
      <c r="DT63">
        <v>14.798094157838525</v>
      </c>
      <c r="DU63">
        <v>4.9390573465723087</v>
      </c>
      <c r="DV63">
        <v>7.9830706927422357</v>
      </c>
      <c r="DW63">
        <v>964.2213870832137</v>
      </c>
      <c r="DX63">
        <v>25.808829688135212</v>
      </c>
      <c r="DY63">
        <v>9.9036208435067845</v>
      </c>
      <c r="DZ63">
        <v>14.975283156870645</v>
      </c>
      <c r="EA63">
        <v>5.0248462375777301</v>
      </c>
      <c r="EB63">
        <v>8.3242488493624958</v>
      </c>
      <c r="EC63">
        <v>1085.2439956993983</v>
      </c>
      <c r="ED63">
        <v>24.136101908958</v>
      </c>
      <c r="EE63">
        <v>9.3545315323757983</v>
      </c>
      <c r="EG63">
        <v>67</v>
      </c>
      <c r="EH63">
        <v>11.722160175726996</v>
      </c>
      <c r="EI63">
        <v>4.1240556183719361</v>
      </c>
      <c r="EJ63">
        <v>6.0753033130272254</v>
      </c>
      <c r="EK63">
        <v>786.68099633913005</v>
      </c>
      <c r="EL63">
        <v>24.07875371777434</v>
      </c>
      <c r="EM63">
        <v>9.4369690536084185</v>
      </c>
      <c r="EN63">
        <v>12.145009773357517</v>
      </c>
      <c r="EO63">
        <v>4.2760586746236404</v>
      </c>
      <c r="EP63">
        <v>6.3678642430498291</v>
      </c>
      <c r="EQ63">
        <v>822.23870969712755</v>
      </c>
      <c r="ER63">
        <v>24.210889762491092</v>
      </c>
      <c r="ES63">
        <v>9.5149868755180904</v>
      </c>
      <c r="ET63">
        <v>12.434210218239375</v>
      </c>
      <c r="EU63">
        <v>4.4458611761987132</v>
      </c>
      <c r="EV63">
        <v>6.9033884107843191</v>
      </c>
      <c r="EW63">
        <v>911.82112875623579</v>
      </c>
      <c r="EX63">
        <v>23.480989664369652</v>
      </c>
      <c r="EY63">
        <v>9.3749625966043251</v>
      </c>
      <c r="EZ63">
        <v>13.202428115824864</v>
      </c>
      <c r="FA63">
        <v>4.5235352921240661</v>
      </c>
      <c r="FB63">
        <v>7.3650261792778506</v>
      </c>
      <c r="FC63">
        <v>970.25143003275662</v>
      </c>
      <c r="FD63">
        <v>24.003839415200055</v>
      </c>
      <c r="FE63">
        <v>9.4138083075185275</v>
      </c>
      <c r="FF63">
        <v>13.398442990277438</v>
      </c>
      <c r="FG63">
        <v>4.5684464681240744</v>
      </c>
      <c r="FH63">
        <v>7.68393115834757</v>
      </c>
      <c r="FI63">
        <v>1097.1403376994133</v>
      </c>
      <c r="FJ63">
        <v>22.437165660421247</v>
      </c>
      <c r="FK63">
        <v>8.8371095980012981</v>
      </c>
    </row>
    <row r="64" spans="2:167" x14ac:dyDescent="0.25">
      <c r="B64">
        <v>773.50588605206235</v>
      </c>
      <c r="C64">
        <v>1.292814984387453</v>
      </c>
      <c r="D64">
        <v>831.90674964079722</v>
      </c>
      <c r="E64">
        <v>1.2020578032715596</v>
      </c>
      <c r="F64">
        <v>962.1680125074007</v>
      </c>
      <c r="G64">
        <v>1.0393195232026156</v>
      </c>
      <c r="H64">
        <v>1081.9758992287357</v>
      </c>
      <c r="I64">
        <v>0.92423500441445094</v>
      </c>
      <c r="J64">
        <v>1203.5877159924432</v>
      </c>
      <c r="K64">
        <v>0.83084929059402135</v>
      </c>
      <c r="L64">
        <v>902.34008627913613</v>
      </c>
      <c r="M64">
        <v>1.1082296078893841</v>
      </c>
      <c r="N64">
        <v>891.36220484558112</v>
      </c>
      <c r="O64">
        <v>1.1218783952963758</v>
      </c>
      <c r="Q64">
        <v>0.13398936172134279</v>
      </c>
      <c r="R64">
        <v>0.1346123423066046</v>
      </c>
      <c r="S64">
        <v>0.1348835655396273</v>
      </c>
      <c r="T64">
        <v>0.1359627124120672</v>
      </c>
      <c r="U64">
        <v>0.13644369464169379</v>
      </c>
      <c r="V64">
        <v>0.13490564321101448</v>
      </c>
      <c r="W64">
        <v>0.13449860390789942</v>
      </c>
      <c r="Y64">
        <v>1.9083506988412853</v>
      </c>
      <c r="Z64">
        <v>1.9203630826787101</v>
      </c>
      <c r="AA64">
        <v>1.980402590029718</v>
      </c>
      <c r="AB64">
        <v>2.0271381754069653</v>
      </c>
      <c r="AC64">
        <v>2.0687527466186584</v>
      </c>
      <c r="AD64">
        <v>1.9499754174267216</v>
      </c>
      <c r="AE64">
        <v>1.9502280153520648</v>
      </c>
      <c r="AG64">
        <v>0.74720973809348601</v>
      </c>
      <c r="AH64">
        <v>0.75321167896305607</v>
      </c>
      <c r="AI64">
        <v>0.78246330576892209</v>
      </c>
      <c r="AJ64">
        <v>0.79506854990045073</v>
      </c>
      <c r="AK64">
        <v>0.81598572153351279</v>
      </c>
      <c r="AL64">
        <v>0.76714686171036173</v>
      </c>
      <c r="AM64">
        <v>0.76809871039242272</v>
      </c>
      <c r="AO64">
        <v>68</v>
      </c>
      <c r="AP64">
        <v>13.773710485283509</v>
      </c>
      <c r="AQ64">
        <v>5.9528678141148212</v>
      </c>
      <c r="AR64">
        <v>6.9513831212282566</v>
      </c>
      <c r="AS64">
        <v>794.54759562445167</v>
      </c>
      <c r="AT64">
        <v>26.431833159155907</v>
      </c>
      <c r="AU64">
        <v>11.649553471023431</v>
      </c>
      <c r="AV64">
        <v>14.355758259581107</v>
      </c>
      <c r="AW64">
        <v>6.0600685924782214</v>
      </c>
      <c r="AX64">
        <v>7.3215286967520736</v>
      </c>
      <c r="AY64">
        <v>835.552696587985</v>
      </c>
      <c r="AZ64">
        <v>26.484379762748439</v>
      </c>
      <c r="BA64">
        <v>11.504632090918051</v>
      </c>
      <c r="BB64">
        <v>15.939939600343447</v>
      </c>
      <c r="BC64">
        <v>6.4136337951603046</v>
      </c>
      <c r="BD64">
        <v>7.9675433748191908</v>
      </c>
      <c r="BE64">
        <v>909.48924015401224</v>
      </c>
      <c r="BF64">
        <v>27.411470535914088</v>
      </c>
      <c r="BG64">
        <v>11.569760067520177</v>
      </c>
      <c r="BH64">
        <v>16.895054649470545</v>
      </c>
      <c r="BI64">
        <v>6.7073871641011591</v>
      </c>
      <c r="BJ64">
        <v>8.5698163227824669</v>
      </c>
      <c r="BK64">
        <v>977.29836697654946</v>
      </c>
      <c r="BL64">
        <v>27.632336617330949</v>
      </c>
      <c r="BM64">
        <v>11.591102190012451</v>
      </c>
      <c r="BN64">
        <v>17.294939606478092</v>
      </c>
      <c r="BO64">
        <v>6.8101614718451735</v>
      </c>
      <c r="BP64">
        <v>9.1033149319128253</v>
      </c>
      <c r="BQ64">
        <v>1100.5706081414703</v>
      </c>
      <c r="BR64">
        <v>25.933150507180102</v>
      </c>
      <c r="BS64">
        <v>10.858079186006035</v>
      </c>
      <c r="BU64">
        <v>68</v>
      </c>
      <c r="BV64">
        <v>13.326819483376395</v>
      </c>
      <c r="BW64">
        <v>5.0204122274737015</v>
      </c>
      <c r="BX64">
        <v>6.7531417774165723</v>
      </c>
      <c r="BY64">
        <v>803.63312583299728</v>
      </c>
      <c r="BZ64">
        <v>25.576917901861449</v>
      </c>
      <c r="CA64">
        <v>10.357548545838281</v>
      </c>
      <c r="CB64">
        <v>13.763084416951994</v>
      </c>
      <c r="CC64">
        <v>5.0785991535001918</v>
      </c>
      <c r="CD64">
        <v>7.0884192662559178</v>
      </c>
      <c r="CE64">
        <v>846.44798818064942</v>
      </c>
      <c r="CF64">
        <v>25.443289353059797</v>
      </c>
      <c r="CG64">
        <v>10.197031652698698</v>
      </c>
      <c r="CH64">
        <v>15.333449637067277</v>
      </c>
      <c r="CI64">
        <v>5.6340141931401435</v>
      </c>
      <c r="CJ64">
        <v>7.6978685228099719</v>
      </c>
      <c r="CK64">
        <v>918.34877894321824</v>
      </c>
      <c r="CL64">
        <v>26.486611735823285</v>
      </c>
      <c r="CM64">
        <v>10.609207431804521</v>
      </c>
      <c r="CN64">
        <v>16.265650447051641</v>
      </c>
      <c r="CO64">
        <v>5.8056617038794123</v>
      </c>
      <c r="CP64">
        <v>8.3106162026417412</v>
      </c>
      <c r="CQ64">
        <v>986.87914718677041</v>
      </c>
      <c r="CR64">
        <v>26.726305165766423</v>
      </c>
      <c r="CS64">
        <v>10.56485975132528</v>
      </c>
      <c r="CT64">
        <v>16.495065289829622</v>
      </c>
      <c r="CU64">
        <v>5.7961891200815101</v>
      </c>
      <c r="CV64">
        <v>8.6828164415580424</v>
      </c>
      <c r="CW64">
        <v>1112.1672705504268</v>
      </c>
      <c r="CX64">
        <v>24.943540097465217</v>
      </c>
      <c r="CY64">
        <v>9.8331525758843892</v>
      </c>
      <c r="DA64">
        <v>68</v>
      </c>
      <c r="DB64">
        <v>12.39871479810094</v>
      </c>
      <c r="DC64">
        <v>4.5101575991094274</v>
      </c>
      <c r="DD64">
        <v>6.653924295371918</v>
      </c>
      <c r="DE64">
        <v>797.515901046934</v>
      </c>
      <c r="DF64">
        <v>24.609357345235424</v>
      </c>
      <c r="DG64">
        <v>9.7971895923802244</v>
      </c>
      <c r="DH64">
        <v>12.807250405327711</v>
      </c>
      <c r="DI64">
        <v>4.8016365151529907</v>
      </c>
      <c r="DJ64">
        <v>6.940268645531348</v>
      </c>
      <c r="DK64">
        <v>832.85296884904312</v>
      </c>
      <c r="DL64">
        <v>24.710948803379491</v>
      </c>
      <c r="DM64">
        <v>10.030935353498455</v>
      </c>
      <c r="DN64">
        <v>14.316946713217343</v>
      </c>
      <c r="DO64">
        <v>4.9641370762892443</v>
      </c>
      <c r="DP64">
        <v>7.5245395984201773</v>
      </c>
      <c r="DQ64">
        <v>908.79273475261812</v>
      </c>
      <c r="DR64">
        <v>25.646600958392344</v>
      </c>
      <c r="DS64">
        <v>9.9836576886498491</v>
      </c>
      <c r="DT64">
        <v>14.920409163114186</v>
      </c>
      <c r="DU64">
        <v>4.9970696983184837</v>
      </c>
      <c r="DV64">
        <v>8.0397862396247444</v>
      </c>
      <c r="DW64">
        <v>972.52806018507761</v>
      </c>
      <c r="DX64">
        <v>25.737449632809632</v>
      </c>
      <c r="DY64">
        <v>9.8893267656919903</v>
      </c>
      <c r="DZ64">
        <v>15.100420346254985</v>
      </c>
      <c r="EA64">
        <v>5.0844750344779239</v>
      </c>
      <c r="EB64">
        <v>8.3843767834812954</v>
      </c>
      <c r="EC64">
        <v>1095.9574476215682</v>
      </c>
      <c r="ED64">
        <v>24.039933321923872</v>
      </c>
      <c r="EE64">
        <v>9.3291910172356562</v>
      </c>
      <c r="EG64">
        <v>68</v>
      </c>
      <c r="EH64">
        <v>11.796322885476089</v>
      </c>
      <c r="EI64">
        <v>4.164974385273279</v>
      </c>
      <c r="EJ64">
        <v>6.1112572030038583</v>
      </c>
      <c r="EK64">
        <v>792.84566829791709</v>
      </c>
      <c r="EL64">
        <v>23.994533419835975</v>
      </c>
      <c r="EM64">
        <v>9.4195271164076946</v>
      </c>
      <c r="EN64">
        <v>12.228127687690622</v>
      </c>
      <c r="EO64">
        <v>4.3207968387919458</v>
      </c>
      <c r="EP64">
        <v>6.4083606386217253</v>
      </c>
      <c r="EQ64">
        <v>828.98379058809815</v>
      </c>
      <c r="ER64">
        <v>24.127690533182541</v>
      </c>
      <c r="ES64">
        <v>9.4977184144304907</v>
      </c>
      <c r="ET64">
        <v>12.536773929215077</v>
      </c>
      <c r="EU64">
        <v>4.4927832623166681</v>
      </c>
      <c r="EV64">
        <v>6.9466931883775525</v>
      </c>
      <c r="EW64">
        <v>919.47522814182969</v>
      </c>
      <c r="EX64">
        <v>23.412563143858435</v>
      </c>
      <c r="EY64">
        <v>9.3550337153865115</v>
      </c>
      <c r="EZ64">
        <v>13.312688236834262</v>
      </c>
      <c r="FA64">
        <v>4.5766946760732603</v>
      </c>
      <c r="FB64">
        <v>7.4170468253142339</v>
      </c>
      <c r="FC64">
        <v>978.89440819096478</v>
      </c>
      <c r="FD64">
        <v>23.927678862231506</v>
      </c>
      <c r="FE64">
        <v>9.3955718581807979</v>
      </c>
      <c r="FF64">
        <v>13.509834111435099</v>
      </c>
      <c r="FG64">
        <v>4.6226695446592556</v>
      </c>
      <c r="FH64">
        <v>7.7391372193636814</v>
      </c>
      <c r="FI64">
        <v>1109.1223165654728</v>
      </c>
      <c r="FJ64">
        <v>22.320493745296581</v>
      </c>
      <c r="FK64">
        <v>8.8020867851942519</v>
      </c>
    </row>
    <row r="65" spans="2:167" x14ac:dyDescent="0.25">
      <c r="B65">
        <v>774.09884767489621</v>
      </c>
      <c r="C65">
        <v>1.2918246849270303</v>
      </c>
      <c r="D65">
        <v>832.87115149544229</v>
      </c>
      <c r="E65">
        <v>1.2006659111730229</v>
      </c>
      <c r="F65">
        <v>963.367237676792</v>
      </c>
      <c r="G65">
        <v>1.0380257506073693</v>
      </c>
      <c r="H65">
        <v>1084.0172174454678</v>
      </c>
      <c r="I65">
        <v>0.922494572878226</v>
      </c>
      <c r="J65">
        <v>1206.1433116346982</v>
      </c>
      <c r="K65">
        <v>0.82908887389566488</v>
      </c>
      <c r="L65">
        <v>903.52056614411731</v>
      </c>
      <c r="M65">
        <v>1.106781668808736</v>
      </c>
      <c r="N65">
        <v>892.34625825699311</v>
      </c>
      <c r="O65">
        <v>1.1206412205428926</v>
      </c>
      <c r="Q65">
        <v>0.13586739840414991</v>
      </c>
      <c r="R65">
        <v>0.1364950668535812</v>
      </c>
      <c r="S65">
        <v>0.13676276026169032</v>
      </c>
      <c r="T65">
        <v>0.13785104989680028</v>
      </c>
      <c r="U65">
        <v>0.13833512689539798</v>
      </c>
      <c r="V65">
        <v>0.13678659412618982</v>
      </c>
      <c r="W65">
        <v>0.13637929358910603</v>
      </c>
      <c r="Y65">
        <v>1.9221998981893724</v>
      </c>
      <c r="Z65">
        <v>1.9350107808415864</v>
      </c>
      <c r="AA65">
        <v>1.9951106684059643</v>
      </c>
      <c r="AB65">
        <v>2.0437534377473972</v>
      </c>
      <c r="AC65">
        <v>2.0859320677890314</v>
      </c>
      <c r="AD65">
        <v>1.9646059046248285</v>
      </c>
      <c r="AE65">
        <v>1.964926653276774</v>
      </c>
      <c r="AG65">
        <v>0.75247076074501063</v>
      </c>
      <c r="AH65">
        <v>0.75880824018873205</v>
      </c>
      <c r="AI65">
        <v>0.78812138358285588</v>
      </c>
      <c r="AJ65">
        <v>0.80144858595670221</v>
      </c>
      <c r="AK65">
        <v>0.82263001007143011</v>
      </c>
      <c r="AL65">
        <v>0.77275090819727577</v>
      </c>
      <c r="AM65">
        <v>0.7737386149038683</v>
      </c>
      <c r="AO65">
        <v>69</v>
      </c>
      <c r="AP65">
        <v>13.895507818746172</v>
      </c>
      <c r="AQ65">
        <v>6.0091373525958289</v>
      </c>
      <c r="AR65">
        <v>6.99797167660802</v>
      </c>
      <c r="AS65">
        <v>800.68086630150367</v>
      </c>
      <c r="AT65">
        <v>26.388400598377981</v>
      </c>
      <c r="AU65">
        <v>11.63375681077391</v>
      </c>
      <c r="AV65">
        <v>14.486448612861398</v>
      </c>
      <c r="AW65">
        <v>6.1187987173099527</v>
      </c>
      <c r="AX65">
        <v>7.3715414219610533</v>
      </c>
      <c r="AY65">
        <v>842.18312712344243</v>
      </c>
      <c r="AZ65">
        <v>26.44175112899261</v>
      </c>
      <c r="BA65">
        <v>11.488682993233429</v>
      </c>
      <c r="BB65">
        <v>16.083226728602465</v>
      </c>
      <c r="BC65">
        <v>6.4761424642099215</v>
      </c>
      <c r="BD65">
        <v>8.0206325702115553</v>
      </c>
      <c r="BE65">
        <v>916.594667629588</v>
      </c>
      <c r="BF65">
        <v>27.367527963398182</v>
      </c>
      <c r="BG65">
        <v>11.553855402733314</v>
      </c>
      <c r="BH65">
        <v>17.051470091112236</v>
      </c>
      <c r="BI65">
        <v>6.7752541057975</v>
      </c>
      <c r="BJ65">
        <v>8.6280457488428119</v>
      </c>
      <c r="BK65">
        <v>985.10462057508346</v>
      </c>
      <c r="BL65">
        <v>27.591513026357816</v>
      </c>
      <c r="BM65">
        <v>11.576993341317019</v>
      </c>
      <c r="BN65">
        <v>17.455244791151316</v>
      </c>
      <c r="BO65">
        <v>6.8791153338573157</v>
      </c>
      <c r="BP65">
        <v>9.1650676421794266</v>
      </c>
      <c r="BQ65">
        <v>1110.5868094875402</v>
      </c>
      <c r="BR65">
        <v>25.865108111918566</v>
      </c>
      <c r="BS65">
        <v>10.83206665469428</v>
      </c>
      <c r="BU65">
        <v>69</v>
      </c>
      <c r="BV65">
        <v>13.444204413659655</v>
      </c>
      <c r="BW65">
        <v>5.0677744225987098</v>
      </c>
      <c r="BX65">
        <v>6.7983349130036377</v>
      </c>
      <c r="BY65">
        <v>809.73144270345063</v>
      </c>
      <c r="BZ65">
        <v>25.5361011760866</v>
      </c>
      <c r="CA65">
        <v>10.341161414749481</v>
      </c>
      <c r="CB65">
        <v>13.888019609849598</v>
      </c>
      <c r="CC65">
        <v>5.1282252321320856</v>
      </c>
      <c r="CD65">
        <v>7.136788362511802</v>
      </c>
      <c r="CE65">
        <v>853.11338101779165</v>
      </c>
      <c r="CF65">
        <v>25.40150949639257</v>
      </c>
      <c r="CG65">
        <v>10.180360169983368</v>
      </c>
      <c r="CH65">
        <v>15.470888262938256</v>
      </c>
      <c r="CI65">
        <v>5.6893458936487828</v>
      </c>
      <c r="CJ65">
        <v>7.749123468866193</v>
      </c>
      <c r="CK65">
        <v>925.40204387074834</v>
      </c>
      <c r="CL65">
        <v>26.445361660783526</v>
      </c>
      <c r="CM65">
        <v>10.593671958127612</v>
      </c>
      <c r="CN65">
        <v>16.415822789981672</v>
      </c>
      <c r="CO65">
        <v>5.8649077208920897</v>
      </c>
      <c r="CP65">
        <v>8.3670304307087733</v>
      </c>
      <c r="CQ65">
        <v>994.61794304470743</v>
      </c>
      <c r="CR65">
        <v>26.688518798015441</v>
      </c>
      <c r="CS65">
        <v>10.550989273195981</v>
      </c>
      <c r="CT65">
        <v>16.647655449584455</v>
      </c>
      <c r="CU65">
        <v>5.8554566976989468</v>
      </c>
      <c r="CV65">
        <v>8.7417333649636735</v>
      </c>
      <c r="CW65">
        <v>1122.2360698934708</v>
      </c>
      <c r="CX65">
        <v>24.876992731261261</v>
      </c>
      <c r="CY65">
        <v>9.8074656529973296</v>
      </c>
      <c r="DA65">
        <v>69</v>
      </c>
      <c r="DB65">
        <v>12.480149364662587</v>
      </c>
      <c r="DC65">
        <v>4.5537693281797065</v>
      </c>
      <c r="DD65">
        <v>6.6917062011153847</v>
      </c>
      <c r="DE65">
        <v>803.61492892067395</v>
      </c>
      <c r="DF65">
        <v>24.530814806805001</v>
      </c>
      <c r="DG65">
        <v>9.780254415795179</v>
      </c>
      <c r="DH65">
        <v>12.896817992755313</v>
      </c>
      <c r="DI65">
        <v>4.8507544352004217</v>
      </c>
      <c r="DJ65">
        <v>6.9827852017762257</v>
      </c>
      <c r="DK65">
        <v>839.4596556093469</v>
      </c>
      <c r="DL65">
        <v>24.633900979217561</v>
      </c>
      <c r="DM65">
        <v>10.015407686935056</v>
      </c>
      <c r="DN65">
        <v>14.418192510248332</v>
      </c>
      <c r="DO65">
        <v>5.0152828132303773</v>
      </c>
      <c r="DP65">
        <v>7.5696544532469243</v>
      </c>
      <c r="DQ65">
        <v>915.80488494570386</v>
      </c>
      <c r="DR65">
        <v>25.573019279634867</v>
      </c>
      <c r="DS65">
        <v>9.9686546248007577</v>
      </c>
      <c r="DT65">
        <v>15.038871695310595</v>
      </c>
      <c r="DU65">
        <v>5.0546000909372806</v>
      </c>
      <c r="DV65">
        <v>8.0944468016058533</v>
      </c>
      <c r="DW65">
        <v>980.62177137371179</v>
      </c>
      <c r="DX65">
        <v>25.66527616439145</v>
      </c>
      <c r="DY65">
        <v>9.8752606771848317</v>
      </c>
      <c r="DZ65">
        <v>15.221741531862346</v>
      </c>
      <c r="EA65">
        <v>5.1436400775455491</v>
      </c>
      <c r="EB65">
        <v>8.4423591429488845</v>
      </c>
      <c r="EC65">
        <v>1106.4219043159044</v>
      </c>
      <c r="ED65">
        <v>23.943799858298011</v>
      </c>
      <c r="EE65">
        <v>9.3042943652191656</v>
      </c>
      <c r="EG65">
        <v>69</v>
      </c>
      <c r="EH65">
        <v>11.867083841782142</v>
      </c>
      <c r="EI65">
        <v>4.2052899833810438</v>
      </c>
      <c r="EJ65">
        <v>6.1457511948197237</v>
      </c>
      <c r="EK65">
        <v>798.8441136756536</v>
      </c>
      <c r="EL65">
        <v>23.909875716016675</v>
      </c>
      <c r="EM65">
        <v>9.4024340716696244</v>
      </c>
      <c r="EN65">
        <v>12.307834975381123</v>
      </c>
      <c r="EO65">
        <v>4.3649749877881163</v>
      </c>
      <c r="EP65">
        <v>6.447362327549528</v>
      </c>
      <c r="EQ65">
        <v>835.56045392409885</v>
      </c>
      <c r="ER65">
        <v>24.043961057041003</v>
      </c>
      <c r="ES65">
        <v>9.4807637233738724</v>
      </c>
      <c r="ET65">
        <v>12.636605896854892</v>
      </c>
      <c r="EU65">
        <v>4.5390725443276141</v>
      </c>
      <c r="EV65">
        <v>6.988165468391804</v>
      </c>
      <c r="EW65">
        <v>926.89814830449018</v>
      </c>
      <c r="EX65">
        <v>23.344862005915409</v>
      </c>
      <c r="EY65">
        <v>9.3355805582899496</v>
      </c>
      <c r="EZ65">
        <v>13.419762610556724</v>
      </c>
      <c r="FA65">
        <v>4.629403282997397</v>
      </c>
      <c r="FB65">
        <v>7.4672270218328807</v>
      </c>
      <c r="FC65">
        <v>987.31219066921699</v>
      </c>
      <c r="FD65">
        <v>23.851442039225084</v>
      </c>
      <c r="FE65">
        <v>9.3776810390871024</v>
      </c>
      <c r="FF65">
        <v>13.617928186225992</v>
      </c>
      <c r="FG65">
        <v>4.6764674241769937</v>
      </c>
      <c r="FH65">
        <v>7.7924175122707577</v>
      </c>
      <c r="FI65">
        <v>1120.8642974219254</v>
      </c>
      <c r="FJ65">
        <v>22.204410781381156</v>
      </c>
      <c r="FK65">
        <v>8.7676112613422781</v>
      </c>
    </row>
    <row r="66" spans="2:167" x14ac:dyDescent="0.25">
      <c r="B66">
        <v>774.48197456824914</v>
      </c>
      <c r="C66">
        <v>1.2911856348334905</v>
      </c>
      <c r="D66">
        <v>833.59961992338901</v>
      </c>
      <c r="E66">
        <v>1.1996166698011497</v>
      </c>
      <c r="F66">
        <v>964.24106802060271</v>
      </c>
      <c r="G66">
        <v>1.0370850538992322</v>
      </c>
      <c r="H66">
        <v>1085.6755898305123</v>
      </c>
      <c r="I66">
        <v>0.92108545993570012</v>
      </c>
      <c r="J66">
        <v>1208.2527293954358</v>
      </c>
      <c r="K66">
        <v>0.82764141613018527</v>
      </c>
      <c r="L66">
        <v>904.40411618635926</v>
      </c>
      <c r="M66">
        <v>1.1057004077079438</v>
      </c>
      <c r="N66">
        <v>893.06709559579258</v>
      </c>
      <c r="O66">
        <v>1.1197366971995191</v>
      </c>
      <c r="Q66">
        <v>0.13774363695324582</v>
      </c>
      <c r="R66">
        <v>0.13837576340223287</v>
      </c>
      <c r="S66">
        <v>0.13863933210872864</v>
      </c>
      <c r="T66">
        <v>0.13973631957870822</v>
      </c>
      <c r="U66">
        <v>0.14022316829833664</v>
      </c>
      <c r="V66">
        <v>0.13866501629505934</v>
      </c>
      <c r="W66">
        <v>0.13825787239104545</v>
      </c>
      <c r="Y66">
        <v>1.9356381793547397</v>
      </c>
      <c r="Z66">
        <v>1.9492747379440567</v>
      </c>
      <c r="AA66">
        <v>2.0093817174108075</v>
      </c>
      <c r="AB66">
        <v>2.0599713264415418</v>
      </c>
      <c r="AC66">
        <v>2.1027132555133106</v>
      </c>
      <c r="AD66">
        <v>1.9788330357044206</v>
      </c>
      <c r="AE66">
        <v>1.9792108367665415</v>
      </c>
      <c r="AG66">
        <v>0.75761238049413515</v>
      </c>
      <c r="AH66">
        <v>0.7642956541826309</v>
      </c>
      <c r="AI66">
        <v>0.79364703153814253</v>
      </c>
      <c r="AJ66">
        <v>0.80771451139134032</v>
      </c>
      <c r="AK66">
        <v>0.82915831613341084</v>
      </c>
      <c r="AL66">
        <v>0.77823779389027314</v>
      </c>
      <c r="AM66">
        <v>0.77925542163264705</v>
      </c>
      <c r="AO66">
        <v>70</v>
      </c>
      <c r="AP66">
        <v>14.01490118526309</v>
      </c>
      <c r="AQ66">
        <v>6.0643449943866896</v>
      </c>
      <c r="AR66">
        <v>7.0431549022129065</v>
      </c>
      <c r="AS66">
        <v>806.6335387316858</v>
      </c>
      <c r="AT66">
        <v>26.346115968651596</v>
      </c>
      <c r="AU66">
        <v>11.618374164699558</v>
      </c>
      <c r="AV66">
        <v>14.614623416984296</v>
      </c>
      <c r="AW66">
        <v>6.1764935317191734</v>
      </c>
      <c r="AX66">
        <v>7.4199955193423115</v>
      </c>
      <c r="AY66">
        <v>848.61981026080139</v>
      </c>
      <c r="AZ66">
        <v>26.400253676217176</v>
      </c>
      <c r="BA66">
        <v>11.473195170414158</v>
      </c>
      <c r="BB66">
        <v>16.223263491368524</v>
      </c>
      <c r="BC66">
        <v>6.5374904901543704</v>
      </c>
      <c r="BD66">
        <v>8.0717742396131253</v>
      </c>
      <c r="BE66">
        <v>923.47751314963295</v>
      </c>
      <c r="BF66">
        <v>27.324035151535366</v>
      </c>
      <c r="BG66">
        <v>11.538214866537693</v>
      </c>
      <c r="BH66">
        <v>17.204335402808013</v>
      </c>
      <c r="BI66">
        <v>6.8419140319215161</v>
      </c>
      <c r="BJ66">
        <v>8.6840287269438061</v>
      </c>
      <c r="BK66">
        <v>992.66148873053226</v>
      </c>
      <c r="BL66">
        <v>27.551071966294892</v>
      </c>
      <c r="BM66">
        <v>11.563147929685236</v>
      </c>
      <c r="BN66">
        <v>17.611913147977742</v>
      </c>
      <c r="BO66">
        <v>6.9468534195544676</v>
      </c>
      <c r="BP66">
        <v>9.2243427349502447</v>
      </c>
      <c r="BQ66">
        <v>1120.3101718464545</v>
      </c>
      <c r="BR66">
        <v>25.798057875180898</v>
      </c>
      <c r="BS66">
        <v>10.806557866455732</v>
      </c>
      <c r="BU66">
        <v>70</v>
      </c>
      <c r="BV66">
        <v>13.559132168870185</v>
      </c>
      <c r="BW66">
        <v>5.1143939555908426</v>
      </c>
      <c r="BX66">
        <v>6.8421330386665487</v>
      </c>
      <c r="BY66">
        <v>815.63982024479822</v>
      </c>
      <c r="BZ66">
        <v>25.496415480296719</v>
      </c>
      <c r="CA66">
        <v>10.325414501534398</v>
      </c>
      <c r="CB66">
        <v>14.010442713002204</v>
      </c>
      <c r="CC66">
        <v>5.177145327771135</v>
      </c>
      <c r="CD66">
        <v>7.1836257462297102</v>
      </c>
      <c r="CE66">
        <v>859.57582403583308</v>
      </c>
      <c r="CF66">
        <v>25.360877949328636</v>
      </c>
      <c r="CG66">
        <v>10.164353464051993</v>
      </c>
      <c r="CH66">
        <v>15.605087832475567</v>
      </c>
      <c r="CI66">
        <v>5.7437667088373425</v>
      </c>
      <c r="CJ66">
        <v>7.7984783159664604</v>
      </c>
      <c r="CK66">
        <v>932.22449607277372</v>
      </c>
      <c r="CL66">
        <v>26.404537185792339</v>
      </c>
      <c r="CM66">
        <v>10.578522910912103</v>
      </c>
      <c r="CN66">
        <v>16.562461600207342</v>
      </c>
      <c r="CO66">
        <v>5.923235756928233</v>
      </c>
      <c r="CP66">
        <v>8.4212398550315477</v>
      </c>
      <c r="CQ66">
        <v>1002.0985245455906</v>
      </c>
      <c r="CR66">
        <v>26.651086352705843</v>
      </c>
      <c r="CS66">
        <v>10.537500160563328</v>
      </c>
      <c r="CT66">
        <v>16.796693313613357</v>
      </c>
      <c r="CU66">
        <v>5.9138364062902324</v>
      </c>
      <c r="CV66">
        <v>8.7982953295921202</v>
      </c>
      <c r="CW66">
        <v>1132.0029458722981</v>
      </c>
      <c r="CX66">
        <v>24.811425552820754</v>
      </c>
      <c r="CY66">
        <v>9.7823770932329968</v>
      </c>
      <c r="DA66">
        <v>70</v>
      </c>
      <c r="DB66">
        <v>12.558217541536905</v>
      </c>
      <c r="DC66">
        <v>4.5967446625157891</v>
      </c>
      <c r="DD66">
        <v>6.7278316715115585</v>
      </c>
      <c r="DE66">
        <v>809.54148767220352</v>
      </c>
      <c r="DF66">
        <v>24.452084807687996</v>
      </c>
      <c r="DG66">
        <v>9.7637614072597394</v>
      </c>
      <c r="DH66">
        <v>12.983055698364019</v>
      </c>
      <c r="DI66">
        <v>4.8992451064948366</v>
      </c>
      <c r="DJ66">
        <v>7.0236243408073067</v>
      </c>
      <c r="DK66">
        <v>845.89036935536842</v>
      </c>
      <c r="DL66">
        <v>24.556622583087385</v>
      </c>
      <c r="DM66">
        <v>10.000270235756625</v>
      </c>
      <c r="DN66">
        <v>14.515354547873164</v>
      </c>
      <c r="DO66">
        <v>5.0657293198411368</v>
      </c>
      <c r="DP66">
        <v>7.6127256785047592</v>
      </c>
      <c r="DQ66">
        <v>922.60516454376932</v>
      </c>
      <c r="DR66">
        <v>25.498690004722615</v>
      </c>
      <c r="DS66">
        <v>9.953901358621156</v>
      </c>
      <c r="DT66">
        <v>15.153481743558245</v>
      </c>
      <c r="DU66">
        <v>5.111648521134585</v>
      </c>
      <c r="DV66">
        <v>8.1470523749473092</v>
      </c>
      <c r="DW66">
        <v>988.50145955649873</v>
      </c>
      <c r="DX66">
        <v>25.59230865100065</v>
      </c>
      <c r="DY66">
        <v>9.861418041688415</v>
      </c>
      <c r="DZ66">
        <v>15.339246693447018</v>
      </c>
      <c r="EA66">
        <v>5.2023413607614026</v>
      </c>
      <c r="EB66">
        <v>8.4981959195876442</v>
      </c>
      <c r="EC66">
        <v>1116.6342041111413</v>
      </c>
      <c r="ED66">
        <v>23.847702406819256</v>
      </c>
      <c r="EE66">
        <v>9.2798381094667199</v>
      </c>
      <c r="EG66">
        <v>70</v>
      </c>
      <c r="EH66">
        <v>11.934444367691512</v>
      </c>
      <c r="EI66">
        <v>4.2450024121960412</v>
      </c>
      <c r="EJ66">
        <v>6.1787855899744111</v>
      </c>
      <c r="EK66">
        <v>804.67493694943028</v>
      </c>
      <c r="EL66">
        <v>23.824780737842275</v>
      </c>
      <c r="EM66">
        <v>9.3856877327650405</v>
      </c>
      <c r="EN66">
        <v>12.384131791433045</v>
      </c>
      <c r="EO66">
        <v>4.4085931205803242</v>
      </c>
      <c r="EP66">
        <v>6.4848693094898859</v>
      </c>
      <c r="EQ66">
        <v>841.96736474472073</v>
      </c>
      <c r="ER66">
        <v>23.959701390698925</v>
      </c>
      <c r="ES66">
        <v>9.4641201442280956</v>
      </c>
      <c r="ET66">
        <v>12.733706113718092</v>
      </c>
      <c r="EU66">
        <v>4.5847290203377016</v>
      </c>
      <c r="EV66">
        <v>7.0278055052052446</v>
      </c>
      <c r="EW66">
        <v>934.0871571512854</v>
      </c>
      <c r="EX66">
        <v>23.27788631589225</v>
      </c>
      <c r="EY66">
        <v>9.3166043818223905</v>
      </c>
      <c r="EZ66">
        <v>13.523651225619355</v>
      </c>
      <c r="FA66">
        <v>4.6816611098094727</v>
      </c>
      <c r="FB66">
        <v>7.5155667652815943</v>
      </c>
      <c r="FC66">
        <v>995.50265262028472</v>
      </c>
      <c r="FD66">
        <v>23.775128950885321</v>
      </c>
      <c r="FE66">
        <v>9.3601344925143675</v>
      </c>
      <c r="FF66">
        <v>13.722725196834956</v>
      </c>
      <c r="FG66">
        <v>4.7298401011655971</v>
      </c>
      <c r="FH66">
        <v>7.8437720294096875</v>
      </c>
      <c r="FI66">
        <v>1132.3616100965826</v>
      </c>
      <c r="FJ66">
        <v>22.088914422109827</v>
      </c>
      <c r="FK66">
        <v>8.7336795012021682</v>
      </c>
    </row>
    <row r="67" spans="2:167" x14ac:dyDescent="0.25">
      <c r="B67">
        <v>774.65525847406627</v>
      </c>
      <c r="C67">
        <v>1.290896807400266</v>
      </c>
      <c r="D67">
        <v>834.09213473027705</v>
      </c>
      <c r="E67">
        <v>1.1989083200303443</v>
      </c>
      <c r="F67">
        <v>964.78947061264319</v>
      </c>
      <c r="G67">
        <v>1.036495557279453</v>
      </c>
      <c r="H67">
        <v>1086.9509360449586</v>
      </c>
      <c r="I67">
        <v>0.92000472775584219</v>
      </c>
      <c r="J67">
        <v>1209.9158391358806</v>
      </c>
      <c r="K67">
        <v>0.82650376799281999</v>
      </c>
      <c r="L67">
        <v>904.99070114558731</v>
      </c>
      <c r="M67">
        <v>1.1049837293732905</v>
      </c>
      <c r="N67">
        <v>893.52469599766323</v>
      </c>
      <c r="O67">
        <v>1.119163246946915</v>
      </c>
      <c r="Q67">
        <v>0.13961807729786488</v>
      </c>
      <c r="R67">
        <v>0.14025443177897615</v>
      </c>
      <c r="S67">
        <v>0.14051328081533768</v>
      </c>
      <c r="T67">
        <v>0.14161852081419107</v>
      </c>
      <c r="U67">
        <v>0.14210781786148463</v>
      </c>
      <c r="V67">
        <v>0.14054090941733563</v>
      </c>
      <c r="W67">
        <v>0.14013434014639486</v>
      </c>
      <c r="Y67">
        <v>1.9486655422440742</v>
      </c>
      <c r="Z67">
        <v>1.9631549536920612</v>
      </c>
      <c r="AA67">
        <v>2.0232157366038903</v>
      </c>
      <c r="AB67">
        <v>2.0757918402516626</v>
      </c>
      <c r="AC67">
        <v>2.1190963075859184</v>
      </c>
      <c r="AD67">
        <v>1.9926568100152497</v>
      </c>
      <c r="AE67">
        <v>1.9930805655091626</v>
      </c>
      <c r="AG67">
        <v>0.76263459732120997</v>
      </c>
      <c r="AH67">
        <v>0.76967392089191189</v>
      </c>
      <c r="AI67">
        <v>0.79904024952217279</v>
      </c>
      <c r="AJ67">
        <v>0.81386632597077802</v>
      </c>
      <c r="AK67">
        <v>0.83557063922803176</v>
      </c>
      <c r="AL67">
        <v>0.78360751863091327</v>
      </c>
      <c r="AM67">
        <v>0.78464913050317764</v>
      </c>
      <c r="AO67">
        <v>71</v>
      </c>
      <c r="AP67">
        <v>14.131890583564111</v>
      </c>
      <c r="AQ67">
        <v>6.1184900650017342</v>
      </c>
      <c r="AR67">
        <v>7.0869327972172087</v>
      </c>
      <c r="AS67">
        <v>812.40397023665435</v>
      </c>
      <c r="AT67">
        <v>26.304978928796466</v>
      </c>
      <c r="AU67">
        <v>11.603408761738615</v>
      </c>
      <c r="AV67">
        <v>14.740282668245865</v>
      </c>
      <c r="AW67">
        <v>6.2331528128264049</v>
      </c>
      <c r="AX67">
        <v>7.4668909865653905</v>
      </c>
      <c r="AY67">
        <v>854.86099950995026</v>
      </c>
      <c r="AZ67">
        <v>26.359887265980351</v>
      </c>
      <c r="BA67">
        <v>11.458170719926544</v>
      </c>
      <c r="BB67">
        <v>16.360049880544899</v>
      </c>
      <c r="BC67">
        <v>6.5976778702880861</v>
      </c>
      <c r="BD67">
        <v>8.1209683791288469</v>
      </c>
      <c r="BE67">
        <v>930.136356370371</v>
      </c>
      <c r="BF67">
        <v>27.280992211689608</v>
      </c>
      <c r="BG67">
        <v>11.522838808669954</v>
      </c>
      <c r="BH67">
        <v>17.353650562877618</v>
      </c>
      <c r="BI67">
        <v>6.9073669352605407</v>
      </c>
      <c r="BJ67">
        <v>8.7377652471200147</v>
      </c>
      <c r="BK67">
        <v>999.96753566133305</v>
      </c>
      <c r="BL67">
        <v>27.511013236132481</v>
      </c>
      <c r="BM67">
        <v>11.549565856657964</v>
      </c>
      <c r="BN67">
        <v>17.764944638605112</v>
      </c>
      <c r="BO67">
        <v>7.0133757160555419</v>
      </c>
      <c r="BP67">
        <v>9.2811401923018035</v>
      </c>
      <c r="BQ67">
        <v>1129.7372612289246</v>
      </c>
      <c r="BR67">
        <v>25.731999144533919</v>
      </c>
      <c r="BS67">
        <v>10.7815522467902</v>
      </c>
      <c r="BU67">
        <v>71</v>
      </c>
      <c r="BV67">
        <v>13.671602747647906</v>
      </c>
      <c r="BW67">
        <v>5.1602708261524981</v>
      </c>
      <c r="BX67">
        <v>6.8845361535970939</v>
      </c>
      <c r="BY67">
        <v>821.35658804152035</v>
      </c>
      <c r="BZ67">
        <v>25.457860553219987</v>
      </c>
      <c r="CA67">
        <v>10.31030399069242</v>
      </c>
      <c r="CB67">
        <v>14.130353722630307</v>
      </c>
      <c r="CC67">
        <v>5.2253594395740457</v>
      </c>
      <c r="CD67">
        <v>7.2289314151459738</v>
      </c>
      <c r="CE67">
        <v>865.83346419513293</v>
      </c>
      <c r="CF67">
        <v>25.321394397628616</v>
      </c>
      <c r="CG67">
        <v>10.14900701384682</v>
      </c>
      <c r="CH67">
        <v>15.736048337544398</v>
      </c>
      <c r="CI67">
        <v>5.7972766367003157</v>
      </c>
      <c r="CJ67">
        <v>7.8459330603633699</v>
      </c>
      <c r="CK67">
        <v>938.8147194754564</v>
      </c>
      <c r="CL67">
        <v>26.364138351791158</v>
      </c>
      <c r="CM67">
        <v>10.563756474219703</v>
      </c>
      <c r="CN67">
        <v>16.705566856070199</v>
      </c>
      <c r="CO67">
        <v>5.9806458066907116</v>
      </c>
      <c r="CP67">
        <v>8.4732444660083281</v>
      </c>
      <c r="CQ67">
        <v>1009.3194869100823</v>
      </c>
      <c r="CR67">
        <v>26.61400750787978</v>
      </c>
      <c r="CS67">
        <v>10.524387883949608</v>
      </c>
      <c r="CT67">
        <v>16.942178844488783</v>
      </c>
      <c r="CU67">
        <v>5.9713282364965545</v>
      </c>
      <c r="CV67">
        <v>8.8525023183123732</v>
      </c>
      <c r="CW67">
        <v>1141.464332068643</v>
      </c>
      <c r="CX67">
        <v>24.746837594287399</v>
      </c>
      <c r="CY67">
        <v>9.7578816215314941</v>
      </c>
      <c r="DA67">
        <v>71</v>
      </c>
      <c r="DB67">
        <v>12.632919710680394</v>
      </c>
      <c r="DC67">
        <v>4.6390836017808157</v>
      </c>
      <c r="DD67">
        <v>6.7623011246394649</v>
      </c>
      <c r="DE67">
        <v>815.29405763087027</v>
      </c>
      <c r="DF67">
        <v>24.373167276117847</v>
      </c>
      <c r="DG67">
        <v>9.7477085828245844</v>
      </c>
      <c r="DH67">
        <v>13.06596352129942</v>
      </c>
      <c r="DI67">
        <v>4.947108518070249</v>
      </c>
      <c r="DJ67">
        <v>7.0627860623989056</v>
      </c>
      <c r="DK67">
        <v>852.14361465401805</v>
      </c>
      <c r="DL67">
        <v>24.479113695745358</v>
      </c>
      <c r="DM67">
        <v>9.9855221973243395</v>
      </c>
      <c r="DN67">
        <v>14.608432825254001</v>
      </c>
      <c r="DO67">
        <v>5.1154765945965837</v>
      </c>
      <c r="DP67">
        <v>7.6537536489848943</v>
      </c>
      <c r="DQ67">
        <v>929.19231253058297</v>
      </c>
      <c r="DR67">
        <v>25.423612873337252</v>
      </c>
      <c r="DS67">
        <v>9.9393956496426572</v>
      </c>
      <c r="DT67">
        <v>15.264239299025697</v>
      </c>
      <c r="DU67">
        <v>5.1682149862339379</v>
      </c>
      <c r="DV67">
        <v>8.1976029566117958</v>
      </c>
      <c r="DW67">
        <v>996.16601971151624</v>
      </c>
      <c r="DX67">
        <v>25.518546449507966</v>
      </c>
      <c r="DY67">
        <v>9.8477952113392337</v>
      </c>
      <c r="DZ67">
        <v>15.452935814295287</v>
      </c>
      <c r="EA67">
        <v>5.2605788791563723</v>
      </c>
      <c r="EB67">
        <v>8.551887106646598</v>
      </c>
      <c r="EC67">
        <v>1126.5911409904916</v>
      </c>
      <c r="ED67">
        <v>23.751641959171771</v>
      </c>
      <c r="EE67">
        <v>9.2558196942844226</v>
      </c>
      <c r="EG67">
        <v>71</v>
      </c>
      <c r="EH67">
        <v>11.99840578594951</v>
      </c>
      <c r="EI67">
        <v>4.284111671395725</v>
      </c>
      <c r="EJ67">
        <v>6.2103606898989101</v>
      </c>
      <c r="EK67">
        <v>810.33670609629894</v>
      </c>
      <c r="EL67">
        <v>23.73924860667131</v>
      </c>
      <c r="EM67">
        <v>9.3692867367246873</v>
      </c>
      <c r="EN67">
        <v>12.457018290812313</v>
      </c>
      <c r="EO67">
        <v>4.4516512363891323</v>
      </c>
      <c r="EP67">
        <v>6.5208815841834298</v>
      </c>
      <c r="EQ67">
        <v>848.20314942620723</v>
      </c>
      <c r="ER67">
        <v>23.874911583895052</v>
      </c>
      <c r="ES67">
        <v>9.4477858319387895</v>
      </c>
      <c r="ET67">
        <v>12.828074574382548</v>
      </c>
      <c r="EU67">
        <v>4.6297526889668701</v>
      </c>
      <c r="EV67">
        <v>7.0656135531059476</v>
      </c>
      <c r="EW67">
        <v>941.03953973997477</v>
      </c>
      <c r="EX67">
        <v>23.211636137863771</v>
      </c>
      <c r="EY67">
        <v>9.2981067784207063</v>
      </c>
      <c r="EZ67">
        <v>13.624354072781703</v>
      </c>
      <c r="FA67">
        <v>4.7334681540013053</v>
      </c>
      <c r="FB67">
        <v>7.5620660527742185</v>
      </c>
      <c r="FC67">
        <v>1003.4636450238852</v>
      </c>
      <c r="FD67">
        <v>23.698739597705849</v>
      </c>
      <c r="FE67">
        <v>9.3429315280855469</v>
      </c>
      <c r="FF67">
        <v>13.824225128554772</v>
      </c>
      <c r="FG67">
        <v>4.7827875710749188</v>
      </c>
      <c r="FH67">
        <v>7.8932007644575286</v>
      </c>
      <c r="FI67">
        <v>1143.6095328657564</v>
      </c>
      <c r="FJ67">
        <v>21.97400249582417</v>
      </c>
      <c r="FK67">
        <v>8.7002887577998642</v>
      </c>
    </row>
    <row r="68" spans="2:167" x14ac:dyDescent="0.25">
      <c r="B68">
        <v>774.61869565727091</v>
      </c>
      <c r="C68">
        <v>1.2909577390867013</v>
      </c>
      <c r="D68">
        <v>834.34868226228423</v>
      </c>
      <c r="E68">
        <v>1.1985396768273937</v>
      </c>
      <c r="F68">
        <v>965.0124247880882</v>
      </c>
      <c r="G68">
        <v>1.036256087811092</v>
      </c>
      <c r="H68">
        <v>1087.8431942996524</v>
      </c>
      <c r="I68">
        <v>0.91925013204112993</v>
      </c>
      <c r="J68">
        <v>1211.1325382384821</v>
      </c>
      <c r="K68">
        <v>0.82567346547755927</v>
      </c>
      <c r="L68">
        <v>905.28029761150344</v>
      </c>
      <c r="M68">
        <v>1.104630248375454</v>
      </c>
      <c r="N68">
        <v>893.71904621713668</v>
      </c>
      <c r="O68">
        <v>1.1189198711079515</v>
      </c>
      <c r="Q68">
        <v>0.14149071940600016</v>
      </c>
      <c r="R68">
        <v>0.14213107186644777</v>
      </c>
      <c r="S68">
        <v>0.1423846062149467</v>
      </c>
      <c r="T68">
        <v>0.14349765310825208</v>
      </c>
      <c r="U68">
        <v>0.14398907480497181</v>
      </c>
      <c r="V68">
        <v>0.14241427329364936</v>
      </c>
      <c r="W68">
        <v>0.14200869674893135</v>
      </c>
      <c r="Y68">
        <v>1.961281986815171</v>
      </c>
      <c r="Z68">
        <v>1.9766514278867804</v>
      </c>
      <c r="AA68">
        <v>2.0366127257088413</v>
      </c>
      <c r="AB68">
        <v>2.0912149782258087</v>
      </c>
      <c r="AC68">
        <v>2.1350812222677069</v>
      </c>
      <c r="AD68">
        <v>2.0060772271255969</v>
      </c>
      <c r="AE68">
        <v>2.0065358393064363</v>
      </c>
      <c r="AG68">
        <v>0.76753741121734753</v>
      </c>
      <c r="AH68">
        <v>0.77494304028084759</v>
      </c>
      <c r="AI68">
        <v>0.80430103746427217</v>
      </c>
      <c r="AJ68">
        <v>0.8199040295153619</v>
      </c>
      <c r="AK68">
        <v>0.8418669789677935</v>
      </c>
      <c r="AL68">
        <v>0.78886008231400329</v>
      </c>
      <c r="AM68">
        <v>0.78991974146747879</v>
      </c>
      <c r="AO68">
        <v>72</v>
      </c>
      <c r="AP68">
        <v>14.246476013074753</v>
      </c>
      <c r="AQ68">
        <v>6.1715718902623387</v>
      </c>
      <c r="AR68">
        <v>7.1293053612474608</v>
      </c>
      <c r="AS68">
        <v>817.99055640116489</v>
      </c>
      <c r="AT68">
        <v>26.264989170314703</v>
      </c>
      <c r="AU68">
        <v>11.588863656046499</v>
      </c>
      <c r="AV68">
        <v>14.863426364141796</v>
      </c>
      <c r="AW68">
        <v>6.2887763382162758</v>
      </c>
      <c r="AX68">
        <v>7.5122278220546246</v>
      </c>
      <c r="AY68">
        <v>860.90498995392693</v>
      </c>
      <c r="AZ68">
        <v>26.320651774144388</v>
      </c>
      <c r="BA68">
        <v>11.443611665376226</v>
      </c>
      <c r="BB68">
        <v>16.493585891049992</v>
      </c>
      <c r="BC68">
        <v>6.6567046029130266</v>
      </c>
      <c r="BD68">
        <v>8.168214986314144</v>
      </c>
      <c r="BE68">
        <v>936.56979317287005</v>
      </c>
      <c r="BF68">
        <v>27.238399288798316</v>
      </c>
      <c r="BG68">
        <v>11.507727711843057</v>
      </c>
      <c r="BH68">
        <v>17.499415554646632</v>
      </c>
      <c r="BI68">
        <v>6.9716128102672661</v>
      </c>
      <c r="BJ68">
        <v>8.7892553017069623</v>
      </c>
      <c r="BK68">
        <v>1007.0213455090391</v>
      </c>
      <c r="BL68">
        <v>27.471336616205093</v>
      </c>
      <c r="BM68">
        <v>11.536247194096497</v>
      </c>
      <c r="BN68">
        <v>17.914339232791754</v>
      </c>
      <c r="BO68">
        <v>7.0786822132034919</v>
      </c>
      <c r="BP68">
        <v>9.3354600001010102</v>
      </c>
      <c r="BQ68">
        <v>1138.8646690216049</v>
      </c>
      <c r="BR68">
        <v>25.666931695409016</v>
      </c>
      <c r="BS68">
        <v>10.757049587178408</v>
      </c>
      <c r="BU68">
        <v>72</v>
      </c>
      <c r="BV68">
        <v>13.781616149377658</v>
      </c>
      <c r="BW68">
        <v>5.2054050341490736</v>
      </c>
      <c r="BX68">
        <v>6.9255442574297206</v>
      </c>
      <c r="BY68">
        <v>826.88011824094235</v>
      </c>
      <c r="BZ68">
        <v>25.420436140507537</v>
      </c>
      <c r="CA68">
        <v>10.295826427734653</v>
      </c>
      <c r="CB68">
        <v>14.247752636178481</v>
      </c>
      <c r="CC68">
        <v>5.2728675669706524</v>
      </c>
      <c r="CD68">
        <v>7.2727053677300804</v>
      </c>
      <c r="CE68">
        <v>871.88449425494935</v>
      </c>
      <c r="CF68">
        <v>25.283058557056258</v>
      </c>
      <c r="CG68">
        <v>10.134316727495328</v>
      </c>
      <c r="CH68">
        <v>15.863769773039271</v>
      </c>
      <c r="CI68">
        <v>5.8498756759790256</v>
      </c>
      <c r="CJ68">
        <v>7.891487699705011</v>
      </c>
      <c r="CK68">
        <v>945.17131571906589</v>
      </c>
      <c r="CL68">
        <v>26.32416521372145</v>
      </c>
      <c r="CM68">
        <v>10.549369273284455</v>
      </c>
      <c r="CN68">
        <v>16.84513854091259</v>
      </c>
      <c r="CO68">
        <v>6.0371378661054633</v>
      </c>
      <c r="CP68">
        <v>8.5230442562543427</v>
      </c>
      <c r="CQ68">
        <v>1016.2794469023247</v>
      </c>
      <c r="CR68">
        <v>26.577281898966209</v>
      </c>
      <c r="CS68">
        <v>10.511648405292267</v>
      </c>
      <c r="CT68">
        <v>17.084112012698242</v>
      </c>
      <c r="CU68">
        <v>6.0279321809382642</v>
      </c>
      <c r="CV68">
        <v>8.9043543176162174</v>
      </c>
      <c r="CW68">
        <v>1150.6166892422723</v>
      </c>
      <c r="CX68">
        <v>24.683228320546768</v>
      </c>
      <c r="CY68">
        <v>9.7339746504645284</v>
      </c>
      <c r="DA68">
        <v>72</v>
      </c>
      <c r="DB68">
        <v>12.704256253948881</v>
      </c>
      <c r="DC68">
        <v>4.6807861458224309</v>
      </c>
      <c r="DD68">
        <v>6.7951149784679572</v>
      </c>
      <c r="DE68">
        <v>820.87109303230045</v>
      </c>
      <c r="DF68">
        <v>24.294062143793521</v>
      </c>
      <c r="DG68">
        <v>9.7320947873997721</v>
      </c>
      <c r="DH68">
        <v>13.145541460983841</v>
      </c>
      <c r="DI68">
        <v>4.9943446592437652</v>
      </c>
      <c r="DJ68">
        <v>7.1002703663984326</v>
      </c>
      <c r="DK68">
        <v>858.21786991359852</v>
      </c>
      <c r="DL68">
        <v>24.401374385447063</v>
      </c>
      <c r="DM68">
        <v>9.971163508523043</v>
      </c>
      <c r="DN68">
        <v>14.697427341865009</v>
      </c>
      <c r="DO68">
        <v>5.1645246365396513</v>
      </c>
      <c r="DP68">
        <v>7.6927387393221958</v>
      </c>
      <c r="DQ68">
        <v>935.56502046055732</v>
      </c>
      <c r="DR68">
        <v>25.347787615457019</v>
      </c>
      <c r="DS68">
        <v>9.9251361407527696</v>
      </c>
      <c r="DT68">
        <v>15.371144354920625</v>
      </c>
      <c r="DU68">
        <v>5.224299484176858</v>
      </c>
      <c r="DV68">
        <v>8.2460985442632921</v>
      </c>
      <c r="DW68">
        <v>1003.6143018519701</v>
      </c>
      <c r="DX68">
        <v>25.443988906231279</v>
      </c>
      <c r="DY68">
        <v>9.8343893936351119</v>
      </c>
      <c r="DZ68">
        <v>15.562808881227975</v>
      </c>
      <c r="EA68">
        <v>5.3183526288121881</v>
      </c>
      <c r="EB68">
        <v>8.6034326988024361</v>
      </c>
      <c r="EC68">
        <v>1136.2894636991196</v>
      </c>
      <c r="ED68">
        <v>23.655619608601654</v>
      </c>
      <c r="EE68">
        <v>9.2322374434490264</v>
      </c>
      <c r="EG68">
        <v>72</v>
      </c>
      <c r="EH68">
        <v>12.058969418952882</v>
      </c>
      <c r="EI68">
        <v>4.3226177608342109</v>
      </c>
      <c r="EJ68">
        <v>6.2404767959447804</v>
      </c>
      <c r="EK68">
        <v>815.82795166878441</v>
      </c>
      <c r="EL68">
        <v>23.653279434349116</v>
      </c>
      <c r="EM68">
        <v>9.3532305249287671</v>
      </c>
      <c r="EN68">
        <v>12.526494628439588</v>
      </c>
      <c r="EO68">
        <v>4.494149334687549</v>
      </c>
      <c r="EP68">
        <v>6.5553991514547967</v>
      </c>
      <c r="EQ68">
        <v>854.26639468589258</v>
      </c>
      <c r="ER68">
        <v>23.78959167997105</v>
      </c>
      <c r="ES68">
        <v>9.431759732572905</v>
      </c>
      <c r="ET68">
        <v>12.919711275445282</v>
      </c>
      <c r="EU68">
        <v>4.6741435493489814</v>
      </c>
      <c r="EV68">
        <v>7.1015898662759156</v>
      </c>
      <c r="EW68">
        <v>947.75259938096008</v>
      </c>
      <c r="EX68">
        <v>23.146111534796685</v>
      </c>
      <c r="EY68">
        <v>9.2800896722955528</v>
      </c>
      <c r="EZ68">
        <v>13.721871144936877</v>
      </c>
      <c r="FA68">
        <v>4.7848244136438352</v>
      </c>
      <c r="FB68">
        <v>7.6067248820909992</v>
      </c>
      <c r="FC68">
        <v>1011.192994237442</v>
      </c>
      <c r="FD68">
        <v>23.622273975984363</v>
      </c>
      <c r="FE68">
        <v>9.3260721035870837</v>
      </c>
      <c r="FF68">
        <v>13.92242796978846</v>
      </c>
      <c r="FG68">
        <v>4.8353098303170619</v>
      </c>
      <c r="FH68">
        <v>7.9407037124284852</v>
      </c>
      <c r="FI68">
        <v>1154.6032917411685</v>
      </c>
      <c r="FJ68">
        <v>21.85967300424673</v>
      </c>
      <c r="FK68">
        <v>8.6674370378530892</v>
      </c>
    </row>
    <row r="69" spans="2:167" x14ac:dyDescent="0.25">
      <c r="B69">
        <v>774.37228690596476</v>
      </c>
      <c r="C69">
        <v>1.2913685276568196</v>
      </c>
      <c r="D69">
        <v>834.36925540707364</v>
      </c>
      <c r="E69">
        <v>1.1985101242879785</v>
      </c>
      <c r="F69">
        <v>964.90992214542439</v>
      </c>
      <c r="G69">
        <v>1.03636616957628</v>
      </c>
      <c r="H69">
        <v>1088.3523213626756</v>
      </c>
      <c r="I69">
        <v>0.91882011033701505</v>
      </c>
      <c r="J69">
        <v>1211.9027516227438</v>
      </c>
      <c r="K69">
        <v>0.82514871647992794</v>
      </c>
      <c r="L69">
        <v>905.2728940261253</v>
      </c>
      <c r="M69">
        <v>1.1046392823633366</v>
      </c>
      <c r="N69">
        <v>893.65014062854868</v>
      </c>
      <c r="O69">
        <v>1.1190061462941752</v>
      </c>
      <c r="Q69">
        <v>0.14336156328440514</v>
      </c>
      <c r="R69">
        <v>0.14400568360351265</v>
      </c>
      <c r="S69">
        <v>0.14425330823983454</v>
      </c>
      <c r="T69">
        <v>0.14537371611455766</v>
      </c>
      <c r="U69">
        <v>0.14586693855820335</v>
      </c>
      <c r="V69">
        <v>0.14428510782556914</v>
      </c>
      <c r="W69">
        <v>0.14388094215353947</v>
      </c>
      <c r="Y69">
        <v>1.9734875130769352</v>
      </c>
      <c r="Z69">
        <v>1.9897641604246481</v>
      </c>
      <c r="AA69">
        <v>2.0495726846132976</v>
      </c>
      <c r="AB69">
        <v>2.1062407396979288</v>
      </c>
      <c r="AC69">
        <v>2.1506679982862198</v>
      </c>
      <c r="AD69">
        <v>2.0190942868223161</v>
      </c>
      <c r="AE69">
        <v>2.0195766580741843</v>
      </c>
      <c r="AG69">
        <v>0.77232082218442311</v>
      </c>
      <c r="AH69">
        <v>0.78010301233082835</v>
      </c>
      <c r="AI69">
        <v>0.80942939533570724</v>
      </c>
      <c r="AJ69">
        <v>0.82582762189939407</v>
      </c>
      <c r="AK69">
        <v>0.84804733506918073</v>
      </c>
      <c r="AL69">
        <v>0.79399548488760774</v>
      </c>
      <c r="AM69">
        <v>0.79506725450517135</v>
      </c>
      <c r="AO69">
        <v>73</v>
      </c>
      <c r="AP69">
        <v>14.35865747391623</v>
      </c>
      <c r="AQ69">
        <v>6.2235897963211428</v>
      </c>
      <c r="AR69">
        <v>7.1702725943824639</v>
      </c>
      <c r="AS69">
        <v>823.39173202342818</v>
      </c>
      <c r="AT69">
        <v>26.226146417208781</v>
      </c>
      <c r="AU69">
        <v>11.574741738215426</v>
      </c>
      <c r="AV69">
        <v>14.984054503367583</v>
      </c>
      <c r="AW69">
        <v>6.3433638859478307</v>
      </c>
      <c r="AX69">
        <v>7.5560060249892329</v>
      </c>
      <c r="AY69">
        <v>866.75011927724529</v>
      </c>
      <c r="AZ69">
        <v>26.282547090835259</v>
      </c>
      <c r="BA69">
        <v>11.429519962944427</v>
      </c>
      <c r="BB69">
        <v>16.623871520817811</v>
      </c>
      <c r="BC69">
        <v>6.7145706873388384</v>
      </c>
      <c r="BD69">
        <v>8.2135140601751502</v>
      </c>
      <c r="BE69">
        <v>942.77643598577345</v>
      </c>
      <c r="BF69">
        <v>27.196256561647417</v>
      </c>
      <c r="BG69">
        <v>11.492882189542101</v>
      </c>
      <c r="BH69">
        <v>17.641630366448478</v>
      </c>
      <c r="BI69">
        <v>7.0346516530604193</v>
      </c>
      <c r="BJ69">
        <v>8.838498885342057</v>
      </c>
      <c r="BK69">
        <v>1013.8215227077089</v>
      </c>
      <c r="BL69">
        <v>27.432041867668516</v>
      </c>
      <c r="BM69">
        <v>11.523192179071394</v>
      </c>
      <c r="BN69">
        <v>18.060096908411253</v>
      </c>
      <c r="BO69">
        <v>7.1427729035668781</v>
      </c>
      <c r="BP69">
        <v>9.3873021480073291</v>
      </c>
      <c r="BQ69">
        <v>1147.689012603327</v>
      </c>
      <c r="BR69">
        <v>25.60285573608618</v>
      </c>
      <c r="BS69">
        <v>10.733050041517926</v>
      </c>
      <c r="BU69">
        <v>73</v>
      </c>
      <c r="BV69">
        <v>13.889172374189247</v>
      </c>
      <c r="BW69">
        <v>5.2497965796089696</v>
      </c>
      <c r="BX69">
        <v>6.9651573502415642</v>
      </c>
      <c r="BY69">
        <v>832.20882659637493</v>
      </c>
      <c r="BZ69">
        <v>25.384141994067384</v>
      </c>
      <c r="CA69">
        <v>10.281978702192927</v>
      </c>
      <c r="CB69">
        <v>14.36263945231561</v>
      </c>
      <c r="CC69">
        <v>5.3196697096639527</v>
      </c>
      <c r="CD69">
        <v>7.3149476031847849</v>
      </c>
      <c r="CE69">
        <v>877.72715389722316</v>
      </c>
      <c r="CF69">
        <v>25.245870173265711</v>
      </c>
      <c r="CG69">
        <v>10.120278922030467</v>
      </c>
      <c r="CH69">
        <v>15.988252136884498</v>
      </c>
      <c r="CI69">
        <v>5.9015638261617402</v>
      </c>
      <c r="CJ69">
        <v>7.9351422330351884</v>
      </c>
      <c r="CK69">
        <v>951.29290450463202</v>
      </c>
      <c r="CL69">
        <v>26.284617840634375</v>
      </c>
      <c r="CM69">
        <v>10.535358354115607</v>
      </c>
      <c r="CN69">
        <v>16.981176643079689</v>
      </c>
      <c r="CO69">
        <v>6.0927119323220031</v>
      </c>
      <c r="CP69">
        <v>8.5706392206027164</v>
      </c>
      <c r="CQ69">
        <v>1022.9770432218271</v>
      </c>
      <c r="CR69">
        <v>26.54090911794297</v>
      </c>
      <c r="CS69">
        <v>10.499278152786744</v>
      </c>
      <c r="CT69">
        <v>17.222492796648794</v>
      </c>
      <c r="CU69">
        <v>6.0836482342160165</v>
      </c>
      <c r="CV69">
        <v>8.9538513176203161</v>
      </c>
      <c r="CW69">
        <v>1159.456505985745</v>
      </c>
      <c r="CX69">
        <v>24.620597633838869</v>
      </c>
      <c r="CY69">
        <v>9.7106522555140753</v>
      </c>
      <c r="DA69">
        <v>73</v>
      </c>
      <c r="DB69">
        <v>12.772227553083843</v>
      </c>
      <c r="DC69">
        <v>4.7218522946727806</v>
      </c>
      <c r="DD69">
        <v>6.8262736508407018</v>
      </c>
      <c r="DE69">
        <v>826.27102147270318</v>
      </c>
      <c r="DF69">
        <v>24.214769345622223</v>
      </c>
      <c r="DG69">
        <v>9.7169196755739584</v>
      </c>
      <c r="DH69">
        <v>13.221789517116363</v>
      </c>
      <c r="DI69">
        <v>5.0409535196161164</v>
      </c>
      <c r="DJ69">
        <v>7.1360772527263965</v>
      </c>
      <c r="DK69">
        <v>864.1115868311274</v>
      </c>
      <c r="DL69">
        <v>24.323404708317625</v>
      </c>
      <c r="DM69">
        <v>9.9571948298773609</v>
      </c>
      <c r="DN69">
        <v>14.782338097492403</v>
      </c>
      <c r="DO69">
        <v>5.2128734452812333</v>
      </c>
      <c r="DP69">
        <v>7.7296813239716613</v>
      </c>
      <c r="DQ69">
        <v>941.72193134026418</v>
      </c>
      <c r="DR69">
        <v>25.271213951818183</v>
      </c>
      <c r="DS69">
        <v>9.9111223357830749</v>
      </c>
      <c r="DT69">
        <v>15.474196906490661</v>
      </c>
      <c r="DU69">
        <v>5.2799020135230883</v>
      </c>
      <c r="DV69">
        <v>8.2925391362673526</v>
      </c>
      <c r="DW69">
        <v>1010.8451099526397</v>
      </c>
      <c r="DX69">
        <v>25.36863535750296</v>
      </c>
      <c r="DY69">
        <v>9.8211986229695754</v>
      </c>
      <c r="DZ69">
        <v>15.668865884602486</v>
      </c>
      <c r="EA69">
        <v>5.3756626068620355</v>
      </c>
      <c r="EB69">
        <v>8.6528326921603416</v>
      </c>
      <c r="EC69">
        <v>1145.7258748112492</v>
      </c>
      <c r="ED69">
        <v>23.55963654937295</v>
      </c>
      <c r="EE69">
        <v>9.2090905334621933</v>
      </c>
      <c r="EG69">
        <v>73</v>
      </c>
      <c r="EH69">
        <v>12.116136588702298</v>
      </c>
      <c r="EI69">
        <v>4.3605206805422805</v>
      </c>
      <c r="EJ69">
        <v>6.2691342093733109</v>
      </c>
      <c r="EK69">
        <v>821.14716584026985</v>
      </c>
      <c r="EL69">
        <v>23.566873323795864</v>
      </c>
      <c r="EM69">
        <v>9.3375193275229371</v>
      </c>
      <c r="EN69">
        <v>12.5925609591831</v>
      </c>
      <c r="EO69">
        <v>4.5360874152010604</v>
      </c>
      <c r="EP69">
        <v>6.5884220112126419</v>
      </c>
      <c r="EQ69">
        <v>860.15564655230469</v>
      </c>
      <c r="ER69">
        <v>23.703741716316198</v>
      </c>
      <c r="ES69">
        <v>9.416041565129067</v>
      </c>
      <c r="ET69">
        <v>13.008616215522785</v>
      </c>
      <c r="EU69">
        <v>4.7179016011318966</v>
      </c>
      <c r="EV69">
        <v>7.1357346987751038</v>
      </c>
      <c r="EW69">
        <v>954.22365874926572</v>
      </c>
      <c r="EX69">
        <v>23.081312568709752</v>
      </c>
      <c r="EY69">
        <v>9.2625553166842725</v>
      </c>
      <c r="EZ69">
        <v>13.816202437112414</v>
      </c>
      <c r="FA69">
        <v>4.8357298873873598</v>
      </c>
      <c r="FB69">
        <v>7.6495432516788364</v>
      </c>
      <c r="FC69">
        <v>1018.6885015362225</v>
      </c>
      <c r="FD69">
        <v>23.54573207781748</v>
      </c>
      <c r="FE69">
        <v>9.3095568090393819</v>
      </c>
      <c r="FF69">
        <v>14.017333712051029</v>
      </c>
      <c r="FG69">
        <v>4.8874068762669252</v>
      </c>
      <c r="FH69">
        <v>7.9862808696746947</v>
      </c>
      <c r="FI69">
        <v>1165.3380596982797</v>
      </c>
      <c r="FJ69">
        <v>21.745924122460341</v>
      </c>
      <c r="FK69">
        <v>8.6351230815178592</v>
      </c>
    </row>
    <row r="70" spans="2:167" x14ac:dyDescent="0.25">
      <c r="B70">
        <v>773.91603753138691</v>
      </c>
      <c r="C70">
        <v>1.2921298325717201</v>
      </c>
      <c r="D70">
        <v>834.15385359428581</v>
      </c>
      <c r="E70">
        <v>1.1988196130619067</v>
      </c>
      <c r="F70">
        <v>964.48196654724052</v>
      </c>
      <c r="G70">
        <v>1.0368260213095646</v>
      </c>
      <c r="H70">
        <v>1088.4782925645848</v>
      </c>
      <c r="I70">
        <v>0.91871377392734277</v>
      </c>
      <c r="J70">
        <v>1212.2264317568033</v>
      </c>
      <c r="K70">
        <v>0.82492839110162197</v>
      </c>
      <c r="L70">
        <v>904.96849068493793</v>
      </c>
      <c r="M70">
        <v>1.1050108487679347</v>
      </c>
      <c r="N70">
        <v>893.3179812264483</v>
      </c>
      <c r="O70">
        <v>1.1194222225629966</v>
      </c>
      <c r="Q70">
        <v>0.1452306089785933</v>
      </c>
      <c r="R70">
        <v>0.14587826698526818</v>
      </c>
      <c r="S70">
        <v>0.14611938692113594</v>
      </c>
      <c r="T70">
        <v>0.14724670963547934</v>
      </c>
      <c r="U70">
        <v>0.14774140875994796</v>
      </c>
      <c r="V70">
        <v>0.14615341301561147</v>
      </c>
      <c r="W70">
        <v>0.14575107637621468</v>
      </c>
      <c r="Y70">
        <v>1.9852821210893818</v>
      </c>
      <c r="Z70">
        <v>2.0024931512973589</v>
      </c>
      <c r="AA70">
        <v>2.0620956133689177</v>
      </c>
      <c r="AB70">
        <v>2.1208691242879549</v>
      </c>
      <c r="AC70">
        <v>2.1658566348358925</v>
      </c>
      <c r="AD70">
        <v>2.0317079891108576</v>
      </c>
      <c r="AE70">
        <v>2.0322030218422511</v>
      </c>
      <c r="AG70">
        <v>0.77698483023507459</v>
      </c>
      <c r="AH70">
        <v>0.78515383704036101</v>
      </c>
      <c r="AI70">
        <v>0.81442532314968774</v>
      </c>
      <c r="AJ70">
        <v>0.83163710305114757</v>
      </c>
      <c r="AK70">
        <v>0.85411170735270581</v>
      </c>
      <c r="AL70">
        <v>0.7990137263530549</v>
      </c>
      <c r="AM70">
        <v>0.80009166962348077</v>
      </c>
      <c r="AO70">
        <v>74</v>
      </c>
      <c r="AP70">
        <v>14.468434966905448</v>
      </c>
      <c r="AQ70">
        <v>6.2737146508702892</v>
      </c>
      <c r="AR70">
        <v>7.2098344971532802</v>
      </c>
      <c r="AS70">
        <v>828.5380706801318</v>
      </c>
      <c r="AT70">
        <v>26.190596653917989</v>
      </c>
      <c r="AU70">
        <v>11.560993306300432</v>
      </c>
      <c r="AV70">
        <v>15.102167085818618</v>
      </c>
      <c r="AW70">
        <v>6.3966543408406107</v>
      </c>
      <c r="AX70">
        <v>7.5982255953033997</v>
      </c>
      <c r="AY70">
        <v>872.3626323818886</v>
      </c>
      <c r="AZ70">
        <v>26.246539963876362</v>
      </c>
      <c r="BA70">
        <v>11.416018984471311</v>
      </c>
      <c r="BB70">
        <v>16.750906770798213</v>
      </c>
      <c r="BC70">
        <v>6.7712761238829122</v>
      </c>
      <c r="BD70">
        <v>8.2568656011687906</v>
      </c>
      <c r="BE70">
        <v>948.65567924313621</v>
      </c>
      <c r="BF70">
        <v>27.157404767523328</v>
      </c>
      <c r="BG70">
        <v>11.479503681157871</v>
      </c>
      <c r="BH70">
        <v>17.780294991625869</v>
      </c>
      <c r="BI70">
        <v>7.0964834614252235</v>
      </c>
      <c r="BJ70">
        <v>8.8854959949652432</v>
      </c>
      <c r="BK70">
        <v>1020.4346037515426</v>
      </c>
      <c r="BL70">
        <v>27.39130567955036</v>
      </c>
      <c r="BM70">
        <v>11.509635175682396</v>
      </c>
      <c r="BN70">
        <v>18.202217651455822</v>
      </c>
      <c r="BO70">
        <v>7.2056477824410177</v>
      </c>
      <c r="BP70">
        <v>9.4366666294743968</v>
      </c>
      <c r="BQ70">
        <v>1154.6004082338779</v>
      </c>
      <c r="BR70">
        <v>25.575308322435561</v>
      </c>
      <c r="BS70">
        <v>10.724455552721608</v>
      </c>
      <c r="BU70">
        <v>74</v>
      </c>
      <c r="BV70">
        <v>13.994271422957413</v>
      </c>
      <c r="BW70">
        <v>5.293445462723593</v>
      </c>
      <c r="BX70">
        <v>7.0033754325524296</v>
      </c>
      <c r="BY70">
        <v>837.34117349038286</v>
      </c>
      <c r="BZ70">
        <v>25.348977871436865</v>
      </c>
      <c r="CA70">
        <v>10.268758032236112</v>
      </c>
      <c r="CB70">
        <v>14.475014170934942</v>
      </c>
      <c r="CC70">
        <v>5.3657658676301265</v>
      </c>
      <c r="CD70">
        <v>7.3556581214461456</v>
      </c>
      <c r="CE70">
        <v>883.29036994167257</v>
      </c>
      <c r="CF70">
        <v>25.211808638183715</v>
      </c>
      <c r="CG70">
        <v>10.107683954478162</v>
      </c>
      <c r="CH70">
        <v>16.109495430034372</v>
      </c>
      <c r="CI70">
        <v>5.9523410874837293</v>
      </c>
      <c r="CJ70">
        <v>7.9768966607935132</v>
      </c>
      <c r="CK70">
        <v>957.13565777115684</v>
      </c>
      <c r="CL70">
        <v>26.246660775288088</v>
      </c>
      <c r="CM70">
        <v>10.522187992740786</v>
      </c>
      <c r="CN70">
        <v>17.11368115592089</v>
      </c>
      <c r="CO70">
        <v>6.1473680037137512</v>
      </c>
      <c r="CP70">
        <v>8.6160293561050665</v>
      </c>
      <c r="CQ70">
        <v>1029.5636658307676</v>
      </c>
      <c r="CR70">
        <v>26.500956888011615</v>
      </c>
      <c r="CS70">
        <v>10.485718280859896</v>
      </c>
      <c r="CT70">
        <v>17.357321182670418</v>
      </c>
      <c r="CU70">
        <v>6.1384763929115973</v>
      </c>
      <c r="CV70">
        <v>9.0009933120677452</v>
      </c>
      <c r="CW70">
        <v>1166.3001785952054</v>
      </c>
      <c r="CX70">
        <v>24.594324417883538</v>
      </c>
      <c r="CY70">
        <v>9.7018671328320956</v>
      </c>
      <c r="DA70">
        <v>74</v>
      </c>
      <c r="DB70">
        <v>12.837303304450399</v>
      </c>
      <c r="DC70">
        <v>4.762282048548518</v>
      </c>
      <c r="DD70">
        <v>6.8562912584265927</v>
      </c>
      <c r="DE70">
        <v>831.51170309364306</v>
      </c>
      <c r="DF70">
        <v>24.135288396396241</v>
      </c>
      <c r="DG70">
        <v>9.7019566373051802</v>
      </c>
      <c r="DH70">
        <v>13.294707689672853</v>
      </c>
      <c r="DI70">
        <v>5.0869231994755744</v>
      </c>
      <c r="DJ70">
        <v>7.1702067213764273</v>
      </c>
      <c r="DK70">
        <v>869.90883160740782</v>
      </c>
      <c r="DL70">
        <v>24.242817788951246</v>
      </c>
      <c r="DM70">
        <v>9.9426249245775775</v>
      </c>
      <c r="DN70">
        <v>14.863165092234476</v>
      </c>
      <c r="DO70">
        <v>5.2605230210002203</v>
      </c>
      <c r="DP70">
        <v>7.7649515391040138</v>
      </c>
      <c r="DQ70">
        <v>947.76354827623413</v>
      </c>
      <c r="DR70">
        <v>25.191182580376289</v>
      </c>
      <c r="DS70">
        <v>9.8962903523764947</v>
      </c>
      <c r="DT70">
        <v>15.573396951023954</v>
      </c>
      <c r="DU70">
        <v>5.335022573450777</v>
      </c>
      <c r="DV70">
        <v>8.3369247316913224</v>
      </c>
      <c r="DW70">
        <v>1018.0536805857753</v>
      </c>
      <c r="DX70">
        <v>25.287603795051929</v>
      </c>
      <c r="DY70">
        <v>9.806328794080418</v>
      </c>
      <c r="DZ70">
        <v>15.771106818314308</v>
      </c>
      <c r="EA70">
        <v>5.4325088114909956</v>
      </c>
      <c r="EB70">
        <v>8.700087084254589</v>
      </c>
      <c r="EC70">
        <v>1153.3184429619453</v>
      </c>
      <c r="ED70">
        <v>23.495809645648755</v>
      </c>
      <c r="EE70">
        <v>9.1989526856621051</v>
      </c>
      <c r="EG70">
        <v>74</v>
      </c>
      <c r="EH70">
        <v>12.17153389058371</v>
      </c>
      <c r="EI70">
        <v>4.3978204307273812</v>
      </c>
      <c r="EJ70">
        <v>6.2967036033975408</v>
      </c>
      <c r="EK70">
        <v>826.42178138528573</v>
      </c>
      <c r="EL70">
        <v>23.478332471770997</v>
      </c>
      <c r="EM70">
        <v>9.3206992391867232</v>
      </c>
      <c r="EN70">
        <v>12.655399843869105</v>
      </c>
      <c r="EO70">
        <v>4.5774654779076531</v>
      </c>
      <c r="EP70">
        <v>6.6199501634496398</v>
      </c>
      <c r="EQ70">
        <v>865.93081715802066</v>
      </c>
      <c r="ER70">
        <v>23.615897536676204</v>
      </c>
      <c r="ES70">
        <v>9.399965157027852</v>
      </c>
      <c r="ET70">
        <v>13.094789395251125</v>
      </c>
      <c r="EU70">
        <v>4.7610268444775112</v>
      </c>
      <c r="EV70">
        <v>7.1682991803295319</v>
      </c>
      <c r="EW70">
        <v>960.45006100600665</v>
      </c>
      <c r="EX70">
        <v>23.017239300826372</v>
      </c>
      <c r="EY70">
        <v>9.2455062924525837</v>
      </c>
      <c r="EZ70">
        <v>13.907347946470875</v>
      </c>
      <c r="FA70">
        <v>4.8861845744616996</v>
      </c>
      <c r="FB70">
        <v>7.6905211606514916</v>
      </c>
      <c r="FC70">
        <v>1025.98015038523</v>
      </c>
      <c r="FD70">
        <v>23.468377144678321</v>
      </c>
      <c r="FE70">
        <v>9.2930951142463911</v>
      </c>
      <c r="FF70">
        <v>14.108942349970825</v>
      </c>
      <c r="FG70">
        <v>4.9390787072626168</v>
      </c>
      <c r="FH70">
        <v>8.0299322338867611</v>
      </c>
      <c r="FI70">
        <v>1172.2523508578211</v>
      </c>
      <c r="FJ70">
        <v>21.698387817002939</v>
      </c>
      <c r="FK70">
        <v>8.629448835549379</v>
      </c>
    </row>
    <row r="71" spans="2:167" x14ac:dyDescent="0.25">
      <c r="B71">
        <v>773.24995736762639</v>
      </c>
      <c r="C71">
        <v>1.2932428776385561</v>
      </c>
      <c r="D71">
        <v>833.70248279557802</v>
      </c>
      <c r="E71">
        <v>1.1994686601469529</v>
      </c>
      <c r="F71">
        <v>963.72857411986456</v>
      </c>
      <c r="G71">
        <v>1.0376365574853488</v>
      </c>
      <c r="H71">
        <v>1088.2211018013998</v>
      </c>
      <c r="I71">
        <v>0.91893090323707016</v>
      </c>
      <c r="J71">
        <v>1212.103558664767</v>
      </c>
      <c r="K71">
        <v>0.82501201555878878</v>
      </c>
      <c r="L71">
        <v>904.36709973686368</v>
      </c>
      <c r="M71">
        <v>1.1057456648864845</v>
      </c>
      <c r="N71">
        <v>892.72257762545223</v>
      </c>
      <c r="O71">
        <v>1.1201688240706249</v>
      </c>
      <c r="Q71">
        <v>0.14709785657283581</v>
      </c>
      <c r="R71">
        <v>0.14774882206304457</v>
      </c>
      <c r="S71">
        <v>0.14798284238883866</v>
      </c>
      <c r="T71">
        <v>0.1491166336221178</v>
      </c>
      <c r="U71">
        <v>0.14961248525839332</v>
      </c>
      <c r="V71">
        <v>0.14801918896724028</v>
      </c>
      <c r="W71">
        <v>0.14761909949406207</v>
      </c>
      <c r="Y71">
        <v>1.9966658109636317</v>
      </c>
      <c r="Z71">
        <v>2.0148384005918691</v>
      </c>
      <c r="AA71">
        <v>2.0741815121913754</v>
      </c>
      <c r="AB71">
        <v>2.1351001319018463</v>
      </c>
      <c r="AC71">
        <v>2.1806471315781772</v>
      </c>
      <c r="AD71">
        <v>2.043918334215264</v>
      </c>
      <c r="AE71">
        <v>2.0444149307545056</v>
      </c>
      <c r="AG71">
        <v>0.78152943539270181</v>
      </c>
      <c r="AH71">
        <v>0.79009551442507187</v>
      </c>
      <c r="AI71">
        <v>0.81928882096136668</v>
      </c>
      <c r="AJ71">
        <v>0.83733247295287505</v>
      </c>
      <c r="AK71">
        <v>0.86006009574293707</v>
      </c>
      <c r="AL71">
        <v>0.80391480676493465</v>
      </c>
      <c r="AM71">
        <v>0.80499298685723564</v>
      </c>
      <c r="AO71">
        <v>75</v>
      </c>
      <c r="AP71">
        <v>14.575808493554979</v>
      </c>
      <c r="AQ71">
        <v>6.3227756656596679</v>
      </c>
      <c r="AR71">
        <v>7.2479910705432049</v>
      </c>
      <c r="AS71">
        <v>833.49610662862563</v>
      </c>
      <c r="AT71">
        <v>26.156158285346148</v>
      </c>
      <c r="AU71">
        <v>11.547671947178783</v>
      </c>
      <c r="AV71">
        <v>15.217764112590187</v>
      </c>
      <c r="AW71">
        <v>6.4489086580029742</v>
      </c>
      <c r="AX71">
        <v>7.6388865336862599</v>
      </c>
      <c r="AY71">
        <v>877.77312633941995</v>
      </c>
      <c r="AZ71">
        <v>26.211647886489651</v>
      </c>
      <c r="BA71">
        <v>11.402986501219324</v>
      </c>
      <c r="BB71">
        <v>16.87469164495673</v>
      </c>
      <c r="BC71">
        <v>6.8268209138703559</v>
      </c>
      <c r="BD71">
        <v>8.2982696112027554</v>
      </c>
      <c r="BE71">
        <v>954.30555932749996</v>
      </c>
      <c r="BF71">
        <v>27.118957013904691</v>
      </c>
      <c r="BG71">
        <v>11.46637330433281</v>
      </c>
      <c r="BH71">
        <v>17.915409428531582</v>
      </c>
      <c r="BI71">
        <v>7.157108234813677</v>
      </c>
      <c r="BJ71">
        <v>8.9302466298193686</v>
      </c>
      <c r="BK71">
        <v>1026.7912912666488</v>
      </c>
      <c r="BL71">
        <v>27.350979349581134</v>
      </c>
      <c r="BM71">
        <v>11.496354274192091</v>
      </c>
      <c r="BN71">
        <v>18.34070145603852</v>
      </c>
      <c r="BO71">
        <v>7.2673068478486993</v>
      </c>
      <c r="BP71">
        <v>9.483553441751015</v>
      </c>
      <c r="BQ71">
        <v>1161.2023805158533</v>
      </c>
      <c r="BR71">
        <v>25.548171107798623</v>
      </c>
      <c r="BS71">
        <v>10.716129508448505</v>
      </c>
      <c r="BU71">
        <v>75</v>
      </c>
      <c r="BV71">
        <v>14.096913297301807</v>
      </c>
      <c r="BW71">
        <v>5.3363516838473384</v>
      </c>
      <c r="BX71">
        <v>7.0401985053247769</v>
      </c>
      <c r="BY71">
        <v>842.27566493702238</v>
      </c>
      <c r="BZ71">
        <v>25.314943535189496</v>
      </c>
      <c r="CA71">
        <v>10.256161950769044</v>
      </c>
      <c r="CB71">
        <v>14.584876793154118</v>
      </c>
      <c r="CC71">
        <v>5.4111560411185433</v>
      </c>
      <c r="CD71">
        <v>7.3948369231835551</v>
      </c>
      <c r="CE71">
        <v>888.64191515117352</v>
      </c>
      <c r="CF71">
        <v>25.178862724013669</v>
      </c>
      <c r="CG71">
        <v>10.095722856344057</v>
      </c>
      <c r="CH71">
        <v>16.227499656473093</v>
      </c>
      <c r="CI71">
        <v>6.0022074609272345</v>
      </c>
      <c r="CJ71">
        <v>8.0167509848153564</v>
      </c>
      <c r="CK71">
        <v>962.74076488658068</v>
      </c>
      <c r="CL71">
        <v>26.209110877341654</v>
      </c>
      <c r="CM71">
        <v>10.509381866569326</v>
      </c>
      <c r="CN71">
        <v>17.24265207779063</v>
      </c>
      <c r="CO71">
        <v>6.2011060798782447</v>
      </c>
      <c r="CP71">
        <v>8.6592146620318751</v>
      </c>
      <c r="CQ71">
        <v>1035.8851973529356</v>
      </c>
      <c r="CR71">
        <v>26.461416885836368</v>
      </c>
      <c r="CS71">
        <v>10.472544952705785</v>
      </c>
      <c r="CT71">
        <v>17.48859716501811</v>
      </c>
      <c r="CU71">
        <v>6.1924166555884597</v>
      </c>
      <c r="CV71">
        <v>9.0457802983289479</v>
      </c>
      <c r="CW71">
        <v>1172.824714657205</v>
      </c>
      <c r="CX71">
        <v>24.568456357609787</v>
      </c>
      <c r="CY71">
        <v>9.6934390627922671</v>
      </c>
      <c r="DA71">
        <v>75</v>
      </c>
      <c r="DB71">
        <v>12.899013766925602</v>
      </c>
      <c r="DC71">
        <v>4.8020754078507872</v>
      </c>
      <c r="DD71">
        <v>6.8846536355660612</v>
      </c>
      <c r="DE71">
        <v>836.57214586137275</v>
      </c>
      <c r="DF71">
        <v>24.055619671448476</v>
      </c>
      <c r="DG71">
        <v>9.6874362729884371</v>
      </c>
      <c r="DH71">
        <v>13.364295978905965</v>
      </c>
      <c r="DI71">
        <v>5.1322655914552966</v>
      </c>
      <c r="DJ71">
        <v>7.202658772415262</v>
      </c>
      <c r="DK71">
        <v>875.522266336646</v>
      </c>
      <c r="DL71">
        <v>24.162049089467466</v>
      </c>
      <c r="DM71">
        <v>9.9284648471652179</v>
      </c>
      <c r="DN71">
        <v>14.939908326501577</v>
      </c>
      <c r="DO71">
        <v>5.3074733644434842</v>
      </c>
      <c r="DP71">
        <v>7.7981794191554785</v>
      </c>
      <c r="DQ71">
        <v>953.58634463956787</v>
      </c>
      <c r="DR71">
        <v>25.110456182264446</v>
      </c>
      <c r="DS71">
        <v>9.8817231320400829</v>
      </c>
      <c r="DT71">
        <v>15.668744487849509</v>
      </c>
      <c r="DU71">
        <v>5.3896611637565721</v>
      </c>
      <c r="DV71">
        <v>8.3792553303044279</v>
      </c>
      <c r="DW71">
        <v>1025.0421496702966</v>
      </c>
      <c r="DX71">
        <v>25.205873213498833</v>
      </c>
      <c r="DY71">
        <v>9.7917040603918668</v>
      </c>
      <c r="DZ71">
        <v>15.869531679797928</v>
      </c>
      <c r="EA71">
        <v>5.4888912419363258</v>
      </c>
      <c r="EB71">
        <v>8.7451958740489175</v>
      </c>
      <c r="EC71">
        <v>1160.64268222485</v>
      </c>
      <c r="ED71">
        <v>23.431352084889959</v>
      </c>
      <c r="EE71">
        <v>9.1890291926624652</v>
      </c>
      <c r="EG71">
        <v>75</v>
      </c>
      <c r="EH71">
        <v>12.223534574211321</v>
      </c>
      <c r="EI71">
        <v>4.4345170117736163</v>
      </c>
      <c r="EJ71">
        <v>6.3228142694826266</v>
      </c>
      <c r="EK71">
        <v>831.52153332483078</v>
      </c>
      <c r="EL71">
        <v>23.389390889359959</v>
      </c>
      <c r="EM71">
        <v>9.3042460653749064</v>
      </c>
      <c r="EN71">
        <v>12.714828833817675</v>
      </c>
      <c r="EO71">
        <v>4.6182835230378112</v>
      </c>
      <c r="EP71">
        <v>6.6499836082424846</v>
      </c>
      <c r="EQ71">
        <v>871.52895143850981</v>
      </c>
      <c r="ER71">
        <v>23.527554419408489</v>
      </c>
      <c r="ES71">
        <v>9.3842091674832488</v>
      </c>
      <c r="ET71">
        <v>13.178230817285897</v>
      </c>
      <c r="EU71">
        <v>4.8035192800617397</v>
      </c>
      <c r="EV71">
        <v>7.1990322969664629</v>
      </c>
      <c r="EW71">
        <v>966.4291709287952</v>
      </c>
      <c r="EX71">
        <v>22.9538917917207</v>
      </c>
      <c r="EY71">
        <v>9.2289455079970537</v>
      </c>
      <c r="EZ71">
        <v>13.995307672310188</v>
      </c>
      <c r="FA71">
        <v>4.9361884746762863</v>
      </c>
      <c r="FB71">
        <v>7.7296586087896806</v>
      </c>
      <c r="FC71">
        <v>1033.0334675089448</v>
      </c>
      <c r="FD71">
        <v>23.390961094233127</v>
      </c>
      <c r="FE71">
        <v>9.2769856847219554</v>
      </c>
      <c r="FF71">
        <v>14.197253881290335</v>
      </c>
      <c r="FG71">
        <v>4.9903253226057007</v>
      </c>
      <c r="FH71">
        <v>8.0716578040941318</v>
      </c>
      <c r="FI71">
        <v>1178.8985555525251</v>
      </c>
      <c r="FJ71">
        <v>21.649996442222928</v>
      </c>
      <c r="FK71">
        <v>8.6238239261551293</v>
      </c>
    </row>
    <row r="72" spans="2:167" x14ac:dyDescent="0.25">
      <c r="B72">
        <v>772.37406077109335</v>
      </c>
      <c r="C72">
        <v>1.2947094559359724</v>
      </c>
      <c r="D72">
        <v>833.01515552421154</v>
      </c>
      <c r="E72">
        <v>1.2004583510496947</v>
      </c>
      <c r="F72">
        <v>962.64977325184475</v>
      </c>
      <c r="G72">
        <v>1.0387993928695227</v>
      </c>
      <c r="H72">
        <v>1087.580761535341</v>
      </c>
      <c r="I72">
        <v>0.91947194669782228</v>
      </c>
      <c r="J72">
        <v>1211.5341399297909</v>
      </c>
      <c r="K72">
        <v>0.82539976963253436</v>
      </c>
      <c r="L72">
        <v>903.46874518305083</v>
      </c>
      <c r="M72">
        <v>1.1068451513476441</v>
      </c>
      <c r="N72">
        <v>891.86394705955047</v>
      </c>
      <c r="O72">
        <v>1.1212472522260497</v>
      </c>
      <c r="Q72">
        <v>0.1489633061901568</v>
      </c>
      <c r="R72">
        <v>0.14961734894440126</v>
      </c>
      <c r="S72">
        <v>0.14984367487177119</v>
      </c>
      <c r="T72">
        <v>0.15098348817430859</v>
      </c>
      <c r="U72">
        <v>0.15148016811116971</v>
      </c>
      <c r="V72">
        <v>0.14988243588485678</v>
      </c>
      <c r="W72">
        <v>0.14948501164529077</v>
      </c>
      <c r="Y72">
        <v>2.0076385828619072</v>
      </c>
      <c r="Z72">
        <v>2.02679990849039</v>
      </c>
      <c r="AA72">
        <v>2.0858303814603412</v>
      </c>
      <c r="AB72">
        <v>2.1489337627316014</v>
      </c>
      <c r="AC72">
        <v>2.1950394886415925</v>
      </c>
      <c r="AD72">
        <v>2.0557253225781507</v>
      </c>
      <c r="AE72">
        <v>2.0562123850688314</v>
      </c>
      <c r="AG72">
        <v>0.78595463769146534</v>
      </c>
      <c r="AH72">
        <v>0.79492804451770316</v>
      </c>
      <c r="AI72">
        <v>0.82401988886783484</v>
      </c>
      <c r="AJ72">
        <v>0.84291373164081052</v>
      </c>
      <c r="AK72">
        <v>0.86589250026850961</v>
      </c>
      <c r="AL72">
        <v>0.8086987262310954</v>
      </c>
      <c r="AM72">
        <v>0.80977120626886601</v>
      </c>
      <c r="AO72">
        <v>76</v>
      </c>
      <c r="AP72">
        <v>14.680778056072942</v>
      </c>
      <c r="AQ72">
        <v>6.3707728417914771</v>
      </c>
      <c r="AR72">
        <v>7.2847423159877138</v>
      </c>
      <c r="AS72">
        <v>838.26445306395613</v>
      </c>
      <c r="AT72">
        <v>26.122831762552774</v>
      </c>
      <c r="AU72">
        <v>11.534780262925821</v>
      </c>
      <c r="AV72">
        <v>15.330845585977402</v>
      </c>
      <c r="AW72">
        <v>6.5001268383751061</v>
      </c>
      <c r="AX72">
        <v>7.6779888415818656</v>
      </c>
      <c r="AY72">
        <v>882.98009989266234</v>
      </c>
      <c r="AZ72">
        <v>26.177871055084378</v>
      </c>
      <c r="BA72">
        <v>11.390424383589021</v>
      </c>
      <c r="BB72">
        <v>16.995226150274277</v>
      </c>
      <c r="BC72">
        <v>6.8812050596338734</v>
      </c>
      <c r="BD72">
        <v>8.337726093635311</v>
      </c>
      <c r="BE72">
        <v>959.72484067668063</v>
      </c>
      <c r="BF72">
        <v>27.080913747334485</v>
      </c>
      <c r="BG72">
        <v>11.45349213692908</v>
      </c>
      <c r="BH72">
        <v>18.046973680528666</v>
      </c>
      <c r="BI72">
        <v>7.216525974344612</v>
      </c>
      <c r="BJ72">
        <v>8.9727507914502755</v>
      </c>
      <c r="BK72">
        <v>1032.8901810450607</v>
      </c>
      <c r="BL72">
        <v>27.311062525324015</v>
      </c>
      <c r="BM72">
        <v>11.483350151010718</v>
      </c>
      <c r="BN72">
        <v>18.475548324394133</v>
      </c>
      <c r="BO72">
        <v>7.3277501005405066</v>
      </c>
      <c r="BP72">
        <v>9.5279625858815731</v>
      </c>
      <c r="BQ72">
        <v>1167.4934038487429</v>
      </c>
      <c r="BR72">
        <v>25.521448968938586</v>
      </c>
      <c r="BS72">
        <v>10.708074755624358</v>
      </c>
      <c r="BU72">
        <v>76</v>
      </c>
      <c r="BV72">
        <v>14.197097999586886</v>
      </c>
      <c r="BW72">
        <v>5.3785152434975787</v>
      </c>
      <c r="BX72">
        <v>7.0756265699636618</v>
      </c>
      <c r="BY72">
        <v>847.01085356189697</v>
      </c>
      <c r="BZ72">
        <v>25.282038752372493</v>
      </c>
      <c r="CA72">
        <v>10.244188292902965</v>
      </c>
      <c r="CB72">
        <v>14.692227321315087</v>
      </c>
      <c r="CC72">
        <v>5.4558402306517451</v>
      </c>
      <c r="CD72">
        <v>7.4324840097996727</v>
      </c>
      <c r="CE72">
        <v>893.78023535785962</v>
      </c>
      <c r="CF72">
        <v>25.147032844750939</v>
      </c>
      <c r="CG72">
        <v>10.084393339386267</v>
      </c>
      <c r="CH72">
        <v>16.342264823214368</v>
      </c>
      <c r="CI72">
        <v>6.0511629482213758</v>
      </c>
      <c r="CJ72">
        <v>8.0547052083316846</v>
      </c>
      <c r="CK72">
        <v>968.10694478139021</v>
      </c>
      <c r="CL72">
        <v>26.171968335792748</v>
      </c>
      <c r="CM72">
        <v>10.496938235669935</v>
      </c>
      <c r="CN72">
        <v>17.368089412048587</v>
      </c>
      <c r="CO72">
        <v>6.2539261616371782</v>
      </c>
      <c r="CP72">
        <v>8.7001951398725659</v>
      </c>
      <c r="CQ72">
        <v>1041.9401833375227</v>
      </c>
      <c r="CR72">
        <v>26.422288427009146</v>
      </c>
      <c r="CS72">
        <v>10.459755730760071</v>
      </c>
      <c r="CT72">
        <v>17.616320745872756</v>
      </c>
      <c r="CU72">
        <v>6.2454690227919389</v>
      </c>
      <c r="CV72">
        <v>9.0882122774021479</v>
      </c>
      <c r="CW72">
        <v>1179.028546861706</v>
      </c>
      <c r="CX72">
        <v>24.54299840864741</v>
      </c>
      <c r="CY72">
        <v>9.6853681768415552</v>
      </c>
      <c r="DA72">
        <v>76</v>
      </c>
      <c r="DB72">
        <v>12.957358940117693</v>
      </c>
      <c r="DC72">
        <v>4.8412323731652007</v>
      </c>
      <c r="DD72">
        <v>6.9113607818302913</v>
      </c>
      <c r="DE72">
        <v>841.45067951524754</v>
      </c>
      <c r="DF72">
        <v>23.975763113751476</v>
      </c>
      <c r="DG72">
        <v>9.6733605401297424</v>
      </c>
      <c r="DH72">
        <v>13.430554385345129</v>
      </c>
      <c r="DI72">
        <v>5.1769806960992959</v>
      </c>
      <c r="DJ72">
        <v>7.233433405982745</v>
      </c>
      <c r="DK72">
        <v>880.95018644672382</v>
      </c>
      <c r="DL72">
        <v>24.081098256111567</v>
      </c>
      <c r="DM72">
        <v>9.9147171453532099</v>
      </c>
      <c r="DN72">
        <v>15.012567801016061</v>
      </c>
      <c r="DO72">
        <v>5.3537244769258097</v>
      </c>
      <c r="DP72">
        <v>7.829364963636297</v>
      </c>
      <c r="DQ72">
        <v>959.18870751293889</v>
      </c>
      <c r="DR72">
        <v>25.029034531202974</v>
      </c>
      <c r="DS72">
        <v>9.8674226035653572</v>
      </c>
      <c r="DT72">
        <v>15.760239518337267</v>
      </c>
      <c r="DU72">
        <v>5.443817784855649</v>
      </c>
      <c r="DV72">
        <v>8.4195309325778211</v>
      </c>
      <c r="DW72">
        <v>1031.8089687372778</v>
      </c>
      <c r="DX72">
        <v>25.123443330646197</v>
      </c>
      <c r="DY72">
        <v>9.7773248078453587</v>
      </c>
      <c r="DZ72">
        <v>15.964140470027258</v>
      </c>
      <c r="EA72">
        <v>5.5448098984875731</v>
      </c>
      <c r="EB72">
        <v>8.7881590619367156</v>
      </c>
      <c r="EC72">
        <v>1167.6968951400897</v>
      </c>
      <c r="ED72">
        <v>23.366265327148831</v>
      </c>
      <c r="EE72">
        <v>9.1793225516556802</v>
      </c>
      <c r="EG72">
        <v>76</v>
      </c>
      <c r="EH72">
        <v>12.272138638228409</v>
      </c>
      <c r="EI72">
        <v>4.4706104242417224</v>
      </c>
      <c r="EJ72">
        <v>6.3474662073193944</v>
      </c>
      <c r="EK72">
        <v>836.4446955856597</v>
      </c>
      <c r="EL72">
        <v>23.300048365334671</v>
      </c>
      <c r="EM72">
        <v>9.2881620168862131</v>
      </c>
      <c r="EN72">
        <v>12.770847928905681</v>
      </c>
      <c r="EO72">
        <v>4.6585415510745101</v>
      </c>
      <c r="EP72">
        <v>6.678522345751893</v>
      </c>
      <c r="EQ72">
        <v>876.9484157104456</v>
      </c>
      <c r="ER72">
        <v>23.438712213730362</v>
      </c>
      <c r="ES72">
        <v>9.3687754325716508</v>
      </c>
      <c r="ET72">
        <v>13.25894048630199</v>
      </c>
      <c r="EU72">
        <v>4.8453789090744523</v>
      </c>
      <c r="EV72">
        <v>7.2279340483536068</v>
      </c>
      <c r="EW72">
        <v>972.15837605050706</v>
      </c>
      <c r="EX72">
        <v>22.891270101458304</v>
      </c>
      <c r="EY72">
        <v>9.2128762004115465</v>
      </c>
      <c r="EZ72">
        <v>14.080081616063739</v>
      </c>
      <c r="FA72">
        <v>4.9857415884201925</v>
      </c>
      <c r="FB72">
        <v>7.766955596541103</v>
      </c>
      <c r="FC72">
        <v>1039.8461420548408</v>
      </c>
      <c r="FD72">
        <v>23.313483862087971</v>
      </c>
      <c r="FE72">
        <v>9.2612309081865813</v>
      </c>
      <c r="FF72">
        <v>14.282268306866547</v>
      </c>
      <c r="FG72">
        <v>5.0411467225613151</v>
      </c>
      <c r="FH72">
        <v>8.1114575806652471</v>
      </c>
      <c r="FI72">
        <v>1185.2756128162428</v>
      </c>
      <c r="FJ72">
        <v>21.600750942253466</v>
      </c>
      <c r="FK72">
        <v>8.6182514485895787</v>
      </c>
    </row>
    <row r="73" spans="2:167" x14ac:dyDescent="0.25">
      <c r="B73">
        <v>771.28836661974412</v>
      </c>
      <c r="C73">
        <v>1.2965319370530761</v>
      </c>
      <c r="D73">
        <v>832.09189083418335</v>
      </c>
      <c r="E73">
        <v>1.2017903443302236</v>
      </c>
      <c r="F73">
        <v>961.24560459127429</v>
      </c>
      <c r="G73">
        <v>1.0403168505776463</v>
      </c>
      <c r="H73">
        <v>1086.5573027933224</v>
      </c>
      <c r="I73">
        <v>0.92033802306532675</v>
      </c>
      <c r="J73">
        <v>1210.5182106929099</v>
      </c>
      <c r="K73">
        <v>0.82609248763601206</v>
      </c>
      <c r="L73">
        <v>902.27346287447961</v>
      </c>
      <c r="M73">
        <v>1.1083114389889972</v>
      </c>
      <c r="N73">
        <v>890.7421143808574</v>
      </c>
      <c r="O73">
        <v>1.1226593913717511</v>
      </c>
      <c r="Q73">
        <v>0.1508269579923269</v>
      </c>
      <c r="R73">
        <v>0.15148384779311955</v>
      </c>
      <c r="S73">
        <v>0.15170188469758128</v>
      </c>
      <c r="T73">
        <v>0.15284727354061037</v>
      </c>
      <c r="U73">
        <v>0.15334445758534107</v>
      </c>
      <c r="V73">
        <v>0.15174315407377906</v>
      </c>
      <c r="W73">
        <v>0.15134881302920405</v>
      </c>
      <c r="Y73">
        <v>2.0182004369975206</v>
      </c>
      <c r="Z73">
        <v>2.0383776752703766</v>
      </c>
      <c r="AA73">
        <v>2.0970422217194442</v>
      </c>
      <c r="AB73">
        <v>2.1623700172552351</v>
      </c>
      <c r="AC73">
        <v>2.2090337066217027</v>
      </c>
      <c r="AD73">
        <v>2.067128954860658</v>
      </c>
      <c r="AE73">
        <v>2.0675953851571034</v>
      </c>
      <c r="AG73">
        <v>0.79026043717628403</v>
      </c>
      <c r="AH73">
        <v>0.79965142736811179</v>
      </c>
      <c r="AI73">
        <v>0.82861852700810956</v>
      </c>
      <c r="AJ73">
        <v>0.84838087920516569</v>
      </c>
      <c r="AK73">
        <v>0.87160892106212096</v>
      </c>
      <c r="AL73">
        <v>0.81336548491263161</v>
      </c>
      <c r="AM73">
        <v>0.8144263279483992</v>
      </c>
      <c r="AO73">
        <v>77</v>
      </c>
      <c r="AP73">
        <v>14.783343657362916</v>
      </c>
      <c r="AQ73">
        <v>6.4177061807150579</v>
      </c>
      <c r="AR73">
        <v>7.3200882353743832</v>
      </c>
      <c r="AS73">
        <v>842.84176601251318</v>
      </c>
      <c r="AT73">
        <v>26.090617529662538</v>
      </c>
      <c r="AU73">
        <v>11.522320727305408</v>
      </c>
      <c r="AV73">
        <v>15.441411509475039</v>
      </c>
      <c r="AW73">
        <v>6.5503088833886265</v>
      </c>
      <c r="AX73">
        <v>7.7155325211890728</v>
      </c>
      <c r="AY73">
        <v>887.98209830360361</v>
      </c>
      <c r="AZ73">
        <v>26.145209663327996</v>
      </c>
      <c r="BA73">
        <v>11.378334453473972</v>
      </c>
      <c r="BB73">
        <v>17.112510296746432</v>
      </c>
      <c r="BC73">
        <v>6.9344285645135395</v>
      </c>
      <c r="BD73">
        <v>8.3752350532749826</v>
      </c>
      <c r="BE73">
        <v>964.91230553662376</v>
      </c>
      <c r="BF73">
        <v>27.04327541095585</v>
      </c>
      <c r="BG73">
        <v>11.440861366962398</v>
      </c>
      <c r="BH73">
        <v>18.174987755990056</v>
      </c>
      <c r="BI73">
        <v>7.2747366828035647</v>
      </c>
      <c r="BJ73">
        <v>9.0130084837066207</v>
      </c>
      <c r="BK73">
        <v>1038.7298906354549</v>
      </c>
      <c r="BL73">
        <v>27.271554856249509</v>
      </c>
      <c r="BM73">
        <v>11.470623645087738</v>
      </c>
      <c r="BN73">
        <v>18.606758266878803</v>
      </c>
      <c r="BO73">
        <v>7.3869775439946839</v>
      </c>
      <c r="BP73">
        <v>9.5698940667059116</v>
      </c>
      <c r="BQ73">
        <v>1173.4719808674806</v>
      </c>
      <c r="BR73">
        <v>25.495146808257669</v>
      </c>
      <c r="BS73">
        <v>10.700294312503701</v>
      </c>
      <c r="BU73">
        <v>77</v>
      </c>
      <c r="BV73">
        <v>14.294825532921797</v>
      </c>
      <c r="BW73">
        <v>5.4199361423546311</v>
      </c>
      <c r="BX73">
        <v>7.1096596283166624</v>
      </c>
      <c r="BY73">
        <v>851.54533955890179</v>
      </c>
      <c r="BZ73">
        <v>25.250263293971557</v>
      </c>
      <c r="CA73">
        <v>10.232835184698365</v>
      </c>
      <c r="CB73">
        <v>14.797065758983933</v>
      </c>
      <c r="CC73">
        <v>5.4998184370254029</v>
      </c>
      <c r="CD73">
        <v>7.4685993834303375</v>
      </c>
      <c r="CE73">
        <v>898.70382757842219</v>
      </c>
      <c r="CF73">
        <v>25.11631940831905</v>
      </c>
      <c r="CG73">
        <v>10.073693444955067</v>
      </c>
      <c r="CH73">
        <v>16.453790940300806</v>
      </c>
      <c r="CI73">
        <v>6.0992075518420013</v>
      </c>
      <c r="CJ73">
        <v>8.0907593359687535</v>
      </c>
      <c r="CK73">
        <v>973.23293580966867</v>
      </c>
      <c r="CL73">
        <v>26.135233337988911</v>
      </c>
      <c r="CM73">
        <v>10.484855712121764</v>
      </c>
      <c r="CN73">
        <v>17.489993167059257</v>
      </c>
      <c r="CO73">
        <v>6.3058282510363055</v>
      </c>
      <c r="CP73">
        <v>8.7389707933353389</v>
      </c>
      <c r="CQ73">
        <v>1047.7271928294613</v>
      </c>
      <c r="CR73">
        <v>26.383570831743683</v>
      </c>
      <c r="CS73">
        <v>10.44734859181694</v>
      </c>
      <c r="CT73">
        <v>17.74049193534082</v>
      </c>
      <c r="CU73">
        <v>6.2976334970491727</v>
      </c>
      <c r="CV73">
        <v>9.1282892539131772</v>
      </c>
      <c r="CW73">
        <v>1184.9101381159003</v>
      </c>
      <c r="CX73">
        <v>24.517955549143704</v>
      </c>
      <c r="CY73">
        <v>9.6776549941980488</v>
      </c>
      <c r="DA73">
        <v>77</v>
      </c>
      <c r="DB73">
        <v>13.012338823511508</v>
      </c>
      <c r="DC73">
        <v>4.8797529452618145</v>
      </c>
      <c r="DD73">
        <v>6.9364126966554096</v>
      </c>
      <c r="DE73">
        <v>846.14560464110411</v>
      </c>
      <c r="DF73">
        <v>23.89571866863561</v>
      </c>
      <c r="DG73">
        <v>9.6597321667566547</v>
      </c>
      <c r="DH73">
        <v>13.493482909796501</v>
      </c>
      <c r="DI73">
        <v>5.2210685142359443</v>
      </c>
      <c r="DJ73">
        <v>7.2625306222918189</v>
      </c>
      <c r="DK73">
        <v>886.19085830627819</v>
      </c>
      <c r="DL73">
        <v>23.999964949311682</v>
      </c>
      <c r="DM73">
        <v>9.90138507049544</v>
      </c>
      <c r="DN73">
        <v>15.081143516812261</v>
      </c>
      <c r="DO73">
        <v>5.399276360329762</v>
      </c>
      <c r="DP73">
        <v>7.8585081718452034</v>
      </c>
      <c r="DQ73">
        <v>964.568970547493</v>
      </c>
      <c r="DR73">
        <v>24.946917411675464</v>
      </c>
      <c r="DS73">
        <v>9.8533915198849247</v>
      </c>
      <c r="DT73">
        <v>15.84788204589794</v>
      </c>
      <c r="DU73">
        <v>5.4974924377816548</v>
      </c>
      <c r="DV73">
        <v>8.4577515396845193</v>
      </c>
      <c r="DW73">
        <v>1038.3525385981163</v>
      </c>
      <c r="DX73">
        <v>25.040313878658548</v>
      </c>
      <c r="DY73">
        <v>9.763192193903043</v>
      </c>
      <c r="DZ73">
        <v>16.054933193515467</v>
      </c>
      <c r="EA73">
        <v>5.6002647824865379</v>
      </c>
      <c r="EB73">
        <v>8.8289766497409197</v>
      </c>
      <c r="EC73">
        <v>1174.479333726488</v>
      </c>
      <c r="ED73">
        <v>23.300550778872193</v>
      </c>
      <c r="EE73">
        <v>9.1698359366437927</v>
      </c>
      <c r="EG73">
        <v>77</v>
      </c>
      <c r="EH73">
        <v>12.317346080850948</v>
      </c>
      <c r="EI73">
        <v>4.5061006688690401</v>
      </c>
      <c r="EJ73">
        <v>6.3706594165012946</v>
      </c>
      <c r="EK73">
        <v>841.18949887970871</v>
      </c>
      <c r="EL73">
        <v>23.210304698938987</v>
      </c>
      <c r="EM73">
        <v>9.272450082777425</v>
      </c>
      <c r="EN73">
        <v>12.823457128945622</v>
      </c>
      <c r="EO73">
        <v>4.6982395627531703</v>
      </c>
      <c r="EP73">
        <v>6.7055663762225857</v>
      </c>
      <c r="EQ73">
        <v>882.18753103845211</v>
      </c>
      <c r="ER73">
        <v>23.349370776815476</v>
      </c>
      <c r="ES73">
        <v>9.353666530343288</v>
      </c>
      <c r="ET73">
        <v>13.336918408993117</v>
      </c>
      <c r="EU73">
        <v>4.8866057332193611</v>
      </c>
      <c r="EV73">
        <v>7.2550044340151683</v>
      </c>
      <c r="EW73">
        <v>977.63508780580867</v>
      </c>
      <c r="EX73">
        <v>22.829374289732172</v>
      </c>
      <c r="EY73">
        <v>9.1973019378907903</v>
      </c>
      <c r="EZ73">
        <v>14.161669781300194</v>
      </c>
      <c r="FA73">
        <v>5.03484391666208</v>
      </c>
      <c r="FB73">
        <v>7.8024121250203944</v>
      </c>
      <c r="FC73">
        <v>1046.4158361407237</v>
      </c>
      <c r="FD73">
        <v>23.235945385034437</v>
      </c>
      <c r="FE73">
        <v>9.2458337728557218</v>
      </c>
      <c r="FF73">
        <v>14.363985630670809</v>
      </c>
      <c r="FG73">
        <v>5.0915429083581225</v>
      </c>
      <c r="FH73">
        <v>8.149331565307472</v>
      </c>
      <c r="FI73">
        <v>1191.3824045109818</v>
      </c>
      <c r="FJ73">
        <v>21.55065216186739</v>
      </c>
      <c r="FK73">
        <v>8.6127349944655069</v>
      </c>
    </row>
    <row r="74" spans="2:167" x14ac:dyDescent="0.25">
      <c r="B74">
        <v>769.99289831206522</v>
      </c>
      <c r="C74">
        <v>1.2987132766966336</v>
      </c>
      <c r="D74">
        <v>830.93271431890628</v>
      </c>
      <c r="E74">
        <v>1.2034668785663034</v>
      </c>
      <c r="F74">
        <v>959.51612104196363</v>
      </c>
      <c r="G74">
        <v>1.0421919737149115</v>
      </c>
      <c r="H74">
        <v>1085.1507751631905</v>
      </c>
      <c r="I74">
        <v>0.92153092721111951</v>
      </c>
      <c r="J74">
        <v>1209.0558336476183</v>
      </c>
      <c r="K74">
        <v>0.82709166290781233</v>
      </c>
      <c r="L74">
        <v>900.78130050838411</v>
      </c>
      <c r="M74">
        <v>1.1101473792091585</v>
      </c>
      <c r="N74">
        <v>889.35711205781547</v>
      </c>
      <c r="O74">
        <v>1.1244077170375086</v>
      </c>
      <c r="Q74">
        <v>0.15268881217985442</v>
      </c>
      <c r="R74">
        <v>0.15334831882919109</v>
      </c>
      <c r="S74">
        <v>0.15355747229270494</v>
      </c>
      <c r="T74">
        <v>0.15470799011827432</v>
      </c>
      <c r="U74">
        <v>0.1552053541573637</v>
      </c>
      <c r="V74">
        <v>0.15360134394021149</v>
      </c>
      <c r="W74">
        <v>0.15321050390618471</v>
      </c>
      <c r="Y74">
        <v>2.0283513736348664</v>
      </c>
      <c r="Z74">
        <v>2.0495717013045054</v>
      </c>
      <c r="AA74">
        <v>2.1078170336762216</v>
      </c>
      <c r="AB74">
        <v>2.1754088962367195</v>
      </c>
      <c r="AC74">
        <v>2.2226297865810309</v>
      </c>
      <c r="AD74">
        <v>2.0781292319423894</v>
      </c>
      <c r="AE74">
        <v>2.0785639315051694</v>
      </c>
      <c r="AG74">
        <v>0.79444683390283433</v>
      </c>
      <c r="AH74">
        <v>0.8042656630432663</v>
      </c>
      <c r="AI74">
        <v>0.83308473556312523</v>
      </c>
      <c r="AJ74">
        <v>0.85373391579011848</v>
      </c>
      <c r="AK74">
        <v>0.8772093583605115</v>
      </c>
      <c r="AL74">
        <v>0.81791508302386862</v>
      </c>
      <c r="AM74">
        <v>0.81895835201345146</v>
      </c>
      <c r="AO74">
        <v>78</v>
      </c>
      <c r="AP74">
        <v>14.883505301023778</v>
      </c>
      <c r="AQ74">
        <v>6.4635756842268073</v>
      </c>
      <c r="AR74">
        <v>7.3540288310427888</v>
      </c>
      <c r="AS74">
        <v>847.2267451869867</v>
      </c>
      <c r="AT74">
        <v>26.059516024814506</v>
      </c>
      <c r="AU74">
        <v>11.510295693411107</v>
      </c>
      <c r="AV74">
        <v>15.549461887777298</v>
      </c>
      <c r="AW74">
        <v>6.5994547949665012</v>
      </c>
      <c r="AX74">
        <v>7.7515175754613974</v>
      </c>
      <c r="AY74">
        <v>892.77771427875689</v>
      </c>
      <c r="AZ74">
        <v>26.113663902562195</v>
      </c>
      <c r="BA74">
        <v>11.366718489006592</v>
      </c>
      <c r="BB74">
        <v>17.226544097382543</v>
      </c>
      <c r="BC74">
        <v>6.9864914328564902</v>
      </c>
      <c r="BD74">
        <v>8.4107964963801027</v>
      </c>
      <c r="BE74">
        <v>969.86675427044383</v>
      </c>
      <c r="BF74">
        <v>27.006042445594581</v>
      </c>
      <c r="BG74">
        <v>11.428482293017575</v>
      </c>
      <c r="BH74">
        <v>18.299451668297522</v>
      </c>
      <c r="BI74">
        <v>7.3317403646424317</v>
      </c>
      <c r="BJ74">
        <v>9.051019712739393</v>
      </c>
      <c r="BK74">
        <v>1044.309059707057</v>
      </c>
      <c r="BL74">
        <v>27.232455992864725</v>
      </c>
      <c r="BM74">
        <v>11.458175756258811</v>
      </c>
      <c r="BN74">
        <v>18.734331301968478</v>
      </c>
      <c r="BO74">
        <v>7.4449891844166061</v>
      </c>
      <c r="BP74">
        <v>9.6093478928585458</v>
      </c>
      <c r="BQ74">
        <v>1179.1366428573754</v>
      </c>
      <c r="BR74">
        <v>25.469269565566687</v>
      </c>
      <c r="BS74">
        <v>10.692791372724573</v>
      </c>
      <c r="BU74">
        <v>78</v>
      </c>
      <c r="BV74">
        <v>14.390095901160203</v>
      </c>
      <c r="BW74">
        <v>5.4606143812617232</v>
      </c>
      <c r="BX74">
        <v>7.142297682673779</v>
      </c>
      <c r="BY74">
        <v>855.87777162253883</v>
      </c>
      <c r="BZ74">
        <v>25.219616934399795</v>
      </c>
      <c r="CA74">
        <v>10.222101033092192</v>
      </c>
      <c r="CB74">
        <v>14.899392110950654</v>
      </c>
      <c r="CC74">
        <v>5.5430906613082671</v>
      </c>
      <c r="CD74">
        <v>7.5031830469444163</v>
      </c>
      <c r="CE74">
        <v>903.41124101559228</v>
      </c>
      <c r="CF74">
        <v>25.086722817471955</v>
      </c>
      <c r="CG74">
        <v>10.063621532522243</v>
      </c>
      <c r="CH74">
        <v>16.56207802080289</v>
      </c>
      <c r="CI74">
        <v>6.1463412750114337</v>
      </c>
      <c r="CJ74">
        <v>8.1249133737476598</v>
      </c>
      <c r="CK74">
        <v>978.11749608408877</v>
      </c>
      <c r="CL74">
        <v>26.098906070098934</v>
      </c>
      <c r="CM74">
        <v>10.473133249259931</v>
      </c>
      <c r="CN74">
        <v>17.608363356190956</v>
      </c>
      <c r="CO74">
        <v>6.3568123513451935</v>
      </c>
      <c r="CP74">
        <v>8.7755416283467067</v>
      </c>
      <c r="CQ74">
        <v>1053.2448187612672</v>
      </c>
      <c r="CR74">
        <v>26.345263423133236</v>
      </c>
      <c r="CS74">
        <v>10.435321912721275</v>
      </c>
      <c r="CT74">
        <v>17.861110751452767</v>
      </c>
      <c r="CU74">
        <v>6.3489100828687075</v>
      </c>
      <c r="CV74">
        <v>9.1660112361147945</v>
      </c>
      <c r="CW74">
        <v>1190.4679819869928</v>
      </c>
      <c r="CX74">
        <v>24.493332792023555</v>
      </c>
      <c r="CY74">
        <v>9.6703004151745802</v>
      </c>
      <c r="DA74">
        <v>78</v>
      </c>
      <c r="DB74">
        <v>13.063953416468534</v>
      </c>
      <c r="DC74">
        <v>4.9176371250950801</v>
      </c>
      <c r="DD74">
        <v>6.959809379342512</v>
      </c>
      <c r="DE74">
        <v>850.65519204793145</v>
      </c>
      <c r="DF74">
        <v>23.815486283606859</v>
      </c>
      <c r="DG74">
        <v>9.6465546487540639</v>
      </c>
      <c r="DH74">
        <v>13.553081553342917</v>
      </c>
      <c r="DI74">
        <v>5.2645290469779153</v>
      </c>
      <c r="DJ74">
        <v>7.2899504216285083</v>
      </c>
      <c r="DK74">
        <v>891.2425186006551</v>
      </c>
      <c r="DL74">
        <v>23.918648842527414</v>
      </c>
      <c r="DM74">
        <v>9.8884725756959924</v>
      </c>
      <c r="DN74">
        <v>15.145635475236357</v>
      </c>
      <c r="DO74">
        <v>5.4441290171055199</v>
      </c>
      <c r="DP74">
        <v>7.8856090428694987</v>
      </c>
      <c r="DQ74">
        <v>969.72541262900086</v>
      </c>
      <c r="DR74">
        <v>24.864104617909014</v>
      </c>
      <c r="DS74">
        <v>9.8396334547393369</v>
      </c>
      <c r="DT74">
        <v>15.931672075982577</v>
      </c>
      <c r="DU74">
        <v>5.5506851241865922</v>
      </c>
      <c r="DV74">
        <v>8.4939171534992557</v>
      </c>
      <c r="DW74">
        <v>1044.6712080750115</v>
      </c>
      <c r="DX74">
        <v>24.956484602603698</v>
      </c>
      <c r="DY74">
        <v>9.7493081371394386</v>
      </c>
      <c r="DZ74">
        <v>16.141909858314268</v>
      </c>
      <c r="EA74">
        <v>5.6552558963270565</v>
      </c>
      <c r="EB74">
        <v>8.8676486407137798</v>
      </c>
      <c r="EC74">
        <v>1180.9881981427407</v>
      </c>
      <c r="ED74">
        <v>23.234209800800354</v>
      </c>
      <c r="EE74">
        <v>9.1605731970334414</v>
      </c>
      <c r="EG74">
        <v>78</v>
      </c>
      <c r="EH74">
        <v>12.359156899867713</v>
      </c>
      <c r="EI74">
        <v>4.5409877465694741</v>
      </c>
      <c r="EJ74">
        <v>6.3923938965244309</v>
      </c>
      <c r="EK74">
        <v>845.75412956265563</v>
      </c>
      <c r="EL74">
        <v>23.120159699139894</v>
      </c>
      <c r="EM74">
        <v>9.2571140301256278</v>
      </c>
      <c r="EN74">
        <v>12.872656433685654</v>
      </c>
      <c r="EO74">
        <v>4.7373775590616125</v>
      </c>
      <c r="EP74">
        <v>6.7311156999832695</v>
      </c>
      <c r="EQ74">
        <v>887.24457201199266</v>
      </c>
      <c r="ER74">
        <v>23.259529973210782</v>
      </c>
      <c r="ES74">
        <v>9.33888577843957</v>
      </c>
      <c r="ET74">
        <v>13.412164594071207</v>
      </c>
      <c r="EU74">
        <v>4.9271997547138602</v>
      </c>
      <c r="EV74">
        <v>7.2802434533319005</v>
      </c>
      <c r="EW74">
        <v>982.85674268483376</v>
      </c>
      <c r="EX74">
        <v>22.768204415995022</v>
      </c>
      <c r="EY74">
        <v>9.1822266233538912</v>
      </c>
      <c r="EZ74">
        <v>14.240072173723062</v>
      </c>
      <c r="FA74">
        <v>5.0834954609500809</v>
      </c>
      <c r="FB74">
        <v>7.8360281960089813</v>
      </c>
      <c r="FC74">
        <v>1052.7401843402995</v>
      </c>
      <c r="FD74">
        <v>23.158345600843084</v>
      </c>
      <c r="FE74">
        <v>9.2307978652624971</v>
      </c>
      <c r="FF74">
        <v>14.442405859788227</v>
      </c>
      <c r="FG74">
        <v>5.1415138821881277</v>
      </c>
      <c r="FH74">
        <v>8.1852797610668393</v>
      </c>
      <c r="FI74">
        <v>1197.2177538188866</v>
      </c>
      <c r="FJ74">
        <v>21.499700858333128</v>
      </c>
      <c r="FK74">
        <v>8.6072786566270505</v>
      </c>
    </row>
    <row r="75" spans="2:167" x14ac:dyDescent="0.25">
      <c r="B75">
        <v>768.48768376581256</v>
      </c>
      <c r="C75">
        <v>1.3012570287394978</v>
      </c>
      <c r="D75">
        <v>829.53765810943446</v>
      </c>
      <c r="E75">
        <v>1.2054907817917022</v>
      </c>
      <c r="F75">
        <v>957.46138775845725</v>
      </c>
      <c r="G75">
        <v>1.0444285407071414</v>
      </c>
      <c r="H75">
        <v>1083.3612467877217</v>
      </c>
      <c r="I75">
        <v>0.92305313944457912</v>
      </c>
      <c r="J75">
        <v>1207.1470990301978</v>
      </c>
      <c r="K75">
        <v>0.82839945587690489</v>
      </c>
      <c r="L75">
        <v>898.9923176234953</v>
      </c>
      <c r="M75">
        <v>1.1123565578886376</v>
      </c>
      <c r="N75">
        <v>887.70898017284469</v>
      </c>
      <c r="O75">
        <v>1.1264953068350072</v>
      </c>
      <c r="Q75">
        <v>0.15454886899197456</v>
      </c>
      <c r="R75">
        <v>0.15521076232880285</v>
      </c>
      <c r="S75">
        <v>0.15541043818232642</v>
      </c>
      <c r="T75">
        <v>0.15656563845319657</v>
      </c>
      <c r="U75">
        <v>0.15706285851301288</v>
      </c>
      <c r="V75">
        <v>0.15545700599120438</v>
      </c>
      <c r="W75">
        <v>0.15507008459767654</v>
      </c>
      <c r="Y75">
        <v>2.038091393089402</v>
      </c>
      <c r="Z75">
        <v>2.0603819870606519</v>
      </c>
      <c r="AA75">
        <v>2.1181548182020542</v>
      </c>
      <c r="AB75">
        <v>2.188050400725893</v>
      </c>
      <c r="AC75">
        <v>2.2358277300488898</v>
      </c>
      <c r="AD75">
        <v>2.0887261549213227</v>
      </c>
      <c r="AE75">
        <v>2.0891180247128025</v>
      </c>
      <c r="AG75">
        <v>0.79851382793754466</v>
      </c>
      <c r="AH75">
        <v>0.80877075162724132</v>
      </c>
      <c r="AI75">
        <v>0.83741851475571338</v>
      </c>
      <c r="AJ75">
        <v>0.85897284159379483</v>
      </c>
      <c r="AK75">
        <v>0.88269381250442713</v>
      </c>
      <c r="AL75">
        <v>0.82234752083234086</v>
      </c>
      <c r="AM75">
        <v>0.82336727860922154</v>
      </c>
      <c r="AO75">
        <v>79</v>
      </c>
      <c r="AP75">
        <v>14.981262991349496</v>
      </c>
      <c r="AQ75">
        <v>6.5083813544700844</v>
      </c>
      <c r="AR75">
        <v>7.3865641057843829</v>
      </c>
      <c r="AS75">
        <v>851.41813481970553</v>
      </c>
      <c r="AT75">
        <v>26.029527681073212</v>
      </c>
      <c r="AU75">
        <v>11.498707400759251</v>
      </c>
      <c r="AV75">
        <v>15.654996726777476</v>
      </c>
      <c r="AW75">
        <v>6.6475645755228969</v>
      </c>
      <c r="AX75">
        <v>7.7859440081068074</v>
      </c>
      <c r="AY75">
        <v>897.36558887100784</v>
      </c>
      <c r="AZ75">
        <v>26.083233962202407</v>
      </c>
      <c r="BA75">
        <v>11.355578229046642</v>
      </c>
      <c r="BB75">
        <v>17.337327568204461</v>
      </c>
      <c r="BC75">
        <v>7.0373936700165096</v>
      </c>
      <c r="BD75">
        <v>8.4444104306582215</v>
      </c>
      <c r="BE75">
        <v>974.58700566563766</v>
      </c>
      <c r="BF75">
        <v>26.969215290806961</v>
      </c>
      <c r="BG75">
        <v>11.416356325046468</v>
      </c>
      <c r="BH75">
        <v>18.420365435840075</v>
      </c>
      <c r="BI75">
        <v>7.3875370259789372</v>
      </c>
      <c r="BJ75">
        <v>9.0867844870011929</v>
      </c>
      <c r="BK75">
        <v>1049.6263504108763</v>
      </c>
      <c r="BL75">
        <v>27.193765585868984</v>
      </c>
      <c r="BM75">
        <v>11.446007644227882</v>
      </c>
      <c r="BN75">
        <v>18.858267456256044</v>
      </c>
      <c r="BO75">
        <v>7.50178503073783</v>
      </c>
      <c r="BP75">
        <v>9.6463240767673462</v>
      </c>
      <c r="BQ75">
        <v>1184.4859501647441</v>
      </c>
      <c r="BR75">
        <v>25.443822229721249</v>
      </c>
      <c r="BS75">
        <v>10.6855693099491</v>
      </c>
      <c r="BU75">
        <v>79</v>
      </c>
      <c r="BV75">
        <v>14.482909108900085</v>
      </c>
      <c r="BW75">
        <v>5.5005499612249427</v>
      </c>
      <c r="BX75">
        <v>7.1735407357673111</v>
      </c>
      <c r="BY75">
        <v>860.00684785470958</v>
      </c>
      <c r="BZ75">
        <v>25.190099451007764</v>
      </c>
      <c r="CA75">
        <v>10.211984516930903</v>
      </c>
      <c r="CB75">
        <v>14.999206383228795</v>
      </c>
      <c r="CC75">
        <v>5.585656904842093</v>
      </c>
      <c r="CD75">
        <v>7.5362350039436121</v>
      </c>
      <c r="CE75">
        <v>907.90107803208923</v>
      </c>
      <c r="CF75">
        <v>25.058243470660635</v>
      </c>
      <c r="CG75">
        <v>10.054176269494199</v>
      </c>
      <c r="CH75">
        <v>16.667126080817813</v>
      </c>
      <c r="CI75">
        <v>6.1925641216981901</v>
      </c>
      <c r="CJ75">
        <v>8.157167329083796</v>
      </c>
      <c r="CK75">
        <v>982.75940380873419</v>
      </c>
      <c r="CL75">
        <v>26.062986717568762</v>
      </c>
      <c r="CM75">
        <v>10.461770132419572</v>
      </c>
      <c r="CN75">
        <v>17.723199997814206</v>
      </c>
      <c r="CO75">
        <v>6.4068784670568268</v>
      </c>
      <c r="CP75">
        <v>8.8099076530507894</v>
      </c>
      <c r="CQ75">
        <v>1058.4916783417987</v>
      </c>
      <c r="CR75">
        <v>26.307365525463162</v>
      </c>
      <c r="CS75">
        <v>10.423674457930876</v>
      </c>
      <c r="CT75">
        <v>17.978177220160276</v>
      </c>
      <c r="CU75">
        <v>6.3992987867398012</v>
      </c>
      <c r="CV75">
        <v>9.2013782358853895</v>
      </c>
      <c r="CW75">
        <v>1195.7006031401613</v>
      </c>
      <c r="CX75">
        <v>24.469135197106542</v>
      </c>
      <c r="CY75">
        <v>9.663305716166672</v>
      </c>
      <c r="DA75">
        <v>79</v>
      </c>
      <c r="DB75">
        <v>13.112202718226937</v>
      </c>
      <c r="DC75">
        <v>4.954884913803796</v>
      </c>
      <c r="DD75">
        <v>6.9815508290577117</v>
      </c>
      <c r="DE75">
        <v>854.97768212830317</v>
      </c>
      <c r="DF75">
        <v>23.735065908175841</v>
      </c>
      <c r="DG75">
        <v>9.6338322502430511</v>
      </c>
      <c r="DH75">
        <v>13.60935031734382</v>
      </c>
      <c r="DI75">
        <v>5.3073622957221049</v>
      </c>
      <c r="DJ75">
        <v>7.3156928043518992</v>
      </c>
      <c r="DK75">
        <v>896.10337369154956</v>
      </c>
      <c r="DL75">
        <v>23.837149621167431</v>
      </c>
      <c r="DM75">
        <v>9.8759843166539572</v>
      </c>
      <c r="DN75">
        <v>15.206043677946246</v>
      </c>
      <c r="DO75">
        <v>5.4882824502706411</v>
      </c>
      <c r="DP75">
        <v>7.9106675755851379</v>
      </c>
      <c r="DQ75">
        <v>974.65625649433537</v>
      </c>
      <c r="DR75">
        <v>24.780595952909316</v>
      </c>
      <c r="DS75">
        <v>9.8261528029793084</v>
      </c>
      <c r="DT75">
        <v>16.011609616081952</v>
      </c>
      <c r="DU75">
        <v>5.6033958463406099</v>
      </c>
      <c r="DV75">
        <v>8.528027776598254</v>
      </c>
      <c r="DW75">
        <v>1050.7632726838408</v>
      </c>
      <c r="DX75">
        <v>24.871955259069967</v>
      </c>
      <c r="DY75">
        <v>9.7356753102138516</v>
      </c>
      <c r="DZ75">
        <v>16.225070476012721</v>
      </c>
      <c r="EA75">
        <v>5.7097832434546412</v>
      </c>
      <c r="EB75">
        <v>8.9041750395363177</v>
      </c>
      <c r="EC75">
        <v>1187.2216352978758</v>
      </c>
      <c r="ED75">
        <v>23.167243715576266</v>
      </c>
      <c r="EE75">
        <v>9.1515388591592473</v>
      </c>
      <c r="EG75">
        <v>79</v>
      </c>
      <c r="EH75">
        <v>12.397571092640398</v>
      </c>
      <c r="EI75">
        <v>4.5752716584334445</v>
      </c>
      <c r="EJ75">
        <v>6.4126696467875748</v>
      </c>
      <c r="EK75">
        <v>850.13672845415647</v>
      </c>
      <c r="EL75">
        <v>23.029613183926696</v>
      </c>
      <c r="EM75">
        <v>9.2421584069685796</v>
      </c>
      <c r="EN75">
        <v>12.9184458428096</v>
      </c>
      <c r="EO75">
        <v>4.775955541239993</v>
      </c>
      <c r="EP75">
        <v>6.7551703174466189</v>
      </c>
      <c r="EQ75">
        <v>892.11776547886564</v>
      </c>
      <c r="ER75">
        <v>23.169189674290624</v>
      </c>
      <c r="ES75">
        <v>9.324437234731203</v>
      </c>
      <c r="ET75">
        <v>13.484679052265582</v>
      </c>
      <c r="EU75">
        <v>4.9671609762888203</v>
      </c>
      <c r="EV75">
        <v>7.3036511055411619</v>
      </c>
      <c r="EW75">
        <v>987.8208033933679</v>
      </c>
      <c r="EX75">
        <v>22.70776053958858</v>
      </c>
      <c r="EY75">
        <v>9.1676544992797133</v>
      </c>
      <c r="EZ75">
        <v>14.315288801170025</v>
      </c>
      <c r="FA75">
        <v>5.131696223411617</v>
      </c>
      <c r="FB75">
        <v>7.867803811954877</v>
      </c>
      <c r="FC75">
        <v>1058.8167931563862</v>
      </c>
      <c r="FD75">
        <v>23.080684448064847</v>
      </c>
      <c r="FE75">
        <v>9.2161273705613649</v>
      </c>
      <c r="FF75">
        <v>14.517529004416563</v>
      </c>
      <c r="FG75">
        <v>5.1910596472063304</v>
      </c>
      <c r="FH75">
        <v>8.2193021723275894</v>
      </c>
      <c r="FI75">
        <v>1202.7804236590614</v>
      </c>
      <c r="FJ75">
        <v>21.447897712930477</v>
      </c>
      <c r="FK75">
        <v>8.6018870361557411</v>
      </c>
    </row>
    <row r="76" spans="2:167" x14ac:dyDescent="0.25">
      <c r="B76">
        <v>766.77275541650715</v>
      </c>
      <c r="C76">
        <v>1.3041673598024555</v>
      </c>
      <c r="D76">
        <v>827.90676087223892</v>
      </c>
      <c r="E76">
        <v>1.2078654834832521</v>
      </c>
      <c r="F76">
        <v>955.08148213989887</v>
      </c>
      <c r="G76">
        <v>1.0470310844677455</v>
      </c>
      <c r="H76">
        <v>1081.1888043563658</v>
      </c>
      <c r="I76">
        <v>0.92490783845593216</v>
      </c>
      <c r="J76">
        <v>1204.7921246057972</v>
      </c>
      <c r="K76">
        <v>0.83001870578063064</v>
      </c>
      <c r="L76">
        <v>896.90658559410224</v>
      </c>
      <c r="M76">
        <v>1.1149433130069055</v>
      </c>
      <c r="N76">
        <v>885.79776641944375</v>
      </c>
      <c r="O76">
        <v>1.1289258540831306</v>
      </c>
      <c r="Q76">
        <v>0.15640712870663659</v>
      </c>
      <c r="R76">
        <v>0.1570711786243178</v>
      </c>
      <c r="S76">
        <v>0.15726078299032858</v>
      </c>
      <c r="T76">
        <v>0.15842021923985158</v>
      </c>
      <c r="U76">
        <v>0.1589169715472771</v>
      </c>
      <c r="V76">
        <v>0.15731014083460321</v>
      </c>
      <c r="W76">
        <v>0.1569275554861608</v>
      </c>
      <c r="Y76">
        <v>2.0474204957276374</v>
      </c>
      <c r="Z76">
        <v>2.0708085331018569</v>
      </c>
      <c r="AA76">
        <v>2.1280555763320805</v>
      </c>
      <c r="AB76">
        <v>2.200294532058332</v>
      </c>
      <c r="AC76">
        <v>2.248627539021149</v>
      </c>
      <c r="AD76">
        <v>2.0989197251136993</v>
      </c>
      <c r="AE76">
        <v>2.0992576654936714</v>
      </c>
      <c r="AG76">
        <v>0.80246141935759474</v>
      </c>
      <c r="AH76">
        <v>0.81316669322121249</v>
      </c>
      <c r="AI76">
        <v>0.84161986485058238</v>
      </c>
      <c r="AJ76">
        <v>0.86409765686824669</v>
      </c>
      <c r="AK76">
        <v>0.88806228393856623</v>
      </c>
      <c r="AL76">
        <v>0.82666279865876491</v>
      </c>
      <c r="AM76">
        <v>0.82765310790847935</v>
      </c>
      <c r="AO76">
        <v>80</v>
      </c>
      <c r="AP76">
        <v>15.076616733328908</v>
      </c>
      <c r="AQ76">
        <v>6.552123193935099</v>
      </c>
      <c r="AR76">
        <v>7.4176940628423429</v>
      </c>
      <c r="AS76">
        <v>855.41472447341914</v>
      </c>
      <c r="AT76">
        <v>26.000652927306337</v>
      </c>
      <c r="AU76">
        <v>11.487557981878814</v>
      </c>
      <c r="AV76">
        <v>15.758016033567563</v>
      </c>
      <c r="AW76">
        <v>6.6946382279630212</v>
      </c>
      <c r="AX76">
        <v>7.8188118235874713</v>
      </c>
      <c r="AY76">
        <v>901.7444123569295</v>
      </c>
      <c r="AZ76">
        <v>26.053920030123074</v>
      </c>
      <c r="BA76">
        <v>11.344915377439101</v>
      </c>
      <c r="BB76">
        <v>17.444860728245072</v>
      </c>
      <c r="BC76">
        <v>7.0871352823535299</v>
      </c>
      <c r="BD76">
        <v>8.4760768652653891</v>
      </c>
      <c r="BE76">
        <v>979.07189723937381</v>
      </c>
      <c r="BF76">
        <v>26.932794385899204</v>
      </c>
      <c r="BG76">
        <v>11.404484985541396</v>
      </c>
      <c r="BH76">
        <v>18.53772908201174</v>
      </c>
      <c r="BI76">
        <v>7.4421266745958867</v>
      </c>
      <c r="BJ76">
        <v>9.1203028172451877</v>
      </c>
      <c r="BK76">
        <v>1054.6804477381258</v>
      </c>
      <c r="BL76">
        <v>27.155483285330554</v>
      </c>
      <c r="BM76">
        <v>11.434120628160205</v>
      </c>
      <c r="BN76">
        <v>18.978566764447212</v>
      </c>
      <c r="BO76">
        <v>7.5573650946147035</v>
      </c>
      <c r="BP76">
        <v>9.68082263465163</v>
      </c>
      <c r="BQ76">
        <v>1189.5184926030777</v>
      </c>
      <c r="BR76">
        <v>25.41880985019127</v>
      </c>
      <c r="BS76">
        <v>10.678631683099312</v>
      </c>
      <c r="BU76">
        <v>80</v>
      </c>
      <c r="BV76">
        <v>14.57326516148348</v>
      </c>
      <c r="BW76">
        <v>5.5397428834131937</v>
      </c>
      <c r="BX76">
        <v>7.2033887907717116</v>
      </c>
      <c r="BY76">
        <v>863.93131664490238</v>
      </c>
      <c r="BZ76">
        <v>25.161710623612208</v>
      </c>
      <c r="CA76">
        <v>10.202484579040053</v>
      </c>
      <c r="CB76">
        <v>15.096508583055064</v>
      </c>
      <c r="CC76">
        <v>5.6275171692415489</v>
      </c>
      <c r="CD76">
        <v>7.5677552587621992</v>
      </c>
      <c r="CE76">
        <v>912.17199509588818</v>
      </c>
      <c r="CF76">
        <v>25.030881762868745</v>
      </c>
      <c r="CG76">
        <v>10.045356622226944</v>
      </c>
      <c r="CH76">
        <v>16.768935139467938</v>
      </c>
      <c r="CI76">
        <v>6.2378760966165849</v>
      </c>
      <c r="CJ76">
        <v>8.1875212107861302</v>
      </c>
      <c r="CK76">
        <v>987.15745760960158</v>
      </c>
      <c r="CL76">
        <v>26.027475465564727</v>
      </c>
      <c r="CM76">
        <v>10.45076597109089</v>
      </c>
      <c r="CN76">
        <v>17.834503115299487</v>
      </c>
      <c r="CO76">
        <v>6.4560266038870564</v>
      </c>
      <c r="CP76">
        <v>8.8420688778083161</v>
      </c>
      <c r="CQ76">
        <v>1063.4664134417699</v>
      </c>
      <c r="CR76">
        <v>26.269876462567822</v>
      </c>
      <c r="CS76">
        <v>10.41240536882948</v>
      </c>
      <c r="CT76">
        <v>18.091691375332275</v>
      </c>
      <c r="CU76">
        <v>6.4487996171314315</v>
      </c>
      <c r="CV76">
        <v>9.234390268727152</v>
      </c>
      <c r="CW76">
        <v>1200.6065577715124</v>
      </c>
      <c r="CX76">
        <v>24.44536788315153</v>
      </c>
      <c r="CY76">
        <v>9.6566725462338496</v>
      </c>
      <c r="DA76">
        <v>80</v>
      </c>
      <c r="DB76">
        <v>13.157086727901588</v>
      </c>
      <c r="DC76">
        <v>4.9914963127110434</v>
      </c>
      <c r="DD76">
        <v>7.0016370448321803</v>
      </c>
      <c r="DE76">
        <v>859.11128420208934</v>
      </c>
      <c r="DF76">
        <v>23.654457493696608</v>
      </c>
      <c r="DG76">
        <v>9.6215700069571195</v>
      </c>
      <c r="DH76">
        <v>13.662289203435151</v>
      </c>
      <c r="DI76">
        <v>5.3495682621495373</v>
      </c>
      <c r="DJ76">
        <v>7.3397577708941233</v>
      </c>
      <c r="DK76">
        <v>900.77159895983357</v>
      </c>
      <c r="DL76">
        <v>23.755466981568901</v>
      </c>
      <c r="DM76">
        <v>9.8639256551988961</v>
      </c>
      <c r="DN76">
        <v>15.262368126911419</v>
      </c>
      <c r="DO76">
        <v>5.5317366634097747</v>
      </c>
      <c r="DP76">
        <v>7.933683768656822</v>
      </c>
      <c r="DQ76">
        <v>979.35966729631582</v>
      </c>
      <c r="DR76">
        <v>24.696391227543479</v>
      </c>
      <c r="DS76">
        <v>9.8129547844453757</v>
      </c>
      <c r="DT76">
        <v>16.087694675725601</v>
      </c>
      <c r="DU76">
        <v>5.6556246071317338</v>
      </c>
      <c r="DV76">
        <v>8.560083412258928</v>
      </c>
      <c r="DW76">
        <v>1056.6269732675385</v>
      </c>
      <c r="DX76">
        <v>24.786725614849583</v>
      </c>
      <c r="DY76">
        <v>9.7222971361100257</v>
      </c>
      <c r="DZ76">
        <v>16.304415061735401</v>
      </c>
      <c r="EA76">
        <v>5.7638468283659448</v>
      </c>
      <c r="EB76">
        <v>8.9385558523176361</v>
      </c>
      <c r="EC76">
        <v>1193.1777374090248</v>
      </c>
      <c r="ED76">
        <v>23.099653815116099</v>
      </c>
      <c r="EE76">
        <v>9.1427381306858848</v>
      </c>
      <c r="EG76">
        <v>80</v>
      </c>
      <c r="EH76">
        <v>12.432588656103752</v>
      </c>
      <c r="EI76">
        <v>4.6089524057278286</v>
      </c>
      <c r="EJ76">
        <v>6.4314866665922104</v>
      </c>
      <c r="EK76">
        <v>854.33538961828879</v>
      </c>
      <c r="EL76">
        <v>22.938664979653414</v>
      </c>
      <c r="EM76">
        <v>9.2275885483993516</v>
      </c>
      <c r="EN76">
        <v>12.960825355936969</v>
      </c>
      <c r="EO76">
        <v>4.8139735107807109</v>
      </c>
      <c r="EP76">
        <v>6.7777302291092489</v>
      </c>
      <c r="EQ76">
        <v>896.80528923356678</v>
      </c>
      <c r="ER76">
        <v>23.07834975774416</v>
      </c>
      <c r="ES76">
        <v>9.3103257009348699</v>
      </c>
      <c r="ET76">
        <v>13.554461796321934</v>
      </c>
      <c r="EU76">
        <v>5.006489401188329</v>
      </c>
      <c r="EV76">
        <v>7.3252273897369804</v>
      </c>
      <c r="EW76">
        <v>992.5247600188884</v>
      </c>
      <c r="EX76">
        <v>22.648042719870652</v>
      </c>
      <c r="EY76">
        <v>9.1535901537548234</v>
      </c>
      <c r="EZ76">
        <v>14.387319673611952</v>
      </c>
      <c r="FA76">
        <v>5.1794462067531333</v>
      </c>
      <c r="FB76">
        <v>7.8977389759723717</v>
      </c>
      <c r="FC76">
        <v>1064.6432404814373</v>
      </c>
      <c r="FD76">
        <v>23.002961865839069</v>
      </c>
      <c r="FE76">
        <v>9.2018270752622175</v>
      </c>
      <c r="FF76">
        <v>14.589355077864658</v>
      </c>
      <c r="FG76">
        <v>5.2401802075302504</v>
      </c>
      <c r="FH76">
        <v>8.2513988048114673</v>
      </c>
      <c r="FI76">
        <v>1208.069115025959</v>
      </c>
      <c r="FJ76">
        <v>21.395243342203834</v>
      </c>
      <c r="FK76">
        <v>8.5965652515138995</v>
      </c>
    </row>
    <row r="77" spans="2:167" x14ac:dyDescent="0.25">
      <c r="B77">
        <v>764.84815021568863</v>
      </c>
      <c r="C77">
        <v>1.3074490664820175</v>
      </c>
      <c r="D77">
        <v>826.04006780652628</v>
      </c>
      <c r="E77">
        <v>1.210595029191996</v>
      </c>
      <c r="F77">
        <v>952.37649382274356</v>
      </c>
      <c r="G77">
        <v>1.0500049155834374</v>
      </c>
      <c r="H77">
        <v>1078.6335530947511</v>
      </c>
      <c r="I77">
        <v>0.9270989180068242</v>
      </c>
      <c r="J77">
        <v>1201.9910556502716</v>
      </c>
      <c r="K77">
        <v>0.83195294615483184</v>
      </c>
      <c r="L77">
        <v>894.52418762293553</v>
      </c>
      <c r="M77">
        <v>1.1179127561182562</v>
      </c>
      <c r="N77">
        <v>883.62352609873972</v>
      </c>
      <c r="O77">
        <v>1.1317036842772517</v>
      </c>
      <c r="Q77">
        <v>0.15826359164048878</v>
      </c>
      <c r="R77">
        <v>0.15892956810425196</v>
      </c>
      <c r="S77">
        <v>0.15910850743923446</v>
      </c>
      <c r="T77">
        <v>0.16027173332120845</v>
      </c>
      <c r="U77">
        <v>0.16076769436421989</v>
      </c>
      <c r="V77">
        <v>0.15916074917898826</v>
      </c>
      <c r="W77">
        <v>0.15878291701512862</v>
      </c>
      <c r="Y77">
        <v>2.0563386819671092</v>
      </c>
      <c r="Z77">
        <v>2.0808513400862871</v>
      </c>
      <c r="AA77">
        <v>2.1375193092651039</v>
      </c>
      <c r="AB77">
        <v>2.2121412918551897</v>
      </c>
      <c r="AC77">
        <v>2.2610292159599261</v>
      </c>
      <c r="AD77">
        <v>2.1087099440538912</v>
      </c>
      <c r="AE77">
        <v>2.1089828546752782</v>
      </c>
      <c r="AG77">
        <v>0.80628960825090823</v>
      </c>
      <c r="AH77">
        <v>0.8174534879434493</v>
      </c>
      <c r="AI77">
        <v>0.84568878615429344</v>
      </c>
      <c r="AJ77">
        <v>0.86910836191941987</v>
      </c>
      <c r="AK77">
        <v>0.89331477321151298</v>
      </c>
      <c r="AL77">
        <v>0.83086091687700814</v>
      </c>
      <c r="AM77">
        <v>0.83181584011155296</v>
      </c>
      <c r="AO77">
        <v>81</v>
      </c>
      <c r="AP77">
        <v>15.169566532645455</v>
      </c>
      <c r="AQ77">
        <v>6.5948012054587677</v>
      </c>
      <c r="AR77">
        <v>7.4474187059113905</v>
      </c>
      <c r="AS77">
        <v>859.21534982859669</v>
      </c>
      <c r="AT77">
        <v>25.972892189033505</v>
      </c>
      <c r="AU77">
        <v>11.476849468438891</v>
      </c>
      <c r="AV77">
        <v>15.858519816437738</v>
      </c>
      <c r="AW77">
        <v>6.7406757556829184</v>
      </c>
      <c r="AX77">
        <v>7.8501210271194388</v>
      </c>
      <c r="AY77">
        <v>905.91292508856282</v>
      </c>
      <c r="AZ77">
        <v>26.02572229303054</v>
      </c>
      <c r="BA77">
        <v>11.334731607065716</v>
      </c>
      <c r="BB77">
        <v>17.549143599546465</v>
      </c>
      <c r="BC77">
        <v>7.1357162772330245</v>
      </c>
      <c r="BD77">
        <v>8.5057958108052762</v>
      </c>
      <c r="BE77">
        <v>983.32028554172598</v>
      </c>
      <c r="BF77">
        <v>26.896780170924163</v>
      </c>
      <c r="BG77">
        <v>11.39286991108013</v>
      </c>
      <c r="BH77">
        <v>18.651542635208695</v>
      </c>
      <c r="BI77">
        <v>7.4955093199402256</v>
      </c>
      <c r="BJ77">
        <v>9.1515747165238199</v>
      </c>
      <c r="BK77">
        <v>1059.4700598756842</v>
      </c>
      <c r="BL77">
        <v>27.117608739880005</v>
      </c>
      <c r="BM77">
        <v>11.422516186867385</v>
      </c>
      <c r="BN77">
        <v>19.095229269355151</v>
      </c>
      <c r="BO77">
        <v>7.6117293904265768</v>
      </c>
      <c r="BP77">
        <v>9.7128435865196359</v>
      </c>
      <c r="BQ77">
        <v>1194.2328898545704</v>
      </c>
      <c r="BR77">
        <v>25.39423754862786</v>
      </c>
      <c r="BS77">
        <v>10.671982242201588</v>
      </c>
      <c r="BU77">
        <v>81</v>
      </c>
      <c r="BV77">
        <v>14.661164064996202</v>
      </c>
      <c r="BW77">
        <v>5.5781931491581203</v>
      </c>
      <c r="BX77">
        <v>7.2318418513034084</v>
      </c>
      <c r="BY77">
        <v>867.64997752273098</v>
      </c>
      <c r="BZ77">
        <v>25.134450234040681</v>
      </c>
      <c r="CA77">
        <v>10.193600419268734</v>
      </c>
      <c r="CB77">
        <v>15.191298718888818</v>
      </c>
      <c r="CC77">
        <v>5.668671456394101</v>
      </c>
      <c r="CD77">
        <v>7.5977438164667408</v>
      </c>
      <c r="CE77">
        <v>916.22270369566604</v>
      </c>
      <c r="CF77">
        <v>25.004638086421792</v>
      </c>
      <c r="CG77">
        <v>10.037161848170616</v>
      </c>
      <c r="CH77">
        <v>16.86750521889898</v>
      </c>
      <c r="CI77">
        <v>6.2822772052263058</v>
      </c>
      <c r="CJ77">
        <v>8.2159750290563931</v>
      </c>
      <c r="CK77">
        <v>991.31047686266425</v>
      </c>
      <c r="CL77">
        <v>25.992372499406539</v>
      </c>
      <c r="CM77">
        <v>10.440120692409602</v>
      </c>
      <c r="CN77">
        <v>17.942272737014424</v>
      </c>
      <c r="CO77">
        <v>6.5042567687739243</v>
      </c>
      <c r="CP77">
        <v>8.8720253151953763</v>
      </c>
      <c r="CQ77">
        <v>1068.1676909758671</v>
      </c>
      <c r="CR77">
        <v>26.232795556222126</v>
      </c>
      <c r="CS77">
        <v>10.401514154687233</v>
      </c>
      <c r="CT77">
        <v>18.201653258749655</v>
      </c>
      <c r="CU77">
        <v>6.4974125844909789</v>
      </c>
      <c r="CV77">
        <v>9.2650473537636806</v>
      </c>
      <c r="CW77">
        <v>1205.1844340358375</v>
      </c>
      <c r="CX77">
        <v>24.422036039896753</v>
      </c>
      <c r="CY77">
        <v>9.6504029252170174</v>
      </c>
      <c r="DA77">
        <v>81</v>
      </c>
      <c r="DB77">
        <v>13.198605444484135</v>
      </c>
      <c r="DC77">
        <v>5.0274713233241206</v>
      </c>
      <c r="DD77">
        <v>7.0200680255621917</v>
      </c>
      <c r="DE77">
        <v>863.05417584293434</v>
      </c>
      <c r="DF77">
        <v>23.57366099321457</v>
      </c>
      <c r="DG77">
        <v>9.6097737325931014</v>
      </c>
      <c r="DH77">
        <v>13.711898213529249</v>
      </c>
      <c r="DI77">
        <v>5.3911469482252459</v>
      </c>
      <c r="DJ77">
        <v>7.362145321760309</v>
      </c>
      <c r="DK77">
        <v>905.24533813107257</v>
      </c>
      <c r="DL77">
        <v>23.673600630032155</v>
      </c>
      <c r="DM77">
        <v>9.8523026654920489</v>
      </c>
      <c r="DN77">
        <v>15.314608824412735</v>
      </c>
      <c r="DO77">
        <v>5.574491660674326</v>
      </c>
      <c r="DP77">
        <v>7.9546576205381454</v>
      </c>
      <c r="DQ77">
        <v>983.83375111485122</v>
      </c>
      <c r="DR77">
        <v>24.611490259664606</v>
      </c>
      <c r="DS77">
        <v>9.8000454513974127</v>
      </c>
      <c r="DT77">
        <v>16.159927266480704</v>
      </c>
      <c r="DU77">
        <v>5.7073714100655168</v>
      </c>
      <c r="DV77">
        <v>8.5900840644594751</v>
      </c>
      <c r="DW77">
        <v>1062.2604945780206</v>
      </c>
      <c r="DX77">
        <v>24.700795445679528</v>
      </c>
      <c r="DY77">
        <v>9.7091777875573957</v>
      </c>
      <c r="DZ77">
        <v>16.379943634140091</v>
      </c>
      <c r="EA77">
        <v>5.8174466566080634</v>
      </c>
      <c r="EB77">
        <v>8.97079108659395</v>
      </c>
      <c r="EC77">
        <v>1198.8545405044133</v>
      </c>
      <c r="ED77">
        <v>23.031441367790009</v>
      </c>
      <c r="EE77">
        <v>9.1341769078633579</v>
      </c>
      <c r="EG77">
        <v>81</v>
      </c>
      <c r="EH77">
        <v>12.46420958676574</v>
      </c>
      <c r="EI77">
        <v>4.6420299898958888</v>
      </c>
      <c r="EJ77">
        <v>6.44884495514256</v>
      </c>
      <c r="EK77">
        <v>858.34815910263831</v>
      </c>
      <c r="EL77">
        <v>22.847314920420452</v>
      </c>
      <c r="EM77">
        <v>9.2134105858160726</v>
      </c>
      <c r="EN77">
        <v>12.999794972622997</v>
      </c>
      <c r="EO77">
        <v>4.8514314694283103</v>
      </c>
      <c r="EP77">
        <v>6.798795435551674</v>
      </c>
      <c r="EQ77">
        <v>901.30527065867761</v>
      </c>
      <c r="ER77">
        <v>22.987010107092956</v>
      </c>
      <c r="ES77">
        <v>9.2965567291897102</v>
      </c>
      <c r="ET77">
        <v>13.621512841001133</v>
      </c>
      <c r="EU77">
        <v>5.0451850331693811</v>
      </c>
      <c r="EV77">
        <v>7.344972304870149</v>
      </c>
      <c r="EW77">
        <v>996.96613120177983</v>
      </c>
      <c r="EX77">
        <v>22.589051016340729</v>
      </c>
      <c r="EY77">
        <v>9.1400385277432576</v>
      </c>
      <c r="EZ77">
        <v>14.456164803151733</v>
      </c>
      <c r="FA77">
        <v>5.2267454142597769</v>
      </c>
      <c r="FB77">
        <v>7.9258336918416727</v>
      </c>
      <c r="FC77">
        <v>1070.2170750450623</v>
      </c>
      <c r="FD77">
        <v>22.925177793706965</v>
      </c>
      <c r="FE77">
        <v>9.1879023723639275</v>
      </c>
      <c r="FF77">
        <v>14.65788409655039</v>
      </c>
      <c r="FG77">
        <v>5.2888755682392805</v>
      </c>
      <c r="FH77">
        <v>8.2815696655768729</v>
      </c>
      <c r="FI77">
        <v>1213.0824652458834</v>
      </c>
      <c r="FJ77">
        <v>21.341738309026624</v>
      </c>
      <c r="FK77">
        <v>8.5913189498467446</v>
      </c>
    </row>
    <row r="78" spans="2:167" x14ac:dyDescent="0.25">
      <c r="B78">
        <v>762.71390962892417</v>
      </c>
      <c r="C78">
        <v>1.3111075953584226</v>
      </c>
      <c r="D78">
        <v>823.93763064110908</v>
      </c>
      <c r="E78">
        <v>1.2136840979357819</v>
      </c>
      <c r="F78">
        <v>949.34652467231842</v>
      </c>
      <c r="G78">
        <v>1.0533561497422297</v>
      </c>
      <c r="H78">
        <v>1075.695616751945</v>
      </c>
      <c r="I78">
        <v>0.92963100753305361</v>
      </c>
      <c r="J78">
        <v>1198.7440649277828</v>
      </c>
      <c r="K78">
        <v>0.83420642425474201</v>
      </c>
      <c r="L78">
        <v>891.84521873286997</v>
      </c>
      <c r="M78">
        <v>1.1212707978866512</v>
      </c>
      <c r="N78">
        <v>881.186322115488</v>
      </c>
      <c r="O78">
        <v>1.1348337745407495</v>
      </c>
      <c r="Q78">
        <v>0.16011825814886141</v>
      </c>
      <c r="R78">
        <v>0.16078593121324744</v>
      </c>
      <c r="S78">
        <v>0.16095361235013889</v>
      </c>
      <c r="T78">
        <v>0.1621201816886286</v>
      </c>
      <c r="U78">
        <v>0.16261502827680971</v>
      </c>
      <c r="V78">
        <v>0.16100883183360373</v>
      </c>
      <c r="W78">
        <v>0.16063616968904901</v>
      </c>
      <c r="Y78">
        <v>2.0648459522763623</v>
      </c>
      <c r="Z78">
        <v>2.0905104087671891</v>
      </c>
      <c r="AA78">
        <v>2.146546018363475</v>
      </c>
      <c r="AB78">
        <v>2.2235906820229996</v>
      </c>
      <c r="AC78">
        <v>2.2730327637932071</v>
      </c>
      <c r="AD78">
        <v>2.1180968134942528</v>
      </c>
      <c r="AE78">
        <v>2.1182935931989046</v>
      </c>
      <c r="AG78">
        <v>0.80999839471615187</v>
      </c>
      <c r="AH78">
        <v>0.82163113592930603</v>
      </c>
      <c r="AI78">
        <v>0.84962527901523122</v>
      </c>
      <c r="AJ78">
        <v>0.87400495710711756</v>
      </c>
      <c r="AK78">
        <v>0.89845128097565019</v>
      </c>
      <c r="AL78">
        <v>0.83494187591405178</v>
      </c>
      <c r="AM78">
        <v>0.83585547544631467</v>
      </c>
      <c r="AO78">
        <v>82</v>
      </c>
      <c r="AP78">
        <v>15.26011239567687</v>
      </c>
      <c r="AQ78">
        <v>6.636415392224575</v>
      </c>
      <c r="AR78">
        <v>7.4757380391376067</v>
      </c>
      <c r="AS78">
        <v>862.81889344633532</v>
      </c>
      <c r="AT78">
        <v>25.946245889250378</v>
      </c>
      <c r="AU78">
        <v>11.466583796950948</v>
      </c>
      <c r="AV78">
        <v>15.956508084875816</v>
      </c>
      <c r="AW78">
        <v>6.7856771625692325</v>
      </c>
      <c r="AX78">
        <v>7.8798716246722913</v>
      </c>
      <c r="AY78">
        <v>909.86991831868397</v>
      </c>
      <c r="AZ78">
        <v>25.998640936825641</v>
      </c>
      <c r="BA78">
        <v>11.325028563712756</v>
      </c>
      <c r="BB78">
        <v>17.650176207157894</v>
      </c>
      <c r="BC78">
        <v>7.1831366630253237</v>
      </c>
      <c r="BD78">
        <v>8.5335672793281923</v>
      </c>
      <c r="BE78">
        <v>987.33104645674598</v>
      </c>
      <c r="BF78">
        <v>26.861173087660919</v>
      </c>
      <c r="BG78">
        <v>11.381512854240784</v>
      </c>
      <c r="BH78">
        <v>18.761806128825892</v>
      </c>
      <c r="BI78">
        <v>7.5476849731219007</v>
      </c>
      <c r="BJ78">
        <v>9.180600200187218</v>
      </c>
      <c r="BK78">
        <v>1063.9939185584674</v>
      </c>
      <c r="BL78">
        <v>27.080141595915297</v>
      </c>
      <c r="BM78">
        <v>11.411195959569667</v>
      </c>
      <c r="BN78">
        <v>19.20825502189394</v>
      </c>
      <c r="BO78">
        <v>7.6648779352735774</v>
      </c>
      <c r="BP78">
        <v>9.7423869561654719</v>
      </c>
      <c r="BQ78">
        <v>1198.6277918668507</v>
      </c>
      <c r="BR78">
        <v>25.370110530489985</v>
      </c>
      <c r="BS78">
        <v>10.665624934857005</v>
      </c>
      <c r="BU78">
        <v>82</v>
      </c>
      <c r="BV78">
        <v>14.746605826267515</v>
      </c>
      <c r="BW78">
        <v>5.6159007599540463</v>
      </c>
      <c r="BX78">
        <v>7.2588999214206238</v>
      </c>
      <c r="BY78">
        <v>871.16168198178514</v>
      </c>
      <c r="BZ78">
        <v>25.10831806569005</v>
      </c>
      <c r="CA78">
        <v>10.18533148845485</v>
      </c>
      <c r="CB78">
        <v>15.283576800411462</v>
      </c>
      <c r="CC78">
        <v>5.7091197684598827</v>
      </c>
      <c r="CD78">
        <v>7.6262006828557247</v>
      </c>
      <c r="CE78">
        <v>920.05197122532581</v>
      </c>
      <c r="CF78">
        <v>24.979512831773995</v>
      </c>
      <c r="CG78">
        <v>10.029591489079928</v>
      </c>
      <c r="CH78">
        <v>16.962836344277974</v>
      </c>
      <c r="CI78">
        <v>6.3257674537318858</v>
      </c>
      <c r="CJ78">
        <v>8.242528795488111</v>
      </c>
      <c r="CK78">
        <v>995.21730201936248</v>
      </c>
      <c r="CL78">
        <v>25.957678004992637</v>
      </c>
      <c r="CM78">
        <v>10.429834535918342</v>
      </c>
      <c r="CN78">
        <v>18.046508896320347</v>
      </c>
      <c r="CO78">
        <v>6.5515689698768007</v>
      </c>
      <c r="CP78">
        <v>8.8997769800019029</v>
      </c>
      <c r="CQ78">
        <v>1072.594203281305</v>
      </c>
      <c r="CR78">
        <v>26.196122124558432</v>
      </c>
      <c r="CS78">
        <v>10.391000685179852</v>
      </c>
      <c r="CT78">
        <v>18.308062920098898</v>
      </c>
      <c r="CU78">
        <v>6.5451377012426217</v>
      </c>
      <c r="CV78">
        <v>9.2933495137370468</v>
      </c>
      <c r="CW78">
        <v>1209.4328524689893</v>
      </c>
      <c r="CX78">
        <v>24.399144940161722</v>
      </c>
      <c r="CY78">
        <v>9.6444992433474521</v>
      </c>
      <c r="DA78">
        <v>82</v>
      </c>
      <c r="DB78">
        <v>13.236758866843026</v>
      </c>
      <c r="DC78">
        <v>5.062809947334455</v>
      </c>
      <c r="DD78">
        <v>7.0368437700091944</v>
      </c>
      <c r="DE78">
        <v>866.80450218697467</v>
      </c>
      <c r="DF78">
        <v>23.49267636132231</v>
      </c>
      <c r="DG78">
        <v>9.5984500281357654</v>
      </c>
      <c r="DH78">
        <v>13.758177349814723</v>
      </c>
      <c r="DI78">
        <v>5.4320983561981402</v>
      </c>
      <c r="DJ78">
        <v>7.3828554575285645</v>
      </c>
      <c r="DK78">
        <v>909.52270258319186</v>
      </c>
      <c r="DL78">
        <v>23.591550281904723</v>
      </c>
      <c r="DM78">
        <v>9.8411221428882314</v>
      </c>
      <c r="DN78">
        <v>15.362765773042238</v>
      </c>
      <c r="DO78">
        <v>5.6165474467820689</v>
      </c>
      <c r="DP78">
        <v>7.9735891294717165</v>
      </c>
      <c r="DQ78">
        <v>988.07655341223392</v>
      </c>
      <c r="DR78">
        <v>24.525892873272113</v>
      </c>
      <c r="DS78">
        <v>9.7874316994955475</v>
      </c>
      <c r="DT78">
        <v>16.228307401950676</v>
      </c>
      <c r="DU78">
        <v>5.7586362592646099</v>
      </c>
      <c r="DV78">
        <v>8.6180297378783894</v>
      </c>
      <c r="DW78">
        <v>1067.6619638045954</v>
      </c>
      <c r="DX78">
        <v>24.614164535031211</v>
      </c>
      <c r="DY78">
        <v>9.6963221895750653</v>
      </c>
      <c r="DZ78">
        <v>16.451656215414896</v>
      </c>
      <c r="EA78">
        <v>5.8705827347776882</v>
      </c>
      <c r="EB78">
        <v>9.0008807513274416</v>
      </c>
      <c r="EC78">
        <v>1204.2500228694066</v>
      </c>
      <c r="ED78">
        <v>22.962607625458912</v>
      </c>
      <c r="EE78">
        <v>9.1258617856331643</v>
      </c>
      <c r="EG78">
        <v>82</v>
      </c>
      <c r="EH78">
        <v>12.49243388070775</v>
      </c>
      <c r="EI78">
        <v>4.6745044125571988</v>
      </c>
      <c r="EJ78">
        <v>6.464744511545641</v>
      </c>
      <c r="EK78">
        <v>862.1730336344234</v>
      </c>
      <c r="EL78">
        <v>22.755562847491376</v>
      </c>
      <c r="EM78">
        <v>9.1996314593512203</v>
      </c>
      <c r="EN78">
        <v>13.035354692358661</v>
      </c>
      <c r="EO78">
        <v>4.8883294191793549</v>
      </c>
      <c r="EP78">
        <v>6.8183659374382719</v>
      </c>
      <c r="EQ78">
        <v>905.61578531736961</v>
      </c>
      <c r="ER78">
        <v>22.895170611235482</v>
      </c>
      <c r="ES78">
        <v>9.283136631597058</v>
      </c>
      <c r="ET78">
        <v>13.685832203077846</v>
      </c>
      <c r="EU78">
        <v>5.0832478765015336</v>
      </c>
      <c r="EV78">
        <v>7.3628858497483192</v>
      </c>
      <c r="EW78">
        <v>1001.1424653110329</v>
      </c>
      <c r="EX78">
        <v>22.530785488764753</v>
      </c>
      <c r="EY78">
        <v>9.1270049235958339</v>
      </c>
      <c r="EZ78">
        <v>14.52182420402278</v>
      </c>
      <c r="FA78">
        <v>5.2735938497949979</v>
      </c>
      <c r="FB78">
        <v>7.9520879640084283</v>
      </c>
      <c r="FC78">
        <v>1075.5358158481922</v>
      </c>
      <c r="FD78">
        <v>22.847332171429382</v>
      </c>
      <c r="FE78">
        <v>9.1743592688752607</v>
      </c>
      <c r="FF78">
        <v>14.723116079998155</v>
      </c>
      <c r="FG78">
        <v>5.3371457353739133</v>
      </c>
      <c r="FH78">
        <v>8.3098147630177497</v>
      </c>
      <c r="FI78">
        <v>1217.8190461479394</v>
      </c>
      <c r="FJ78">
        <v>21.287383133548165</v>
      </c>
      <c r="FK78">
        <v>8.5861543204816808</v>
      </c>
    </row>
    <row r="79" spans="2:167" x14ac:dyDescent="0.25">
      <c r="B79">
        <v>760.37007963357598</v>
      </c>
      <c r="C79">
        <v>1.3151490659415508</v>
      </c>
      <c r="D79">
        <v>821.5995076308227</v>
      </c>
      <c r="E79">
        <v>1.2171380224942148</v>
      </c>
      <c r="F79">
        <v>945.99168877323791</v>
      </c>
      <c r="G79">
        <v>1.057091739671413</v>
      </c>
      <c r="H79">
        <v>1072.375137585474</v>
      </c>
      <c r="I79">
        <v>0.93250949686465923</v>
      </c>
      <c r="J79">
        <v>1195.0513526641669</v>
      </c>
      <c r="K79">
        <v>0.83678412460742158</v>
      </c>
      <c r="L79">
        <v>888.86978575745241</v>
      </c>
      <c r="M79">
        <v>1.1250241779203325</v>
      </c>
      <c r="N79">
        <v>878.48622497352471</v>
      </c>
      <c r="O79">
        <v>1.138321776223796</v>
      </c>
      <c r="Q79">
        <v>0.16197112862574767</v>
      </c>
      <c r="R79">
        <v>0.16264026845204177</v>
      </c>
      <c r="S79">
        <v>0.16279609864263139</v>
      </c>
      <c r="T79">
        <v>0.16396556548174593</v>
      </c>
      <c r="U79">
        <v>0.16445897480671759</v>
      </c>
      <c r="V79">
        <v>0.16285438970827718</v>
      </c>
      <c r="W79">
        <v>0.16248731407333225</v>
      </c>
      <c r="Y79">
        <v>2.07294230717492</v>
      </c>
      <c r="Z79">
        <v>2.0997857399928401</v>
      </c>
      <c r="AA79">
        <v>2.1551357051529658</v>
      </c>
      <c r="AB79">
        <v>2.2346427047534445</v>
      </c>
      <c r="AC79">
        <v>2.2846381859143938</v>
      </c>
      <c r="AD79">
        <v>2.1270803354049441</v>
      </c>
      <c r="AE79">
        <v>2.1271898821195414</v>
      </c>
      <c r="AG79">
        <v>0.81358777886272571</v>
      </c>
      <c r="AH79">
        <v>0.82569963733121399</v>
      </c>
      <c r="AI79">
        <v>0.85342934382356972</v>
      </c>
      <c r="AJ79">
        <v>0.87878744284495658</v>
      </c>
      <c r="AK79">
        <v>0.90347180798706084</v>
      </c>
      <c r="AL79">
        <v>0.83890567624994627</v>
      </c>
      <c r="AM79">
        <v>0.83977201416816449</v>
      </c>
      <c r="AO79">
        <v>83</v>
      </c>
      <c r="AP79">
        <v>15.348254329494829</v>
      </c>
      <c r="AQ79">
        <v>6.6769657577623924</v>
      </c>
      <c r="AR79">
        <v>7.5026520671181913</v>
      </c>
      <c r="AS79">
        <v>866.22428550599557</v>
      </c>
      <c r="AT79">
        <v>25.920714449232044</v>
      </c>
      <c r="AU79">
        <v>11.456762814079388</v>
      </c>
      <c r="AV79">
        <v>16.051980849566565</v>
      </c>
      <c r="AW79">
        <v>6.8296424529989483</v>
      </c>
      <c r="AX79">
        <v>7.9080636229687187</v>
      </c>
      <c r="AY79">
        <v>913.61423499859927</v>
      </c>
      <c r="AZ79">
        <v>25.972676146957532</v>
      </c>
      <c r="BA79">
        <v>11.315807869775833</v>
      </c>
      <c r="BB79">
        <v>17.747958579133396</v>
      </c>
      <c r="BC79">
        <v>7.2293964491048239</v>
      </c>
      <c r="BD79">
        <v>8.5593912843299442</v>
      </c>
      <c r="BE79">
        <v>991.10307550125765</v>
      </c>
      <c r="BF79">
        <v>26.825973580582229</v>
      </c>
      <c r="BG79">
        <v>11.370415685887593</v>
      </c>
      <c r="BH79">
        <v>18.868519601252927</v>
      </c>
      <c r="BI79">
        <v>7.5986536469125099</v>
      </c>
      <c r="BJ79">
        <v>9.2073792858813537</v>
      </c>
      <c r="BK79">
        <v>1068.2507794185522</v>
      </c>
      <c r="BL79">
        <v>27.043081496814576</v>
      </c>
      <c r="BM79">
        <v>11.400161747225567</v>
      </c>
      <c r="BN79">
        <v>19.317644081070675</v>
      </c>
      <c r="BO79">
        <v>7.7168107489739874</v>
      </c>
      <c r="BP79">
        <v>9.7694527711654242</v>
      </c>
      <c r="BQ79">
        <v>1202.7018792447307</v>
      </c>
      <c r="BR79">
        <v>25.346434096792162</v>
      </c>
      <c r="BS79">
        <v>10.659563913359108</v>
      </c>
      <c r="BU79">
        <v>83</v>
      </c>
      <c r="BV79">
        <v>14.829590452869754</v>
      </c>
      <c r="BW79">
        <v>5.6528657174578862</v>
      </c>
      <c r="BX79">
        <v>7.2845630056231414</v>
      </c>
      <c r="BY79">
        <v>874.46533427380155</v>
      </c>
      <c r="BZ79">
        <v>25.083313903096403</v>
      </c>
      <c r="CA79">
        <v>10.177677483263629</v>
      </c>
      <c r="CB79">
        <v>15.373342838525808</v>
      </c>
      <c r="CC79">
        <v>5.7488621078715481</v>
      </c>
      <c r="CD79">
        <v>7.6531258644591684</v>
      </c>
      <c r="CE79">
        <v>923.65862183652303</v>
      </c>
      <c r="CF79">
        <v>24.95550638827671</v>
      </c>
      <c r="CG79">
        <v>10.022645365234784</v>
      </c>
      <c r="CH79">
        <v>17.054928543790837</v>
      </c>
      <c r="CI79">
        <v>6.3683468490821289</v>
      </c>
      <c r="CJ79">
        <v>8.2671825230655127</v>
      </c>
      <c r="CK79">
        <v>998.87679492938173</v>
      </c>
      <c r="CL79">
        <v>25.923392169220065</v>
      </c>
      <c r="CM79">
        <v>10.419908049544867</v>
      </c>
      <c r="CN79">
        <v>18.147211631568272</v>
      </c>
      <c r="CO79">
        <v>6.5979632165754145</v>
      </c>
      <c r="CP79">
        <v>8.925323889229869</v>
      </c>
      <c r="CQ79">
        <v>1076.7446684926629</v>
      </c>
      <c r="CR79">
        <v>26.159855480499999</v>
      </c>
      <c r="CS79">
        <v>10.380865184391062</v>
      </c>
      <c r="CT79">
        <v>18.410920416964348</v>
      </c>
      <c r="CU79">
        <v>6.5919749817854241</v>
      </c>
      <c r="CV79">
        <v>9.3192967750042808</v>
      </c>
      <c r="CW79">
        <v>1213.3504664046864</v>
      </c>
      <c r="CX79">
        <v>24.376699952075846</v>
      </c>
      <c r="CY79">
        <v>9.6389642623147864</v>
      </c>
      <c r="DA79">
        <v>83</v>
      </c>
      <c r="DB79">
        <v>13.271546993723602</v>
      </c>
      <c r="DC79">
        <v>5.097512186617517</v>
      </c>
      <c r="DD79">
        <v>7.0519642767998683</v>
      </c>
      <c r="DE79">
        <v>870.36037522325478</v>
      </c>
      <c r="DF79">
        <v>23.411503554022676</v>
      </c>
      <c r="DG79">
        <v>9.5876062941769664</v>
      </c>
      <c r="DH79">
        <v>13.801126614756283</v>
      </c>
      <c r="DI79">
        <v>5.4724224886008495</v>
      </c>
      <c r="DJ79">
        <v>7.4018881788499327</v>
      </c>
      <c r="DK79">
        <v>913.60177063574884</v>
      </c>
      <c r="DL79">
        <v>23.50931566070923</v>
      </c>
      <c r="DM79">
        <v>9.8303916154722604</v>
      </c>
      <c r="DN79">
        <v>15.406838975702906</v>
      </c>
      <c r="DO79">
        <v>5.6579040270167011</v>
      </c>
      <c r="DP79">
        <v>7.9904782934893444</v>
      </c>
      <c r="DQ79">
        <v>992.0860574303257</v>
      </c>
      <c r="DR79">
        <v>24.439598897702332</v>
      </c>
      <c r="DS79">
        <v>9.7751212823630347</v>
      </c>
      <c r="DT79">
        <v>16.292835097773505</v>
      </c>
      <c r="DU79">
        <v>5.8094191594682689</v>
      </c>
      <c r="DV79">
        <v>8.6439204378939092</v>
      </c>
      <c r="DW79">
        <v>1072.8294490466892</v>
      </c>
      <c r="DX79">
        <v>24.526832672941509</v>
      </c>
      <c r="DY79">
        <v>9.6837360251050573</v>
      </c>
      <c r="DZ79">
        <v>16.519552831274833</v>
      </c>
      <c r="EA79">
        <v>5.9232550705200877</v>
      </c>
      <c r="EB79">
        <v>9.0288248569048761</v>
      </c>
      <c r="EC79">
        <v>1209.3621034333173</v>
      </c>
      <c r="ED79">
        <v>22.893153830411379</v>
      </c>
      <c r="EE79">
        <v>9.1178000706059112</v>
      </c>
      <c r="EG79">
        <v>83</v>
      </c>
      <c r="EH79">
        <v>12.517261533584787</v>
      </c>
      <c r="EI79">
        <v>4.706375675507557</v>
      </c>
      <c r="EJ79">
        <v>6.479185334811306</v>
      </c>
      <c r="EK79">
        <v>865.80795927195572</v>
      </c>
      <c r="EL79">
        <v>22.663408608741463</v>
      </c>
      <c r="EM79">
        <v>9.1862589335292615</v>
      </c>
      <c r="EN79">
        <v>13.067504514570714</v>
      </c>
      <c r="EO79">
        <v>4.9246673622822899</v>
      </c>
      <c r="EP79">
        <v>6.8364417355172398</v>
      </c>
      <c r="EQ79">
        <v>909.73485549501027</v>
      </c>
      <c r="ER79">
        <v>22.802831164015899</v>
      </c>
      <c r="ES79">
        <v>9.2700724927494793</v>
      </c>
      <c r="ET79">
        <v>13.747419901338933</v>
      </c>
      <c r="EU79">
        <v>5.120677935966496</v>
      </c>
      <c r="EV79">
        <v>7.3789680230361103</v>
      </c>
      <c r="EW79">
        <v>1005.0513416237117</v>
      </c>
      <c r="EX79">
        <v>22.47324619729973</v>
      </c>
      <c r="EY79">
        <v>9.114495014825108</v>
      </c>
      <c r="EZ79">
        <v>14.58429789258733</v>
      </c>
      <c r="FA79">
        <v>5.3199915178000809</v>
      </c>
      <c r="FB79">
        <v>7.9765017975831993</v>
      </c>
      <c r="FC79">
        <v>1080.5969515835479</v>
      </c>
      <c r="FD79">
        <v>22.769424938807688</v>
      </c>
      <c r="FE79">
        <v>9.1612043957292677</v>
      </c>
      <c r="FF79">
        <v>14.785051050835811</v>
      </c>
      <c r="FG79">
        <v>5.3849907159348041</v>
      </c>
      <c r="FH79">
        <v>8.3361341068622963</v>
      </c>
      <c r="FI79">
        <v>1222.2773621455592</v>
      </c>
      <c r="FJ79">
        <v>21.232178304092038</v>
      </c>
      <c r="FK79">
        <v>8.5810781106801457</v>
      </c>
    </row>
    <row r="80" spans="2:167" x14ac:dyDescent="0.25">
      <c r="B80">
        <v>757.81671071632604</v>
      </c>
      <c r="C80">
        <v>1.3195802967379147</v>
      </c>
      <c r="D80">
        <v>819.02576355249005</v>
      </c>
      <c r="E80">
        <v>1.2209628127722647</v>
      </c>
      <c r="F80">
        <v>942.3121124186664</v>
      </c>
      <c r="G80">
        <v>1.0612195119017032</v>
      </c>
      <c r="H80">
        <v>1068.6722763441094</v>
      </c>
      <c r="I80">
        <v>0.93574056531246907</v>
      </c>
      <c r="J80">
        <v>1190.913146516079</v>
      </c>
      <c r="K80">
        <v>0.83969179694205232</v>
      </c>
      <c r="L80">
        <v>885.59800733025679</v>
      </c>
      <c r="M80">
        <v>1.1291804991913001</v>
      </c>
      <c r="N80">
        <v>875.52331277066821</v>
      </c>
      <c r="O80">
        <v>1.1421740408435439</v>
      </c>
      <c r="Q80">
        <v>0.16382220350378229</v>
      </c>
      <c r="R80">
        <v>0.164492580377433</v>
      </c>
      <c r="S80">
        <v>0.16463596733470973</v>
      </c>
      <c r="T80">
        <v>0.16580788598832885</v>
      </c>
      <c r="U80">
        <v>0.16629953568408243</v>
      </c>
      <c r="V80">
        <v>0.16469742381332886</v>
      </c>
      <c r="W80">
        <v>0.16433635079428918</v>
      </c>
      <c r="Y80">
        <v>2.0806277472332635</v>
      </c>
      <c r="Z80">
        <v>2.108677334706484</v>
      </c>
      <c r="AA80">
        <v>2.163288371322627</v>
      </c>
      <c r="AB80">
        <v>2.2452973625230923</v>
      </c>
      <c r="AC80">
        <v>2.295845486181785</v>
      </c>
      <c r="AD80">
        <v>2.135660511973732</v>
      </c>
      <c r="AE80">
        <v>2.1356717226058115</v>
      </c>
      <c r="AG80">
        <v>0.81705776081076165</v>
      </c>
      <c r="AH80">
        <v>0.82965899231866969</v>
      </c>
      <c r="AI80">
        <v>0.85710098101123822</v>
      </c>
      <c r="AJ80">
        <v>0.8834558196003176</v>
      </c>
      <c r="AK80">
        <v>0.90837635510541126</v>
      </c>
      <c r="AL80">
        <v>0.84275231841776665</v>
      </c>
      <c r="AM80">
        <v>0.84356545656001203</v>
      </c>
      <c r="AO80">
        <v>84</v>
      </c>
      <c r="AP80">
        <v>15.433992341864585</v>
      </c>
      <c r="AQ80">
        <v>6.7164523059482848</v>
      </c>
      <c r="AR80">
        <v>7.5281607949012281</v>
      </c>
      <c r="AS80">
        <v>869.43050451669853</v>
      </c>
      <c r="AT80">
        <v>25.896298289319461</v>
      </c>
      <c r="AU80">
        <v>11.447388281591174</v>
      </c>
      <c r="AV80">
        <v>16.14493812239099</v>
      </c>
      <c r="AW80">
        <v>6.8725716318390706</v>
      </c>
      <c r="AX80">
        <v>7.9346970294840551</v>
      </c>
      <c r="AY80">
        <v>917.14477054753968</v>
      </c>
      <c r="AZ80">
        <v>25.947828108770647</v>
      </c>
      <c r="BA80">
        <v>11.307071127820867</v>
      </c>
      <c r="BB80">
        <v>17.842490746529144</v>
      </c>
      <c r="BC80">
        <v>7.274495645849103</v>
      </c>
      <c r="BD80">
        <v>8.5832678407505654</v>
      </c>
      <c r="BE80">
        <v>994.63528812125173</v>
      </c>
      <c r="BF80">
        <v>26.791182097815021</v>
      </c>
      <c r="BG80">
        <v>11.359580397830856</v>
      </c>
      <c r="BH80">
        <v>18.971683095869487</v>
      </c>
      <c r="BI80">
        <v>7.6484153557437526</v>
      </c>
      <c r="BJ80">
        <v>9.2319119935458893</v>
      </c>
      <c r="BK80">
        <v>1072.2394223309329</v>
      </c>
      <c r="BL80">
        <v>27.006428082152276</v>
      </c>
      <c r="BM80">
        <v>11.38941551442243</v>
      </c>
      <c r="BN80">
        <v>19.423396513976396</v>
      </c>
      <c r="BO80">
        <v>7.7675278540611687</v>
      </c>
      <c r="BP80">
        <v>9.7940410628737045</v>
      </c>
      <c r="BQ80">
        <v>1206.4538636368209</v>
      </c>
      <c r="BR80">
        <v>25.323213656033762</v>
      </c>
      <c r="BS80">
        <v>10.653803542484507</v>
      </c>
      <c r="BU80">
        <v>84</v>
      </c>
      <c r="BV80">
        <v>14.910117953117943</v>
      </c>
      <c r="BW80">
        <v>5.6890880234890613</v>
      </c>
      <c r="BX80">
        <v>7.3088311088520737</v>
      </c>
      <c r="BY80">
        <v>877.55989217217507</v>
      </c>
      <c r="BZ80">
        <v>25.059437531514583</v>
      </c>
      <c r="CA80">
        <v>10.170638341858041</v>
      </c>
      <c r="CB80">
        <v>15.460596845355305</v>
      </c>
      <c r="CC80">
        <v>5.7878984773341022</v>
      </c>
      <c r="CD80">
        <v>7.6785193685381659</v>
      </c>
      <c r="CE80">
        <v>927.04153725814444</v>
      </c>
      <c r="CF80">
        <v>24.932619144932179</v>
      </c>
      <c r="CG80">
        <v>10.016323570622653</v>
      </c>
      <c r="CH80">
        <v>17.143781848639765</v>
      </c>
      <c r="CI80">
        <v>6.4100153989694491</v>
      </c>
      <c r="CJ80">
        <v>8.2899362261623093</v>
      </c>
      <c r="CK80">
        <v>1002.287839160601</v>
      </c>
      <c r="CL80">
        <v>25.889515180401087</v>
      </c>
      <c r="CM80">
        <v>10.410342086752038</v>
      </c>
      <c r="CN80">
        <v>18.244380986094217</v>
      </c>
      <c r="CO80">
        <v>6.6434395194687115</v>
      </c>
      <c r="CP80">
        <v>8.9486660620912382</v>
      </c>
      <c r="CQ80">
        <v>1080.6178309128459</v>
      </c>
      <c r="CR80">
        <v>26.123994930202468</v>
      </c>
      <c r="CS80">
        <v>10.371108226234808</v>
      </c>
      <c r="CT80">
        <v>18.510225814819407</v>
      </c>
      <c r="CU80">
        <v>6.6379244424911059</v>
      </c>
      <c r="CV80">
        <v>9.3428891675333006</v>
      </c>
      <c r="CW80">
        <v>1216.9359623855635</v>
      </c>
      <c r="CX80">
        <v>24.354706551498364</v>
      </c>
      <c r="CY80">
        <v>9.6338011177728493</v>
      </c>
      <c r="DA80">
        <v>84</v>
      </c>
      <c r="DB80">
        <v>13.302969823748155</v>
      </c>
      <c r="DC80">
        <v>5.1315780432327198</v>
      </c>
      <c r="DD80">
        <v>7.0654295444262036</v>
      </c>
      <c r="DE80">
        <v>873.71987306527683</v>
      </c>
      <c r="DF80">
        <v>23.330142528598056</v>
      </c>
      <c r="DG80">
        <v>9.5772507462716465</v>
      </c>
      <c r="DH80">
        <v>13.840746011094582</v>
      </c>
      <c r="DI80">
        <v>5.5121193482495405</v>
      </c>
      <c r="DJ80">
        <v>7.4192434864483392</v>
      </c>
      <c r="DK80">
        <v>917.48058682025032</v>
      </c>
      <c r="DL80">
        <v>23.426896497309791</v>
      </c>
      <c r="DM80">
        <v>9.8201193583026853</v>
      </c>
      <c r="DN80">
        <v>15.446828435608351</v>
      </c>
      <c r="DO80">
        <v>5.6985614072273361</v>
      </c>
      <c r="DP80">
        <v>8.0053251104122172</v>
      </c>
      <c r="DQ80">
        <v>995.86018252725773</v>
      </c>
      <c r="DR80">
        <v>24.35260816684432</v>
      </c>
      <c r="DS80">
        <v>9.7631228297905466</v>
      </c>
      <c r="DT80">
        <v>16.353510371619894</v>
      </c>
      <c r="DU80">
        <v>5.8597201160317764</v>
      </c>
      <c r="DV80">
        <v>8.6677561705833597</v>
      </c>
      <c r="DW80">
        <v>1077.7609577286407</v>
      </c>
      <c r="DX80">
        <v>24.438799654877595</v>
      </c>
      <c r="DY80">
        <v>9.6714257437257487</v>
      </c>
      <c r="DZ80">
        <v>16.583633510957835</v>
      </c>
      <c r="EA80">
        <v>5.9754636725279209</v>
      </c>
      <c r="EB80">
        <v>9.0546234151359926</v>
      </c>
      <c r="EC80">
        <v>1214.1886400945918</v>
      </c>
      <c r="ED80">
        <v>22.823081222243356</v>
      </c>
      <c r="EE80">
        <v>9.1099997969533817</v>
      </c>
      <c r="EG80">
        <v>84</v>
      </c>
      <c r="EH80">
        <v>12.538692540625718</v>
      </c>
      <c r="EI80">
        <v>4.7376437807188871</v>
      </c>
      <c r="EJ80">
        <v>6.4921674238522886</v>
      </c>
      <c r="EK80">
        <v>869.25083000967754</v>
      </c>
      <c r="EL80">
        <v>22.57085205813452</v>
      </c>
      <c r="EM80">
        <v>9.1733016162252987</v>
      </c>
      <c r="EN80">
        <v>13.096244438621737</v>
      </c>
      <c r="EO80">
        <v>4.9604453012372938</v>
      </c>
      <c r="EP80">
        <v>6.853022830620537</v>
      </c>
      <c r="EQ80">
        <v>913.66044868777033</v>
      </c>
      <c r="ER80">
        <v>22.709991663814414</v>
      </c>
      <c r="ES80">
        <v>9.2573721852970667</v>
      </c>
      <c r="ET80">
        <v>13.806275956581713</v>
      </c>
      <c r="EU80">
        <v>5.1574752168576863</v>
      </c>
      <c r="EV80">
        <v>7.3932188232552427</v>
      </c>
      <c r="EW80">
        <v>1008.6903715074559</v>
      </c>
      <c r="EX80">
        <v>22.416433202618908</v>
      </c>
      <c r="EY80">
        <v>9.1025148571805659</v>
      </c>
      <c r="EZ80">
        <v>14.643585887334435</v>
      </c>
      <c r="FA80">
        <v>5.365938423293608</v>
      </c>
      <c r="FB80">
        <v>7.9990751983408455</v>
      </c>
      <c r="FC80">
        <v>1085.3979400420474</v>
      </c>
      <c r="FD80">
        <v>22.691456035506825</v>
      </c>
      <c r="FE80">
        <v>9.14844502011535</v>
      </c>
      <c r="FF80">
        <v>14.843689034791256</v>
      </c>
      <c r="FG80">
        <v>5.4324105178816913</v>
      </c>
      <c r="FH80">
        <v>8.3605277081714728</v>
      </c>
      <c r="FI80">
        <v>1226.4558482245141</v>
      </c>
      <c r="FJ80">
        <v>21.176124288073972</v>
      </c>
      <c r="FK80">
        <v>8.5760976437148937</v>
      </c>
    </row>
    <row r="81" spans="2:167" x14ac:dyDescent="0.25">
      <c r="B81">
        <v>755.05385787045816</v>
      </c>
      <c r="C81">
        <v>1.3244088346497349</v>
      </c>
      <c r="D81">
        <v>816.21646970043798</v>
      </c>
      <c r="E81">
        <v>1.2251651824264376</v>
      </c>
      <c r="F81">
        <v>938.30793409844034</v>
      </c>
      <c r="G81">
        <v>1.0657482087272721</v>
      </c>
      <c r="H81">
        <v>1064.5872122484209</v>
      </c>
      <c r="I81">
        <v>0.9393312154182164</v>
      </c>
      <c r="J81">
        <v>1186.329701535924</v>
      </c>
      <c r="K81">
        <v>0.84293598879410547</v>
      </c>
      <c r="L81">
        <v>882.03001387306222</v>
      </c>
      <c r="M81">
        <v>1.1337482673734904</v>
      </c>
      <c r="N81">
        <v>872.29767119307428</v>
      </c>
      <c r="O81">
        <v>1.1463976495916381</v>
      </c>
      <c r="Q81">
        <v>0.16567148325421849</v>
      </c>
      <c r="R81">
        <v>0.16634286760224143</v>
      </c>
      <c r="S81">
        <v>0.16647321954268393</v>
      </c>
      <c r="T81">
        <v>0.16764714464412442</v>
      </c>
      <c r="U81">
        <v>0.16813671284724471</v>
      </c>
      <c r="V81">
        <v>0.16653793525947103</v>
      </c>
      <c r="W81">
        <v>0.16618328053908579</v>
      </c>
      <c r="Y81">
        <v>2.0879022730727939</v>
      </c>
      <c r="Z81">
        <v>2.117185193946272</v>
      </c>
      <c r="AA81">
        <v>2.171004018724628</v>
      </c>
      <c r="AB81">
        <v>2.2555546580930952</v>
      </c>
      <c r="AC81">
        <v>2.3066546689179757</v>
      </c>
      <c r="AD81">
        <v>2.143837345605776</v>
      </c>
      <c r="AE81">
        <v>2.1437391159398884</v>
      </c>
      <c r="AG81">
        <v>0.82040834069111324</v>
      </c>
      <c r="AH81">
        <v>0.83350920107822313</v>
      </c>
      <c r="AI81">
        <v>0.8606401910518785</v>
      </c>
      <c r="AJ81">
        <v>0.88801008789428815</v>
      </c>
      <c r="AK81">
        <v>0.91316492329381704</v>
      </c>
      <c r="AL81">
        <v>0.84648180300355624</v>
      </c>
      <c r="AM81">
        <v>0.84723580293225498</v>
      </c>
      <c r="AO81">
        <v>85</v>
      </c>
      <c r="AP81">
        <v>15.517326441244538</v>
      </c>
      <c r="AQ81">
        <v>6.754875041004313</v>
      </c>
      <c r="AR81">
        <v>7.5522642279854084</v>
      </c>
      <c r="AS81">
        <v>872.43657800184963</v>
      </c>
      <c r="AT81">
        <v>25.872997829692377</v>
      </c>
      <c r="AU81">
        <v>11.438461880972335</v>
      </c>
      <c r="AV81">
        <v>16.235379916425494</v>
      </c>
      <c r="AW81">
        <v>6.9144647044463037</v>
      </c>
      <c r="AX81">
        <v>7.9597718524457699</v>
      </c>
      <c r="AY81">
        <v>920.46047359274246</v>
      </c>
      <c r="AZ81">
        <v>25.924097007846282</v>
      </c>
      <c r="BA81">
        <v>11.298819924019414</v>
      </c>
      <c r="BB81">
        <v>17.93377274340056</v>
      </c>
      <c r="BC81">
        <v>7.3184342646379479</v>
      </c>
      <c r="BD81">
        <v>8.6051969649729134</v>
      </c>
      <c r="BE81">
        <v>997.92661998577148</v>
      </c>
      <c r="BF81">
        <v>26.756799092098674</v>
      </c>
      <c r="BG81">
        <v>11.349009105866738</v>
      </c>
      <c r="BH81">
        <v>19.071296661040027</v>
      </c>
      <c r="BI81">
        <v>7.6969701157056996</v>
      </c>
      <c r="BJ81">
        <v>9.2541983454117815</v>
      </c>
      <c r="BK81">
        <v>1075.958651755748</v>
      </c>
      <c r="BL81">
        <v>26.97018098691472</v>
      </c>
      <c r="BM81">
        <v>11.378959391826065</v>
      </c>
      <c r="BN81">
        <v>19.525512395775728</v>
      </c>
      <c r="BO81">
        <v>7.8170292757801203</v>
      </c>
      <c r="BP81">
        <v>9.8161518664176413</v>
      </c>
      <c r="BQ81">
        <v>1209.8824881168375</v>
      </c>
      <c r="BR81">
        <v>25.300454736370529</v>
      </c>
      <c r="BS81">
        <v>10.648348407986179</v>
      </c>
      <c r="BU81">
        <v>85</v>
      </c>
      <c r="BV81">
        <v>14.988188336069319</v>
      </c>
      <c r="BW81">
        <v>5.7245676800294039</v>
      </c>
      <c r="BX81">
        <v>7.3317042364895917</v>
      </c>
      <c r="BY81">
        <v>880.44436770386994</v>
      </c>
      <c r="BZ81">
        <v>25.036688736505148</v>
      </c>
      <c r="CA81">
        <v>10.164214240365411</v>
      </c>
      <c r="CB81">
        <v>15.545338834243175</v>
      </c>
      <c r="CC81">
        <v>5.8262288798247139</v>
      </c>
      <c r="CD81">
        <v>7.7023812030843866</v>
      </c>
      <c r="CE81">
        <v>930.19965758172975</v>
      </c>
      <c r="CF81">
        <v>24.910851491136043</v>
      </c>
      <c r="CG81">
        <v>10.010626469040888</v>
      </c>
      <c r="CH81">
        <v>17.229396293040285</v>
      </c>
      <c r="CI81">
        <v>6.4507731118291503</v>
      </c>
      <c r="CJ81">
        <v>8.3107899205403424</v>
      </c>
      <c r="CK81">
        <v>1005.4493403160644</v>
      </c>
      <c r="CL81">
        <v>25.856047228678804</v>
      </c>
      <c r="CM81">
        <v>10.401137804823771</v>
      </c>
      <c r="CN81">
        <v>18.33801700821401</v>
      </c>
      <c r="CO81">
        <v>6.687997890373568</v>
      </c>
      <c r="CP81">
        <v>8.9698035200056481</v>
      </c>
      <c r="CQ81">
        <v>1084.2124613800129</v>
      </c>
      <c r="CR81">
        <v>26.088539771495277</v>
      </c>
      <c r="CS81">
        <v>10.361730731245357</v>
      </c>
      <c r="CT81">
        <v>18.605979187016381</v>
      </c>
      <c r="CU81">
        <v>6.6829861017015331</v>
      </c>
      <c r="CV81">
        <v>9.3641267248983162</v>
      </c>
      <c r="CW81">
        <v>1220.1880605682793</v>
      </c>
      <c r="CX81">
        <v>24.333170334694163</v>
      </c>
      <c r="CY81">
        <v>9.6290133232730746</v>
      </c>
      <c r="DA81">
        <v>85</v>
      </c>
      <c r="DB81">
        <v>13.331027355415976</v>
      </c>
      <c r="DC81">
        <v>5.1650075194233027</v>
      </c>
      <c r="DD81">
        <v>7.0772395712455793</v>
      </c>
      <c r="DE81">
        <v>876.88103920309436</v>
      </c>
      <c r="DF81">
        <v>23.248593243485427</v>
      </c>
      <c r="DG81">
        <v>9.5673924333948452</v>
      </c>
      <c r="DH81">
        <v>13.877035541846027</v>
      </c>
      <c r="DI81">
        <v>5.5511889382437341</v>
      </c>
      <c r="DJ81">
        <v>7.4349213811205477</v>
      </c>
      <c r="DK81">
        <v>921.15716113092037</v>
      </c>
      <c r="DL81">
        <v>23.344292529112387</v>
      </c>
      <c r="DM81">
        <v>9.810314410414799</v>
      </c>
      <c r="DN81">
        <v>15.482734156282564</v>
      </c>
      <c r="DO81">
        <v>5.7385195938279718</v>
      </c>
      <c r="DP81">
        <v>8.018129577851095</v>
      </c>
      <c r="DQ81">
        <v>999.39678245117932</v>
      </c>
      <c r="DR81">
        <v>24.264920518375813</v>
      </c>
      <c r="DS81">
        <v>9.7514458696703219</v>
      </c>
      <c r="DT81">
        <v>16.410333243191097</v>
      </c>
      <c r="DU81">
        <v>5.9095391349257982</v>
      </c>
      <c r="DV81">
        <v>8.6895369427224072</v>
      </c>
      <c r="DW81">
        <v>1082.4544349541766</v>
      </c>
      <c r="DX81">
        <v>24.35006528062878</v>
      </c>
      <c r="DY81">
        <v>9.6593985734607912</v>
      </c>
      <c r="DZ81">
        <v>16.643898287220303</v>
      </c>
      <c r="EA81">
        <v>6.0272085505399096</v>
      </c>
      <c r="EB81">
        <v>9.0782764392517024</v>
      </c>
      <c r="EC81">
        <v>1218.7274279818685</v>
      </c>
      <c r="ED81">
        <v>22.752391044722195</v>
      </c>
      <c r="EE81">
        <v>9.1024697452809864</v>
      </c>
      <c r="EG81">
        <v>85</v>
      </c>
      <c r="EH81">
        <v>12.556726896633506</v>
      </c>
      <c r="EI81">
        <v>4.7683087303391343</v>
      </c>
      <c r="EJ81">
        <v>6.5036907774842785</v>
      </c>
      <c r="EK81">
        <v>872.49948633491545</v>
      </c>
      <c r="EL81">
        <v>22.47789305522511</v>
      </c>
      <c r="EM81">
        <v>9.1607689810224624</v>
      </c>
      <c r="EN81">
        <v>13.121574463810177</v>
      </c>
      <c r="EO81">
        <v>4.9956632387960944</v>
      </c>
      <c r="EP81">
        <v>6.8681092236638346</v>
      </c>
      <c r="EQ81">
        <v>917.39047603602762</v>
      </c>
      <c r="ER81">
        <v>22.616652013156767</v>
      </c>
      <c r="ES81">
        <v>9.2450443886216416</v>
      </c>
      <c r="ET81">
        <v>13.862400391611981</v>
      </c>
      <c r="EU81">
        <v>5.193639724979727</v>
      </c>
      <c r="EV81">
        <v>7.4056382487846717</v>
      </c>
      <c r="EW81">
        <v>1012.0571996052687</v>
      </c>
      <c r="EX81">
        <v>22.3603465660381</v>
      </c>
      <c r="EY81">
        <v>9.0910709010672992</v>
      </c>
      <c r="EZ81">
        <v>14.699688208877769</v>
      </c>
      <c r="FA81">
        <v>5.4114345718708483</v>
      </c>
      <c r="FB81">
        <v>8.0198081727198112</v>
      </c>
      <c r="FC81">
        <v>1089.9362075047895</v>
      </c>
      <c r="FD81">
        <v>22.613425400879439</v>
      </c>
      <c r="FE81">
        <v>9.1360890602709635</v>
      </c>
      <c r="FF81">
        <v>14.899030060688398</v>
      </c>
      <c r="FG81">
        <v>5.4794051501321785</v>
      </c>
      <c r="FH81">
        <v>8.3829955793372939</v>
      </c>
      <c r="FI81">
        <v>1230.3528678330599</v>
      </c>
      <c r="FJ81">
        <v>21.119221543006731</v>
      </c>
      <c r="FK81">
        <v>8.5712208393634768</v>
      </c>
    </row>
    <row r="82" spans="2:167" x14ac:dyDescent="0.25">
      <c r="B82">
        <v>752.0815805928969</v>
      </c>
      <c r="C82">
        <v>1.329642987947742</v>
      </c>
      <c r="D82">
        <v>813.17170388156035</v>
      </c>
      <c r="E82">
        <v>1.2297525789776516</v>
      </c>
      <c r="F82">
        <v>933.97930448604154</v>
      </c>
      <c r="G82">
        <v>1.0706875357910515</v>
      </c>
      <c r="H82">
        <v>1060.1201429691018</v>
      </c>
      <c r="I82">
        <v>0.94328931171827191</v>
      </c>
      <c r="J82">
        <v>1181.3013001325787</v>
      </c>
      <c r="K82">
        <v>0.84652408313422567</v>
      </c>
      <c r="L82">
        <v>878.16594758286362</v>
      </c>
      <c r="M82">
        <v>1.1387369354875152</v>
      </c>
      <c r="N82">
        <v>868.80939350904362</v>
      </c>
      <c r="O82">
        <v>1.1510004466699988</v>
      </c>
      <c r="Q82">
        <v>0.16751896838690236</v>
      </c>
      <c r="R82">
        <v>0.16819113079526693</v>
      </c>
      <c r="S82">
        <v>0.1683078564810716</v>
      </c>
      <c r="T82">
        <v>0.16948334303268486</v>
      </c>
      <c r="U82">
        <v>0.16997050844244793</v>
      </c>
      <c r="V82">
        <v>0.16837592525769726</v>
      </c>
      <c r="W82">
        <v>0.16802810405569352</v>
      </c>
      <c r="Y82">
        <v>2.0947658853658004</v>
      </c>
      <c r="Z82">
        <v>2.1253093188451864</v>
      </c>
      <c r="AA82">
        <v>2.1782826493740819</v>
      </c>
      <c r="AB82">
        <v>2.2654145945088562</v>
      </c>
      <c r="AC82">
        <v>2.3170657389091986</v>
      </c>
      <c r="AD82">
        <v>2.1516108389233857</v>
      </c>
      <c r="AE82">
        <v>2.1513920635174006</v>
      </c>
      <c r="AG82">
        <v>0.82363951864535145</v>
      </c>
      <c r="AH82">
        <v>0.83725026381346601</v>
      </c>
      <c r="AI82">
        <v>0.8640469744608007</v>
      </c>
      <c r="AJ82">
        <v>0.89245024830160036</v>
      </c>
      <c r="AK82">
        <v>0.91783751361869714</v>
      </c>
      <c r="AL82">
        <v>0.85009413064627015</v>
      </c>
      <c r="AM82">
        <v>0.85078305362275786</v>
      </c>
      <c r="AO82">
        <v>86</v>
      </c>
      <c r="AP82">
        <v>15.598256636785784</v>
      </c>
      <c r="AQ82">
        <v>6.7922339674983032</v>
      </c>
      <c r="AR82">
        <v>7.5749623723197326</v>
      </c>
      <c r="AS82">
        <v>875.24158315587567</v>
      </c>
      <c r="AT82">
        <v>25.850813491132193</v>
      </c>
      <c r="AU82">
        <v>11.429985217736863</v>
      </c>
      <c r="AV82">
        <v>16.323306245940973</v>
      </c>
      <c r="AW82">
        <v>6.9553216766666717</v>
      </c>
      <c r="AX82">
        <v>7.9832881008328904</v>
      </c>
      <c r="AY82">
        <v>923.56034667934875</v>
      </c>
      <c r="AZ82">
        <v>25.901483030340213</v>
      </c>
      <c r="BA82">
        <v>11.291055831474937</v>
      </c>
      <c r="BB82">
        <v>18.02180460679908</v>
      </c>
      <c r="BC82">
        <v>7.3612123178522797</v>
      </c>
      <c r="BD82">
        <v>8.6251786748211323</v>
      </c>
      <c r="BE82">
        <v>1000.9760272781674</v>
      </c>
      <c r="BF82">
        <v>26.722825021745734</v>
      </c>
      <c r="BG82">
        <v>11.338704053204923</v>
      </c>
      <c r="BH82">
        <v>19.167360350107977</v>
      </c>
      <c r="BI82">
        <v>7.7443179445448278</v>
      </c>
      <c r="BJ82">
        <v>9.2742383659985741</v>
      </c>
      <c r="BK82">
        <v>1079.4072970768502</v>
      </c>
      <c r="BL82">
        <v>26.934339840711075</v>
      </c>
      <c r="BM82">
        <v>11.368795679190857</v>
      </c>
      <c r="BN82">
        <v>19.623991809695351</v>
      </c>
      <c r="BO82">
        <v>7.865315042083556</v>
      </c>
      <c r="BP82">
        <v>9.8357852206922445</v>
      </c>
      <c r="BQ82">
        <v>1212.9865275594341</v>
      </c>
      <c r="BR82">
        <v>25.278162998089673</v>
      </c>
      <c r="BS82">
        <v>10.643203325823555</v>
      </c>
      <c r="BU82">
        <v>86</v>
      </c>
      <c r="BV82">
        <v>15.063801611522857</v>
      </c>
      <c r="BW82">
        <v>5.7593046892230433</v>
      </c>
      <c r="BX82">
        <v>7.3531823943586341</v>
      </c>
      <c r="BY82">
        <v>883.1178278488203</v>
      </c>
      <c r="BZ82">
        <v>25.015067303527086</v>
      </c>
      <c r="CA82">
        <v>10.158405590109719</v>
      </c>
      <c r="CB82">
        <v>15.627568819751545</v>
      </c>
      <c r="CC82">
        <v>5.863853318592505</v>
      </c>
      <c r="CD82">
        <v>7.7247113768195099</v>
      </c>
      <c r="CE82">
        <v>933.13198201186174</v>
      </c>
      <c r="CF82">
        <v>24.890203817411976</v>
      </c>
      <c r="CG82">
        <v>10.005554691083372</v>
      </c>
      <c r="CH82">
        <v>17.311771914218038</v>
      </c>
      <c r="CI82">
        <v>6.4906199968386353</v>
      </c>
      <c r="CJ82">
        <v>8.3297436233481079</v>
      </c>
      <c r="CK82">
        <v>1008.3602263478527</v>
      </c>
      <c r="CL82">
        <v>25.822988506443743</v>
      </c>
      <c r="CM82">
        <v>10.392296664259035</v>
      </c>
      <c r="CN82">
        <v>18.428119751217405</v>
      </c>
      <c r="CO82">
        <v>6.7316383423233761</v>
      </c>
      <c r="CP82">
        <v>8.9887362865978009</v>
      </c>
      <c r="CQ82">
        <v>1087.5273576303084</v>
      </c>
      <c r="CR82">
        <v>26.053489292314843</v>
      </c>
      <c r="CS82">
        <v>10.352733964693734</v>
      </c>
      <c r="CT82">
        <v>18.69818061477525</v>
      </c>
      <c r="CU82">
        <v>6.7271599797258865</v>
      </c>
      <c r="CV82">
        <v>9.3830094842746341</v>
      </c>
      <c r="CW82">
        <v>1223.1055151225007</v>
      </c>
      <c r="CX82">
        <v>24.31209703133079</v>
      </c>
      <c r="CY82">
        <v>9.6246047756256274</v>
      </c>
      <c r="DA82">
        <v>86</v>
      </c>
      <c r="DB82">
        <v>13.355719587103485</v>
      </c>
      <c r="DC82">
        <v>5.1978006176162124</v>
      </c>
      <c r="DD82">
        <v>7.0873943554808552</v>
      </c>
      <c r="DE82">
        <v>879.84188173535802</v>
      </c>
      <c r="DF82">
        <v>23.166855658156127</v>
      </c>
      <c r="DG82">
        <v>9.5580412595858188</v>
      </c>
      <c r="DH82">
        <v>13.909995210302561</v>
      </c>
      <c r="DI82">
        <v>5.5896312619660851</v>
      </c>
      <c r="DJ82">
        <v>7.4489218637361123</v>
      </c>
      <c r="DK82">
        <v>924.62946825531878</v>
      </c>
      <c r="DL82">
        <v>23.261503499294445</v>
      </c>
      <c r="DM82">
        <v>9.800986594653839</v>
      </c>
      <c r="DN82">
        <v>15.514556141559545</v>
      </c>
      <c r="DO82">
        <v>5.7777785937968718</v>
      </c>
      <c r="DP82">
        <v>8.0288916932065604</v>
      </c>
      <c r="DQ82">
        <v>1002.6936435484358</v>
      </c>
      <c r="DR82">
        <v>24.176535793014736</v>
      </c>
      <c r="DS82">
        <v>9.7401008537786176</v>
      </c>
      <c r="DT82">
        <v>16.463303734216517</v>
      </c>
      <c r="DU82">
        <v>5.9588762227356558</v>
      </c>
      <c r="DV82">
        <v>8.7092627617842613</v>
      </c>
      <c r="DW82">
        <v>1086.9077617980897</v>
      </c>
      <c r="DX82">
        <v>24.26062935321854</v>
      </c>
      <c r="DY82">
        <v>9.6476625357222972</v>
      </c>
      <c r="DZ82">
        <v>16.700347196332018</v>
      </c>
      <c r="EA82">
        <v>6.0784897153393311</v>
      </c>
      <c r="EB82">
        <v>9.0997839439020236</v>
      </c>
      <c r="EC82">
        <v>1222.9761976482712</v>
      </c>
      <c r="ED82">
        <v>22.681084552676165</v>
      </c>
      <c r="EE82">
        <v>9.0952194645693005</v>
      </c>
      <c r="EG82">
        <v>86</v>
      </c>
      <c r="EH82">
        <v>12.571364595985525</v>
      </c>
      <c r="EI82">
        <v>4.7983705266921426</v>
      </c>
      <c r="EJ82">
        <v>6.513755394425977</v>
      </c>
      <c r="EK82">
        <v>875.55171373443045</v>
      </c>
      <c r="EL82">
        <v>22.384531464683086</v>
      </c>
      <c r="EM82">
        <v>9.1486713930911421</v>
      </c>
      <c r="EN82">
        <v>13.143494589370402</v>
      </c>
      <c r="EO82">
        <v>5.0303211779617838</v>
      </c>
      <c r="EP82">
        <v>6.8817009156464408</v>
      </c>
      <c r="EQ82">
        <v>920.92279070025097</v>
      </c>
      <c r="ER82">
        <v>22.522812118340653</v>
      </c>
      <c r="ES82">
        <v>9.2330986107125241</v>
      </c>
      <c r="ET82">
        <v>13.915793231241873</v>
      </c>
      <c r="EU82">
        <v>5.2291714666479043</v>
      </c>
      <c r="EV82">
        <v>7.4162262978607396</v>
      </c>
      <c r="EW82">
        <v>1015.1495050218208</v>
      </c>
      <c r="EX82">
        <v>22.304986349643873</v>
      </c>
      <c r="EY82">
        <v>9.0801700053603511</v>
      </c>
      <c r="EZ82">
        <v>14.752604879953092</v>
      </c>
      <c r="FA82">
        <v>5.4564799697030875</v>
      </c>
      <c r="FB82">
        <v>8.0387007278213627</v>
      </c>
      <c r="FC82">
        <v>1094.2091481202212</v>
      </c>
      <c r="FD82">
        <v>22.53533297379008</v>
      </c>
      <c r="FE82">
        <v>9.1241451027932019</v>
      </c>
      <c r="FF82">
        <v>14.951074160442772</v>
      </c>
      <c r="FG82">
        <v>5.5259746225603505</v>
      </c>
      <c r="FH82">
        <v>8.4035377340809116</v>
      </c>
      <c r="FI82">
        <v>1233.9667106696365</v>
      </c>
      <c r="FJ82">
        <v>21.06147052765958</v>
      </c>
      <c r="FK82">
        <v>8.5664562369272623</v>
      </c>
    </row>
    <row r="83" spans="2:167" x14ac:dyDescent="0.25">
      <c r="B83">
        <v>748.89994288100786</v>
      </c>
      <c r="C83">
        <v>1.3352918630932373</v>
      </c>
      <c r="D83">
        <v>809.89155040993421</v>
      </c>
      <c r="E83">
        <v>1.2347332176682675</v>
      </c>
      <c r="F83">
        <v>929.32638642443555</v>
      </c>
      <c r="G83">
        <v>1.0760482157915259</v>
      </c>
      <c r="H83">
        <v>1055.2712846030711</v>
      </c>
      <c r="I83">
        <v>0.94762362492990537</v>
      </c>
      <c r="J83">
        <v>1175.8282520279254</v>
      </c>
      <c r="K83">
        <v>0.85046434143364202</v>
      </c>
      <c r="L83">
        <v>874.00596241771461</v>
      </c>
      <c r="M83">
        <v>1.1441569543001229</v>
      </c>
      <c r="N83">
        <v>865.05858056228317</v>
      </c>
      <c r="O83">
        <v>1.1559910767546004</v>
      </c>
      <c r="Q83">
        <v>0.16936465945024559</v>
      </c>
      <c r="R83">
        <v>0.17003737068124278</v>
      </c>
      <c r="S83">
        <v>0.17013987946248343</v>
      </c>
      <c r="T83">
        <v>0.17131648288517598</v>
      </c>
      <c r="U83">
        <v>0.17180092482350817</v>
      </c>
      <c r="V83">
        <v>0.17021139511916211</v>
      </c>
      <c r="W83">
        <v>0.16987082215283544</v>
      </c>
      <c r="Y83">
        <v>2.1012185848354297</v>
      </c>
      <c r="Z83">
        <v>2.1330497106309636</v>
      </c>
      <c r="AA83">
        <v>2.185124265448859</v>
      </c>
      <c r="AB83">
        <v>2.2748771750996606</v>
      </c>
      <c r="AC83">
        <v>2.3270787014045817</v>
      </c>
      <c r="AD83">
        <v>2.1589809947657606</v>
      </c>
      <c r="AE83">
        <v>2.1586305668473313</v>
      </c>
      <c r="AG83">
        <v>0.82675129482575493</v>
      </c>
      <c r="AH83">
        <v>0.84088218074501586</v>
      </c>
      <c r="AI83">
        <v>0.86732133179493576</v>
      </c>
      <c r="AJ83">
        <v>0.89677630145056098</v>
      </c>
      <c r="AK83">
        <v>0.92239412724960734</v>
      </c>
      <c r="AL83">
        <v>0.85358930203771188</v>
      </c>
      <c r="AM83">
        <v>0.85420720899682667</v>
      </c>
      <c r="AO83">
        <v>87</v>
      </c>
      <c r="AP83">
        <v>15.676782938331627</v>
      </c>
      <c r="AQ83">
        <v>6.82852909034359</v>
      </c>
      <c r="AR83">
        <v>7.596255234303193</v>
      </c>
      <c r="AS83">
        <v>877.84464747238735</v>
      </c>
      <c r="AT83">
        <v>25.829745695778126</v>
      </c>
      <c r="AU83">
        <v>11.421959825451147</v>
      </c>
      <c r="AV83">
        <v>16.408717126401864</v>
      </c>
      <c r="AW83">
        <v>6.9951425548351169</v>
      </c>
      <c r="AX83">
        <v>8.0052457843753775</v>
      </c>
      <c r="AY83">
        <v>926.44344694926349</v>
      </c>
      <c r="AZ83">
        <v>25.879986363318029</v>
      </c>
      <c r="BA83">
        <v>11.283780413455975</v>
      </c>
      <c r="BB83">
        <v>18.106586376768686</v>
      </c>
      <c r="BC83">
        <v>7.4028298188729948</v>
      </c>
      <c r="BD83">
        <v>8.6432129895589611</v>
      </c>
      <c r="BE83">
        <v>1003.782486984609</v>
      </c>
      <c r="BF83">
        <v>26.689260351609807</v>
      </c>
      <c r="BG83">
        <v>11.328667614294517</v>
      </c>
      <c r="BH83">
        <v>19.259874221389261</v>
      </c>
      <c r="BI83">
        <v>7.7904588616618913</v>
      </c>
      <c r="BJ83">
        <v>9.2920320821114544</v>
      </c>
      <c r="BK83">
        <v>1082.5842129365719</v>
      </c>
      <c r="BL83">
        <v>26.898904266975951</v>
      </c>
      <c r="BM83">
        <v>11.358926848935843</v>
      </c>
      <c r="BN83">
        <v>19.71883484701112</v>
      </c>
      <c r="BO83">
        <v>7.9123851836276353</v>
      </c>
      <c r="BP83">
        <v>9.8529411683542474</v>
      </c>
      <c r="BQ83">
        <v>1215.7647890103956</v>
      </c>
      <c r="BR83">
        <v>25.256344246450698</v>
      </c>
      <c r="BS83">
        <v>10.63837335216845</v>
      </c>
      <c r="BU83">
        <v>87</v>
      </c>
      <c r="BV83">
        <v>15.136957790018743</v>
      </c>
      <c r="BW83">
        <v>5.7932990533762929</v>
      </c>
      <c r="BX83">
        <v>7.3732655887225986</v>
      </c>
      <c r="BY83">
        <v>885.57939520594527</v>
      </c>
      <c r="BZ83">
        <v>24.994573017534318</v>
      </c>
      <c r="CA83">
        <v>10.153213035584043</v>
      </c>
      <c r="CB83">
        <v>15.707286817660385</v>
      </c>
      <c r="CC83">
        <v>5.9007717971583364</v>
      </c>
      <c r="CD83">
        <v>7.7455098991946425</v>
      </c>
      <c r="CE83">
        <v>935.8375695805729</v>
      </c>
      <c r="CF83">
        <v>24.870676516141842</v>
      </c>
      <c r="CG83">
        <v>10.001109131981844</v>
      </c>
      <c r="CH83">
        <v>17.390908752405267</v>
      </c>
      <c r="CI83">
        <v>6.5295560639165355</v>
      </c>
      <c r="CJ83">
        <v>8.3467973531191326</v>
      </c>
      <c r="CK83">
        <v>1011.0194478677207</v>
      </c>
      <c r="CL83">
        <v>25.790339208753501</v>
      </c>
      <c r="CM83">
        <v>10.383820429254149</v>
      </c>
      <c r="CN83">
        <v>18.514689273361665</v>
      </c>
      <c r="CO83">
        <v>6.7743608895664487</v>
      </c>
      <c r="CP83">
        <v>9.0054643876946265</v>
      </c>
      <c r="CQ83">
        <v>1090.5613446562465</v>
      </c>
      <c r="CR83">
        <v>26.018842769121648</v>
      </c>
      <c r="CS83">
        <v>10.344119535998857</v>
      </c>
      <c r="CT83">
        <v>18.786830187171105</v>
      </c>
      <c r="CU83">
        <v>6.770446098837537</v>
      </c>
      <c r="CV83">
        <v>9.3995374864329602</v>
      </c>
      <c r="CW83">
        <v>1225.6871146235783</v>
      </c>
      <c r="CX83">
        <v>24.291492517863247</v>
      </c>
      <c r="CY83">
        <v>9.6205797616989592</v>
      </c>
      <c r="DA83">
        <v>87</v>
      </c>
      <c r="DB83">
        <v>13.377046517064265</v>
      </c>
      <c r="DC83">
        <v>5.229957340421981</v>
      </c>
      <c r="DD83">
        <v>7.0958938952204669</v>
      </c>
      <c r="DE83">
        <v>882.6003725806728</v>
      </c>
      <c r="DF83">
        <v>23.084929732999946</v>
      </c>
      <c r="DG83">
        <v>9.5492080088884883</v>
      </c>
      <c r="DH83">
        <v>13.939625020031444</v>
      </c>
      <c r="DI83">
        <v>5.6274463230821432</v>
      </c>
      <c r="DJ83">
        <v>7.4612449352372998</v>
      </c>
      <c r="DK83">
        <v>927.89544678417622</v>
      </c>
      <c r="DL83">
        <v>23.178529156059483</v>
      </c>
      <c r="DM83">
        <v>9.7921465404292949</v>
      </c>
      <c r="DN83">
        <v>15.542294395582966</v>
      </c>
      <c r="DO83">
        <v>5.8163384146759149</v>
      </c>
      <c r="DP83">
        <v>8.037611453669232</v>
      </c>
      <c r="DQ83">
        <v>1005.748482903459</v>
      </c>
      <c r="DR83">
        <v>24.087453833781538</v>
      </c>
      <c r="DS83">
        <v>9.7290991875557449</v>
      </c>
      <c r="DT83">
        <v>16.512421868451153</v>
      </c>
      <c r="DU83">
        <v>6.0077313866605362</v>
      </c>
      <c r="DV83">
        <v>8.726933635938753</v>
      </c>
      <c r="DW83">
        <v>1091.1187535325082</v>
      </c>
      <c r="DX83">
        <v>24.170491677830476</v>
      </c>
      <c r="DY83">
        <v>9.6362264634512975</v>
      </c>
      <c r="DZ83">
        <v>16.752980278070552</v>
      </c>
      <c r="EA83">
        <v>6.1293071787523612</v>
      </c>
      <c r="EB83">
        <v>9.1191459451538641</v>
      </c>
      <c r="EC83">
        <v>1226.9326131961964</v>
      </c>
      <c r="ED83">
        <v>22.609163018950294</v>
      </c>
      <c r="EE83">
        <v>9.0882592972973093</v>
      </c>
      <c r="EG83">
        <v>87</v>
      </c>
      <c r="EH83">
        <v>12.582605632633838</v>
      </c>
      <c r="EI83">
        <v>4.8278291722775428</v>
      </c>
      <c r="EJ83">
        <v>6.5223612732991567</v>
      </c>
      <c r="EK83">
        <v>878.40524114872676</v>
      </c>
      <c r="EL83">
        <v>22.290767155837973</v>
      </c>
      <c r="EM83">
        <v>9.1370201387402297</v>
      </c>
      <c r="EN83">
        <v>13.162004814472731</v>
      </c>
      <c r="EO83">
        <v>5.064419121988613</v>
      </c>
      <c r="EP83">
        <v>6.8937979076512468</v>
      </c>
      <c r="EQ83">
        <v>924.25518617694695</v>
      </c>
      <c r="ER83">
        <v>22.428471889076864</v>
      </c>
      <c r="ES83">
        <v>9.2215452133611429</v>
      </c>
      <c r="ET83">
        <v>13.966454502287537</v>
      </c>
      <c r="EU83">
        <v>5.2640704486875736</v>
      </c>
      <c r="EV83">
        <v>7.4249829685773454</v>
      </c>
      <c r="EW83">
        <v>1017.9650025104864</v>
      </c>
      <c r="EX83">
        <v>22.250352616424195</v>
      </c>
      <c r="EY83">
        <v>9.0698194526761391</v>
      </c>
      <c r="EZ83">
        <v>14.802335925415514</v>
      </c>
      <c r="FA83">
        <v>5.5010746235368781</v>
      </c>
      <c r="FB83">
        <v>8.055752871408723</v>
      </c>
      <c r="FC83">
        <v>1098.2141232661043</v>
      </c>
      <c r="FD83">
        <v>22.457178692438525</v>
      </c>
      <c r="FE83">
        <v>9.1126224225486361</v>
      </c>
      <c r="FF83">
        <v>14.999821369056582</v>
      </c>
      <c r="FG83">
        <v>5.5721189459952578</v>
      </c>
      <c r="FH83">
        <v>8.4221541874505235</v>
      </c>
      <c r="FI83">
        <v>1237.2955903632474</v>
      </c>
      <c r="FJ83">
        <v>21.002871713440989</v>
      </c>
      <c r="FK83">
        <v>8.5618130209050989</v>
      </c>
    </row>
    <row r="84" spans="2:167" x14ac:dyDescent="0.25">
      <c r="B84">
        <v>745.50901322915263</v>
      </c>
      <c r="C84">
        <v>1.3413654057226303</v>
      </c>
      <c r="D84">
        <v>806.37610010098501</v>
      </c>
      <c r="E84">
        <v>1.2401161193576631</v>
      </c>
      <c r="F84">
        <v>924.34935491076419</v>
      </c>
      <c r="G84">
        <v>1.0818420488826317</v>
      </c>
      <c r="H84">
        <v>1050.0408716473582</v>
      </c>
      <c r="I84">
        <v>0.95234388203494247</v>
      </c>
      <c r="J84">
        <v>1169.9108942092016</v>
      </c>
      <c r="K84">
        <v>0.85476595264628896</v>
      </c>
      <c r="L84">
        <v>869.55022408140144</v>
      </c>
      <c r="M84">
        <v>1.1500198289942443</v>
      </c>
      <c r="N84">
        <v>861.04534076462153</v>
      </c>
      <c r="O84">
        <v>1.1613790269302016</v>
      </c>
      <c r="Q84">
        <v>0.17120855703119592</v>
      </c>
      <c r="R84">
        <v>0.17188158804078549</v>
      </c>
      <c r="S84">
        <v>0.17196928989750007</v>
      </c>
      <c r="T84">
        <v>0.17314656608016804</v>
      </c>
      <c r="U84">
        <v>0.17362796455145202</v>
      </c>
      <c r="V84">
        <v>0.17204434625505027</v>
      </c>
      <c r="W84">
        <v>0.17171143569992753</v>
      </c>
      <c r="Y84">
        <v>2.1072603722556393</v>
      </c>
      <c r="Z84">
        <v>2.1404063706260086</v>
      </c>
      <c r="AA84">
        <v>2.1915288692893773</v>
      </c>
      <c r="AB84">
        <v>2.2839424034782767</v>
      </c>
      <c r="AC84">
        <v>2.3366935621153435</v>
      </c>
      <c r="AD84">
        <v>2.1659478161887091</v>
      </c>
      <c r="AE84">
        <v>2.1654546275519126</v>
      </c>
      <c r="AG84">
        <v>0.82974366939530353</v>
      </c>
      <c r="AH84">
        <v>0.84440495211050282</v>
      </c>
      <c r="AI84">
        <v>0.87046326365278248</v>
      </c>
      <c r="AJ84">
        <v>0.90098824802297495</v>
      </c>
      <c r="AK84">
        <v>0.92683476545906252</v>
      </c>
      <c r="AL84">
        <v>0.85696731792246272</v>
      </c>
      <c r="AM84">
        <v>0.85750826944718317</v>
      </c>
      <c r="AO84">
        <v>88</v>
      </c>
      <c r="AP84">
        <v>15.752905356417035</v>
      </c>
      <c r="AQ84">
        <v>6.8637604147987661</v>
      </c>
      <c r="AR84">
        <v>7.6161428207844386</v>
      </c>
      <c r="AS84">
        <v>880.24494934301526</v>
      </c>
      <c r="AT84">
        <v>25.809794867879532</v>
      </c>
      <c r="AU84">
        <v>11.414387169495196</v>
      </c>
      <c r="AV84">
        <v>16.491612574464991</v>
      </c>
      <c r="AW84">
        <v>7.0339273457750586</v>
      </c>
      <c r="AX84">
        <v>8.025644913553462</v>
      </c>
      <c r="AY84">
        <v>929.10888678815945</v>
      </c>
      <c r="AZ84">
        <v>25.859607195089403</v>
      </c>
      <c r="BA84">
        <v>11.276995226551136</v>
      </c>
      <c r="BB84">
        <v>18.188118096342141</v>
      </c>
      <c r="BC84">
        <v>7.4432867820797055</v>
      </c>
      <c r="BD84">
        <v>8.6592999298879487</v>
      </c>
      <c r="BE84">
        <v>1006.344997179731</v>
      </c>
      <c r="BF84">
        <v>26.656105554065164</v>
      </c>
      <c r="BG84">
        <v>11.31890229906093</v>
      </c>
      <c r="BH84">
        <v>19.348838338165244</v>
      </c>
      <c r="BI84">
        <v>7.8353928881095634</v>
      </c>
      <c r="BJ84">
        <v>9.3075795228379992</v>
      </c>
      <c r="BK84">
        <v>1085.4882795665483</v>
      </c>
      <c r="BL84">
        <v>26.863873882159606</v>
      </c>
      <c r="BM84">
        <v>11.349355550295765</v>
      </c>
      <c r="BN84">
        <v>19.810041607034105</v>
      </c>
      <c r="BO84">
        <v>7.9582397337672264</v>
      </c>
      <c r="BP84">
        <v>9.8676197558155234</v>
      </c>
      <c r="BQ84">
        <v>1218.216112051033</v>
      </c>
      <c r="BR84">
        <v>25.235004444956044</v>
      </c>
      <c r="BS84">
        <v>10.633863794230416</v>
      </c>
      <c r="BU84">
        <v>88</v>
      </c>
      <c r="BV84">
        <v>15.207656882837803</v>
      </c>
      <c r="BW84">
        <v>5.8265507749575276</v>
      </c>
      <c r="BX84">
        <v>7.3919538262849969</v>
      </c>
      <c r="BY84">
        <v>887.82824862493385</v>
      </c>
      <c r="BZ84">
        <v>24.975205662574449</v>
      </c>
      <c r="CA84">
        <v>10.148637453142172</v>
      </c>
      <c r="CB84">
        <v>15.784492844966453</v>
      </c>
      <c r="CC84">
        <v>5.9369843193145551</v>
      </c>
      <c r="CD84">
        <v>7.7647767803896492</v>
      </c>
      <c r="CE84">
        <v>938.31553982487674</v>
      </c>
      <c r="CF84">
        <v>24.852269982294303</v>
      </c>
      <c r="CG84">
        <v>9.9972909502773124</v>
      </c>
      <c r="CH84">
        <v>17.466806850837049</v>
      </c>
      <c r="CI84">
        <v>6.5675813237217895</v>
      </c>
      <c r="CJ84">
        <v>8.3619511297702385</v>
      </c>
      <c r="CK84">
        <v>1013.4259784543664</v>
      </c>
      <c r="CL84">
        <v>25.758099533757576</v>
      </c>
      <c r="CM84">
        <v>10.375711169260981</v>
      </c>
      <c r="CN84">
        <v>18.597725637864503</v>
      </c>
      <c r="CO84">
        <v>6.8161655475643084</v>
      </c>
      <c r="CP84">
        <v>9.0199878513221474</v>
      </c>
      <c r="CQ84">
        <v>1093.313275060586</v>
      </c>
      <c r="CR84">
        <v>25.984599465293346</v>
      </c>
      <c r="CS84">
        <v>10.335889399411291</v>
      </c>
      <c r="CT84">
        <v>18.871928001120484</v>
      </c>
      <c r="CU84">
        <v>6.8128444832706156</v>
      </c>
      <c r="CV84">
        <v>9.4137107757331115</v>
      </c>
      <c r="CW84">
        <v>1227.9316824387354</v>
      </c>
      <c r="CX84">
        <v>24.271362831374976</v>
      </c>
      <c r="CY84">
        <v>9.6169429666785948</v>
      </c>
      <c r="DA84">
        <v>88</v>
      </c>
      <c r="DB84">
        <v>13.395008143429202</v>
      </c>
      <c r="DC84">
        <v>5.261477690634571</v>
      </c>
      <c r="DD84">
        <v>7.102738188418523</v>
      </c>
      <c r="DE84">
        <v>885.15444666762846</v>
      </c>
      <c r="DF84">
        <v>23.002815429212756</v>
      </c>
      <c r="DG84">
        <v>9.5409043737208847</v>
      </c>
      <c r="DH84">
        <v>13.965924974875</v>
      </c>
      <c r="DI84">
        <v>5.664634125540104</v>
      </c>
      <c r="DJ84">
        <v>7.4718905966390388</v>
      </c>
      <c r="DK84">
        <v>930.95299839979907</v>
      </c>
      <c r="DL84">
        <v>23.095369251912647</v>
      </c>
      <c r="DM84">
        <v>9.7838057095013546</v>
      </c>
      <c r="DN84">
        <v>15.56594892280574</v>
      </c>
      <c r="DO84">
        <v>5.8541990645698911</v>
      </c>
      <c r="DP84">
        <v>8.044288856220053</v>
      </c>
      <c r="DQ84">
        <v>1008.5589464074927</v>
      </c>
      <c r="DR84">
        <v>23.997674485268057</v>
      </c>
      <c r="DS84">
        <v>9.7184532640654506</v>
      </c>
      <c r="DT84">
        <v>16.557687671672625</v>
      </c>
      <c r="DU84">
        <v>6.0561046345126179</v>
      </c>
      <c r="DV84">
        <v>8.7425495740513508</v>
      </c>
      <c r="DW84">
        <v>1095.0851577850115</v>
      </c>
      <c r="DX84">
        <v>24.079652060741736</v>
      </c>
      <c r="DY84">
        <v>9.6251000225426733</v>
      </c>
      <c r="DZ84">
        <v>16.801797575715202</v>
      </c>
      <c r="EA84">
        <v>6.1796609536462563</v>
      </c>
      <c r="EB84">
        <v>9.1363624604885114</v>
      </c>
      <c r="EC84">
        <v>1230.5942703296898</v>
      </c>
      <c r="ED84">
        <v>22.536627741469889</v>
      </c>
      <c r="EE84">
        <v>9.0816004078846735</v>
      </c>
      <c r="EG84">
        <v>88</v>
      </c>
      <c r="EH84">
        <v>12.590450000105522</v>
      </c>
      <c r="EI84">
        <v>4.8566846697706074</v>
      </c>
      <c r="EJ84">
        <v>6.5295084126287541</v>
      </c>
      <c r="EK84">
        <v>881.05773937201172</v>
      </c>
      <c r="EL84">
        <v>22.196600002240409</v>
      </c>
      <c r="EM84">
        <v>9.1258274588185522</v>
      </c>
      <c r="EN84">
        <v>13.17710513822353</v>
      </c>
      <c r="EO84">
        <v>5.0979570743817613</v>
      </c>
      <c r="EP84">
        <v>6.9044002008446386</v>
      </c>
      <c r="EQ84">
        <v>927.38539455212674</v>
      </c>
      <c r="ER84">
        <v>22.333631238143198</v>
      </c>
      <c r="ES84">
        <v>9.2103954408168214</v>
      </c>
      <c r="ET84">
        <v>14.014384233566604</v>
      </c>
      <c r="EU84">
        <v>5.2983366784335173</v>
      </c>
      <c r="EV84">
        <v>7.4319082588861196</v>
      </c>
      <c r="EW84">
        <v>1020.5014436603069</v>
      </c>
      <c r="EX84">
        <v>22.196445430402317</v>
      </c>
      <c r="EY84">
        <v>9.0600269661720958</v>
      </c>
      <c r="EZ84">
        <v>14.848881372236511</v>
      </c>
      <c r="FA84">
        <v>5.5452185406932246</v>
      </c>
      <c r="FB84">
        <v>8.0709646119061311</v>
      </c>
      <c r="FC84">
        <v>1101.9484608958737</v>
      </c>
      <c r="FD84">
        <v>22.37896249418117</v>
      </c>
      <c r="FE84">
        <v>9.1015310052789982</v>
      </c>
      <c r="FF84">
        <v>15.045271724613361</v>
      </c>
      <c r="FG84">
        <v>5.6178381322192577</v>
      </c>
      <c r="FH84">
        <v>8.438844955819043</v>
      </c>
      <c r="FI84">
        <v>1240.3376420413711</v>
      </c>
      <c r="FJ84">
        <v>20.943425596074665</v>
      </c>
      <c r="FK84">
        <v>8.5573010494715174</v>
      </c>
    </row>
    <row r="85" spans="2:167" x14ac:dyDescent="0.25">
      <c r="B85">
        <v>741.90886462500464</v>
      </c>
      <c r="C85">
        <v>1.3478744461497258</v>
      </c>
      <c r="D85">
        <v>802.62545026520525</v>
      </c>
      <c r="E85">
        <v>1.2459111527918505</v>
      </c>
      <c r="F85">
        <v>919.04839707990902</v>
      </c>
      <c r="G85">
        <v>1.0880819804237714</v>
      </c>
      <c r="H85">
        <v>1044.4291569707782</v>
      </c>
      <c r="I85">
        <v>0.95746082281000389</v>
      </c>
      <c r="J85">
        <v>1163.5495908771804</v>
      </c>
      <c r="K85">
        <v>0.85943908866498497</v>
      </c>
      <c r="L85">
        <v>864.79891000695807</v>
      </c>
      <c r="M85">
        <v>1.1563381827018655</v>
      </c>
      <c r="N85">
        <v>856.76979008818137</v>
      </c>
      <c r="O85">
        <v>1.1671746734873518</v>
      </c>
      <c r="Q85">
        <v>0.17305066175520561</v>
      </c>
      <c r="R85">
        <v>0.17372378371034081</v>
      </c>
      <c r="S85">
        <v>0.17379608929453946</v>
      </c>
      <c r="T85">
        <v>0.17497359464340884</v>
      </c>
      <c r="U85">
        <v>0.17545163039412284</v>
      </c>
      <c r="V85">
        <v>0.1738747801764364</v>
      </c>
      <c r="W85">
        <v>0.1735499456270162</v>
      </c>
      <c r="Y85">
        <v>2.1128912484511591</v>
      </c>
      <c r="Z85">
        <v>2.1473793002473061</v>
      </c>
      <c r="AA85">
        <v>2.1974964633983873</v>
      </c>
      <c r="AB85">
        <v>2.2926102835405127</v>
      </c>
      <c r="AC85">
        <v>2.3459103272139137</v>
      </c>
      <c r="AD85">
        <v>2.1725113064643433</v>
      </c>
      <c r="AE85">
        <v>2.1718642473665022</v>
      </c>
      <c r="AG85">
        <v>0.8326166425276682</v>
      </c>
      <c r="AH85">
        <v>0.84781857816455175</v>
      </c>
      <c r="AI85">
        <v>0.87347277067435092</v>
      </c>
      <c r="AJ85">
        <v>0.90508608875406438</v>
      </c>
      <c r="AK85">
        <v>0.93115942962233988</v>
      </c>
      <c r="AL85">
        <v>0.8602281790978098</v>
      </c>
      <c r="AM85">
        <v>0.86068623539393585</v>
      </c>
      <c r="AO85">
        <v>89</v>
      </c>
      <c r="AP85">
        <v>15.826623902268089</v>
      </c>
      <c r="AQ85">
        <v>6.8979279464673979</v>
      </c>
      <c r="AR85">
        <v>7.6346251390613844</v>
      </c>
      <c r="AS85">
        <v>882.44171862618998</v>
      </c>
      <c r="AT85">
        <v>25.790961434547782</v>
      </c>
      <c r="AU85">
        <v>11.407268650580006</v>
      </c>
      <c r="AV85">
        <v>16.571992607978519</v>
      </c>
      <c r="AW85">
        <v>7.0716760567979264</v>
      </c>
      <c r="AX85">
        <v>8.0444854995969131</v>
      </c>
      <c r="AY85">
        <v>931.5558344398479</v>
      </c>
      <c r="AZ85">
        <v>25.840345715542774</v>
      </c>
      <c r="BA85">
        <v>11.270701823760023</v>
      </c>
      <c r="BB85">
        <v>18.266399811536935</v>
      </c>
      <c r="BC85">
        <v>7.4825832228493852</v>
      </c>
      <c r="BD85">
        <v>8.6734395179454857</v>
      </c>
      <c r="BE85">
        <v>1008.6625773093057</v>
      </c>
      <c r="BF85">
        <v>26.623361110002648</v>
      </c>
      <c r="BG85">
        <v>11.309410757568999</v>
      </c>
      <c r="BH85">
        <v>19.434252768675123</v>
      </c>
      <c r="BI85">
        <v>7.8791200465899029</v>
      </c>
      <c r="BJ85">
        <v>9.3208807195446681</v>
      </c>
      <c r="BK85">
        <v>1088.1184031144587</v>
      </c>
      <c r="BL85">
        <v>26.829248294901998</v>
      </c>
      <c r="BM85">
        <v>11.340084614059817</v>
      </c>
      <c r="BN85">
        <v>19.897612197095263</v>
      </c>
      <c r="BO85">
        <v>8.0028787285507814</v>
      </c>
      <c r="BP85">
        <v>9.8798210332359471</v>
      </c>
      <c r="BQ85">
        <v>1220.3393691566084</v>
      </c>
      <c r="BR85">
        <v>25.214149729117594</v>
      </c>
      <c r="BS85">
        <v>10.629680221950688</v>
      </c>
      <c r="BU85">
        <v>89</v>
      </c>
      <c r="BV85">
        <v>15.275898902000904</v>
      </c>
      <c r="BW85">
        <v>5.8590598565970566</v>
      </c>
      <c r="BX85">
        <v>7.4092471141891076</v>
      </c>
      <c r="BY85">
        <v>889.86362380300045</v>
      </c>
      <c r="BZ85">
        <v>24.95696502138788</v>
      </c>
      <c r="CA85">
        <v>10.144679950392753</v>
      </c>
      <c r="CB85">
        <v>15.859186919882092</v>
      </c>
      <c r="CC85">
        <v>5.9724908891247308</v>
      </c>
      <c r="CD85">
        <v>7.782512031312451</v>
      </c>
      <c r="CE85">
        <v>940.56507342655664</v>
      </c>
      <c r="CF85">
        <v>24.834984614155072</v>
      </c>
      <c r="CG85">
        <v>9.9941015673024456</v>
      </c>
      <c r="CH85">
        <v>17.539466255747243</v>
      </c>
      <c r="CI85">
        <v>6.604695787652628</v>
      </c>
      <c r="CJ85">
        <v>8.3752049745996722</v>
      </c>
      <c r="CK85">
        <v>1015.5788149572033</v>
      </c>
      <c r="CL85">
        <v>25.726269683129335</v>
      </c>
      <c r="CM85">
        <v>10.367971261616061</v>
      </c>
      <c r="CN85">
        <v>18.677228912896474</v>
      </c>
      <c r="CO85">
        <v>6.8570523329898245</v>
      </c>
      <c r="CP85">
        <v>9.0323067077020998</v>
      </c>
      <c r="CQ85">
        <v>1095.7820294055425</v>
      </c>
      <c r="CR85">
        <v>25.950758629485879</v>
      </c>
      <c r="CS85">
        <v>10.328045855956514</v>
      </c>
      <c r="CT85">
        <v>18.953474161366472</v>
      </c>
      <c r="CU85">
        <v>6.8543551592162952</v>
      </c>
      <c r="CV85">
        <v>9.4255294001172008</v>
      </c>
      <c r="CW85">
        <v>1229.8380771065845</v>
      </c>
      <c r="CX85">
        <v>24.251714183946174</v>
      </c>
      <c r="CY85">
        <v>9.6136994838163758</v>
      </c>
      <c r="DA85">
        <v>89</v>
      </c>
      <c r="DB85">
        <v>13.409604464206556</v>
      </c>
      <c r="DC85">
        <v>5.2923616712312347</v>
      </c>
      <c r="DD85">
        <v>7.1079272328949203</v>
      </c>
      <c r="DE85">
        <v>887.50200110282924</v>
      </c>
      <c r="DF85">
        <v>22.920512708687067</v>
      </c>
      <c r="DG85">
        <v>9.5331429868314537</v>
      </c>
      <c r="DH85">
        <v>13.988895078950353</v>
      </c>
      <c r="DI85">
        <v>5.7011946735705443</v>
      </c>
      <c r="DJ85">
        <v>7.4808588490288503</v>
      </c>
      <c r="DK85">
        <v>933.79998704236732</v>
      </c>
      <c r="DL85">
        <v>23.01202354295329</v>
      </c>
      <c r="DM85">
        <v>9.7759764249321197</v>
      </c>
      <c r="DN85">
        <v>15.585519727989677</v>
      </c>
      <c r="DO85">
        <v>5.8913605521457315</v>
      </c>
      <c r="DP85">
        <v>8.0489238976305693</v>
      </c>
      <c r="DQ85">
        <v>1011.122606753165</v>
      </c>
      <c r="DR85">
        <v>23.907197592908219</v>
      </c>
      <c r="DS85">
        <v>9.7081765023495326</v>
      </c>
      <c r="DT85">
        <v>16.59910117167815</v>
      </c>
      <c r="DU85">
        <v>6.1039959747161268</v>
      </c>
      <c r="DV85">
        <v>8.7561105856821069</v>
      </c>
      <c r="DW85">
        <v>1098.8046526257347</v>
      </c>
      <c r="DX85">
        <v>23.98811030825788</v>
      </c>
      <c r="DY85">
        <v>9.6142937366667045</v>
      </c>
      <c r="DZ85">
        <v>16.846799136040271</v>
      </c>
      <c r="EA85">
        <v>6.22955105392737</v>
      </c>
      <c r="EB85">
        <v>9.1514335087989629</v>
      </c>
      <c r="EC85">
        <v>1233.9586943313825</v>
      </c>
      <c r="ED85">
        <v>22.463480050453491</v>
      </c>
      <c r="EE85">
        <v>9.0752548146161747</v>
      </c>
      <c r="EG85">
        <v>89</v>
      </c>
      <c r="EH85">
        <v>12.594897691503038</v>
      </c>
      <c r="EI85">
        <v>4.8849370220221102</v>
      </c>
      <c r="EJ85">
        <v>6.5351968108429386</v>
      </c>
      <c r="EK85">
        <v>883.50681939558388</v>
      </c>
      <c r="EL85">
        <v>22.102029881238387</v>
      </c>
      <c r="EM85">
        <v>9.1151065861749778</v>
      </c>
      <c r="EN85">
        <v>13.188795559665238</v>
      </c>
      <c r="EO85">
        <v>5.1309350388970989</v>
      </c>
      <c r="EP85">
        <v>6.9135077964764218</v>
      </c>
      <c r="EQ85">
        <v>930.31108468962179</v>
      </c>
      <c r="ER85">
        <v>22.238290081049175</v>
      </c>
      <c r="ES85">
        <v>9.1996614520722737</v>
      </c>
      <c r="ET85">
        <v>14.059582455895484</v>
      </c>
      <c r="EU85">
        <v>5.3319701637292525</v>
      </c>
      <c r="EV85">
        <v>7.4370021665966188</v>
      </c>
      <c r="EW85">
        <v>1022.7566180820686</v>
      </c>
      <c r="EX85">
        <v>22.143264856774447</v>
      </c>
      <c r="EY85">
        <v>9.0508007279559983</v>
      </c>
      <c r="EZ85">
        <v>14.892241249500644</v>
      </c>
      <c r="FA85">
        <v>5.5889117290666981</v>
      </c>
      <c r="FB85">
        <v>8.0843359583978334</v>
      </c>
      <c r="FC85">
        <v>1105.4094548689702</v>
      </c>
      <c r="FD85">
        <v>22.300684315349603</v>
      </c>
      <c r="FE85">
        <v>9.0908815730200008</v>
      </c>
      <c r="FF85">
        <v>15.087425268272074</v>
      </c>
      <c r="FG85">
        <v>5.6631321939661889</v>
      </c>
      <c r="FH85">
        <v>8.4536100568815673</v>
      </c>
      <c r="FI85">
        <v>1243.0909197799335</v>
      </c>
      <c r="FJ85">
        <v>20.883132707641472</v>
      </c>
      <c r="FK85">
        <v>8.5529308859318203</v>
      </c>
    </row>
    <row r="86" spans="2:167" x14ac:dyDescent="0.25">
      <c r="B86">
        <v>738.09957454562573</v>
      </c>
      <c r="C86">
        <v>1.354830749788198</v>
      </c>
      <c r="D86">
        <v>798.63970470142488</v>
      </c>
      <c r="E86">
        <v>1.2521290816286859</v>
      </c>
      <c r="F86">
        <v>913.42371218691653</v>
      </c>
      <c r="G86">
        <v>1.0947821768342347</v>
      </c>
      <c r="H86">
        <v>1038.4364117833995</v>
      </c>
      <c r="I86">
        <v>0.96298626343678639</v>
      </c>
      <c r="J86">
        <v>1156.7447333902014</v>
      </c>
      <c r="K86">
        <v>0.86449496689661853</v>
      </c>
      <c r="L86">
        <v>859.75220933901971</v>
      </c>
      <c r="M86">
        <v>1.1631258275786267</v>
      </c>
      <c r="N86">
        <v>852.23205205700685</v>
      </c>
      <c r="O86">
        <v>1.1733893340274284</v>
      </c>
      <c r="Q86">
        <v>0.17489097428619768</v>
      </c>
      <c r="R86">
        <v>0.17556395858212595</v>
      </c>
      <c r="S86">
        <v>0.17562027925971532</v>
      </c>
      <c r="T86">
        <v>0.17679757074757901</v>
      </c>
      <c r="U86">
        <v>0.17727192532575528</v>
      </c>
      <c r="V86">
        <v>0.17570269849413478</v>
      </c>
      <c r="W86">
        <v>0.17538635292471094</v>
      </c>
      <c r="Y86">
        <v>2.1181112142974499</v>
      </c>
      <c r="Z86">
        <v>2.1539685010063185</v>
      </c>
      <c r="AA86">
        <v>2.2030270504407357</v>
      </c>
      <c r="AB86">
        <v>2.3008808194647523</v>
      </c>
      <c r="AC86">
        <v>2.3547290033329862</v>
      </c>
      <c r="AD86">
        <v>2.1786714690807529</v>
      </c>
      <c r="AE86">
        <v>2.1778594281394641</v>
      </c>
      <c r="AG86">
        <v>0.83537021440720238</v>
      </c>
      <c r="AH86">
        <v>0.85112305917876441</v>
      </c>
      <c r="AI86">
        <v>0.87634985354110251</v>
      </c>
      <c r="AJ86">
        <v>0.90906982443237794</v>
      </c>
      <c r="AK86">
        <v>0.93536812121726665</v>
      </c>
      <c r="AL86">
        <v>0.86337188641366491</v>
      </c>
      <c r="AM86">
        <v>0.86374110728455122</v>
      </c>
      <c r="AO86">
        <v>90</v>
      </c>
      <c r="AP86">
        <v>15.897938587801375</v>
      </c>
      <c r="AQ86">
        <v>6.9310316912977115</v>
      </c>
      <c r="AR86">
        <v>7.6517021968808407</v>
      </c>
      <c r="AS86">
        <v>884.43423718517329</v>
      </c>
      <c r="AT86">
        <v>25.773245826510426</v>
      </c>
      <c r="AU86">
        <v>11.400605608038799</v>
      </c>
      <c r="AV86">
        <v>16.649857245980638</v>
      </c>
      <c r="AW86">
        <v>7.1083886957026508</v>
      </c>
      <c r="AX86">
        <v>8.0617675544842609</v>
      </c>
      <c r="AY86">
        <v>933.78351458725263</v>
      </c>
      <c r="AZ86">
        <v>25.822202116481783</v>
      </c>
      <c r="BA86">
        <v>11.26490175753386</v>
      </c>
      <c r="BB86">
        <v>18.341431571351002</v>
      </c>
      <c r="BC86">
        <v>7.5207191575549315</v>
      </c>
      <c r="BD86">
        <v>8.6856317773027403</v>
      </c>
      <c r="BE86">
        <v>1010.7342684698178</v>
      </c>
      <c r="BF86">
        <v>26.591027509846548</v>
      </c>
      <c r="BG86">
        <v>11.300195785130068</v>
      </c>
      <c r="BH86">
        <v>19.516117586107651</v>
      </c>
      <c r="BI86">
        <v>7.92164036145161</v>
      </c>
      <c r="BJ86">
        <v>9.3319357058730077</v>
      </c>
      <c r="BK86">
        <v>1090.4735159665433</v>
      </c>
      <c r="BL86">
        <v>26.795027105186666</v>
      </c>
      <c r="BM86">
        <v>11.331117057914609</v>
      </c>
      <c r="BN86">
        <v>19.981546732528948</v>
      </c>
      <c r="BO86">
        <v>8.0463022067147971</v>
      </c>
      <c r="BP86">
        <v>9.889545054515704</v>
      </c>
      <c r="BQ86">
        <v>1222.1334660486348</v>
      </c>
      <c r="BR86">
        <v>25.193786420788264</v>
      </c>
      <c r="BS86">
        <v>10.625828480619372</v>
      </c>
      <c r="BU86">
        <v>90</v>
      </c>
      <c r="BV86">
        <v>15.341683860268304</v>
      </c>
      <c r="BW86">
        <v>5.8908263010869693</v>
      </c>
      <c r="BX86">
        <v>7.4251454600175766</v>
      </c>
      <c r="BY86">
        <v>891.68481384584584</v>
      </c>
      <c r="BZ86">
        <v>24.939850875005721</v>
      </c>
      <c r="CA86">
        <v>10.141341866283474</v>
      </c>
      <c r="CB86">
        <v>15.931369061833994</v>
      </c>
      <c r="CC86">
        <v>6.0072915109233813</v>
      </c>
      <c r="CD86">
        <v>7.7987156635982755</v>
      </c>
      <c r="CE86">
        <v>942.58541281339126</v>
      </c>
      <c r="CF86">
        <v>24.818820814061883</v>
      </c>
      <c r="CG86">
        <v>9.9915426674604433</v>
      </c>
      <c r="CH86">
        <v>17.608887016364115</v>
      </c>
      <c r="CI86">
        <v>6.6408994678455198</v>
      </c>
      <c r="CJ86">
        <v>8.3865589102851015</v>
      </c>
      <c r="CK86">
        <v>1017.4769777965013</v>
      </c>
      <c r="CL86">
        <v>25.694849862507194</v>
      </c>
      <c r="CM86">
        <v>10.360603395242734</v>
      </c>
      <c r="CN86">
        <v>18.753199171572696</v>
      </c>
      <c r="CO86">
        <v>6.8970212637251889</v>
      </c>
      <c r="CP86">
        <v>9.0424209892482921</v>
      </c>
      <c r="CQ86">
        <v>1097.9665165571771</v>
      </c>
      <c r="CR86">
        <v>25.917319493954626</v>
      </c>
      <c r="CS86">
        <v>10.320591556633406</v>
      </c>
      <c r="CT86">
        <v>19.031468780462554</v>
      </c>
      <c r="CU86">
        <v>6.8949781548187579</v>
      </c>
      <c r="CV86">
        <v>9.4349934111022709</v>
      </c>
      <c r="CW86">
        <v>1231.4051927097958</v>
      </c>
      <c r="CX86">
        <v>24.232552977623335</v>
      </c>
      <c r="CY86">
        <v>9.6108548257118844</v>
      </c>
      <c r="DA86">
        <v>90</v>
      </c>
      <c r="DB86">
        <v>13.420835477282074</v>
      </c>
      <c r="DC86">
        <v>5.3226092853723532</v>
      </c>
      <c r="DD86">
        <v>7.111461026335463</v>
      </c>
      <c r="DE86">
        <v>889.64089431622017</v>
      </c>
      <c r="DF86">
        <v>22.838021533905071</v>
      </c>
      <c r="DG86">
        <v>9.5259374570265116</v>
      </c>
      <c r="DH86">
        <v>14.008535336649148</v>
      </c>
      <c r="DI86">
        <v>5.7371279716861103</v>
      </c>
      <c r="DJ86">
        <v>7.4881496935667533</v>
      </c>
      <c r="DK86">
        <v>936.43423805342513</v>
      </c>
      <c r="DL86">
        <v>22.928491788180757</v>
      </c>
      <c r="DM86">
        <v>9.7686719033564984</v>
      </c>
      <c r="DN86">
        <v>15.601006816204972</v>
      </c>
      <c r="DO86">
        <v>5.9278228866316951</v>
      </c>
      <c r="DP86">
        <v>8.0515165744632196</v>
      </c>
      <c r="DQ86">
        <v>1013.4369613517321</v>
      </c>
      <c r="DR86">
        <v>23.816023002246375</v>
      </c>
      <c r="DS86">
        <v>9.6982833904305608</v>
      </c>
      <c r="DT86">
        <v>16.636662398281153</v>
      </c>
      <c r="DU86">
        <v>6.1514054163063241</v>
      </c>
      <c r="DV86">
        <v>8.7676166810844709</v>
      </c>
      <c r="DW86">
        <v>1102.2748445804277</v>
      </c>
      <c r="DX86">
        <v>23.895866225642916</v>
      </c>
      <c r="DY86">
        <v>9.6038190156256604</v>
      </c>
      <c r="DZ86">
        <v>16.887985009307929</v>
      </c>
      <c r="EA86">
        <v>6.2789774945390224</v>
      </c>
      <c r="EB86">
        <v>9.1643591103870357</v>
      </c>
      <c r="EC86">
        <v>1237.0233379608037</v>
      </c>
      <c r="ED86">
        <v>22.389721315818512</v>
      </c>
      <c r="EE86">
        <v>9.0692354252392917</v>
      </c>
      <c r="EG86">
        <v>90</v>
      </c>
      <c r="EH86">
        <v>12.595948699504566</v>
      </c>
      <c r="EI86">
        <v>4.9125862320581728</v>
      </c>
      <c r="EJ86">
        <v>6.5394264662731922</v>
      </c>
      <c r="EK86">
        <v>885.75003069233287</v>
      </c>
      <c r="EL86">
        <v>22.007056673565884</v>
      </c>
      <c r="EM86">
        <v>9.1048717874180181</v>
      </c>
      <c r="EN86">
        <v>13.197076077776442</v>
      </c>
      <c r="EO86">
        <v>5.1633530195409234</v>
      </c>
      <c r="EP86">
        <v>6.921120695879738</v>
      </c>
      <c r="EQ86">
        <v>933.02986035145761</v>
      </c>
      <c r="ER86">
        <v>22.14244833570967</v>
      </c>
      <c r="ES86">
        <v>9.1893563569752086</v>
      </c>
      <c r="ET86">
        <v>14.102049202086487</v>
      </c>
      <c r="EU86">
        <v>5.3649709129263004</v>
      </c>
      <c r="EV86">
        <v>7.4402646893765336</v>
      </c>
      <c r="EW86">
        <v>1024.7283545926564</v>
      </c>
      <c r="EX86">
        <v>22.090810962052068</v>
      </c>
      <c r="EY86">
        <v>9.0421493991973989</v>
      </c>
      <c r="EZ86">
        <v>14.93241558840206</v>
      </c>
      <c r="FA86">
        <v>5.6321541971244846</v>
      </c>
      <c r="FB86">
        <v>8.0958669206269693</v>
      </c>
      <c r="FC86">
        <v>1108.5943642647183</v>
      </c>
      <c r="FD86">
        <v>22.222344091065111</v>
      </c>
      <c r="FE86">
        <v>9.0806856124713882</v>
      </c>
      <c r="FF86">
        <v>15.126282044260817</v>
      </c>
      <c r="FG86">
        <v>5.7080011449194261</v>
      </c>
      <c r="FH86">
        <v>8.4664495096527013</v>
      </c>
      <c r="FI86">
        <v>1245.553393929561</v>
      </c>
      <c r="FJ86">
        <v>20.821993629062792</v>
      </c>
      <c r="FK86">
        <v>8.5487138333504813</v>
      </c>
    </row>
    <row r="87" spans="2:167" x14ac:dyDescent="0.25">
      <c r="B87">
        <v>734.08122495329951</v>
      </c>
      <c r="C87">
        <v>1.3622470729497511</v>
      </c>
      <c r="D87">
        <v>794.41897368963566</v>
      </c>
      <c r="E87">
        <v>1.2587816166519217</v>
      </c>
      <c r="F87">
        <v>907.47551158829538</v>
      </c>
      <c r="G87">
        <v>1.1019581104175087</v>
      </c>
      <c r="H87">
        <v>1032.0629256038133</v>
      </c>
      <c r="I87">
        <v>0.96893316792185458</v>
      </c>
      <c r="J87">
        <v>1149.496740204065</v>
      </c>
      <c r="K87">
        <v>0.86994592070132759</v>
      </c>
      <c r="L87">
        <v>854.41032291502165</v>
      </c>
      <c r="M87">
        <v>1.1703978441976977</v>
      </c>
      <c r="N87">
        <v>847.43225773815004</v>
      </c>
      <c r="O87">
        <v>1.1800353253828959</v>
      </c>
      <c r="Q87">
        <v>0.1767294953265304</v>
      </c>
      <c r="R87">
        <v>0.17740211360406777</v>
      </c>
      <c r="S87">
        <v>0.17744186149668631</v>
      </c>
      <c r="T87">
        <v>0.17861849671203003</v>
      </c>
      <c r="U87">
        <v>0.17908885252651857</v>
      </c>
      <c r="V87">
        <v>0.17752810291853918</v>
      </c>
      <c r="W87">
        <v>0.17722065864411293</v>
      </c>
      <c r="Y87">
        <v>2.1229202707206509</v>
      </c>
      <c r="Z87">
        <v>2.1601739745088837</v>
      </c>
      <c r="AA87">
        <v>2.2081206332431131</v>
      </c>
      <c r="AB87">
        <v>2.308754015711449</v>
      </c>
      <c r="AC87">
        <v>2.3631495975644974</v>
      </c>
      <c r="AD87">
        <v>2.1844283077416584</v>
      </c>
      <c r="AE87">
        <v>2.1834401718320322</v>
      </c>
      <c r="AG87">
        <v>0.83800438522893161</v>
      </c>
      <c r="AH87">
        <v>0.85431839544170252</v>
      </c>
      <c r="AI87">
        <v>0.87909451297588703</v>
      </c>
      <c r="AJ87">
        <v>0.91293945589969772</v>
      </c>
      <c r="AK87">
        <v>0.93946084182399581</v>
      </c>
      <c r="AL87">
        <v>0.8663984407724814</v>
      </c>
      <c r="AM87">
        <v>0.86667288559381916</v>
      </c>
      <c r="AO87">
        <v>91</v>
      </c>
      <c r="AP87">
        <v>15.966849425623334</v>
      </c>
      <c r="AQ87">
        <v>6.9630716555822882</v>
      </c>
      <c r="AR87">
        <v>7.6673740024380841</v>
      </c>
      <c r="AS87">
        <v>886.22183939467425</v>
      </c>
      <c r="AT87">
        <v>25.756648478870851</v>
      </c>
      <c r="AU87">
        <v>11.394399322908447</v>
      </c>
      <c r="AV87">
        <v>16.725206508698292</v>
      </c>
      <c r="AW87">
        <v>7.1440652707751218</v>
      </c>
      <c r="AX87">
        <v>8.0774910909419742</v>
      </c>
      <c r="AY87">
        <v>935.79120889928822</v>
      </c>
      <c r="AZ87">
        <v>25.805176591964685</v>
      </c>
      <c r="BA87">
        <v>11.259596582778631</v>
      </c>
      <c r="BB87">
        <v>18.413213427758052</v>
      </c>
      <c r="BC87">
        <v>7.5576946035636263</v>
      </c>
      <c r="BD87">
        <v>8.6958767329624411</v>
      </c>
      <c r="BE87">
        <v>1012.5591336848283</v>
      </c>
      <c r="BF87">
        <v>26.559105254597174</v>
      </c>
      <c r="BG87">
        <v>11.291260327873479</v>
      </c>
      <c r="BH87">
        <v>19.594432868592335</v>
      </c>
      <c r="BI87">
        <v>7.9629538586870812</v>
      </c>
      <c r="BJ87">
        <v>9.3407445177356099</v>
      </c>
      <c r="BK87">
        <v>1092.5525770657594</v>
      </c>
      <c r="BL87">
        <v>26.761209903470451</v>
      </c>
      <c r="BM87">
        <v>11.322456092411565</v>
      </c>
      <c r="BN87">
        <v>20.061845336655228</v>
      </c>
      <c r="BO87">
        <v>8.0885102096778745</v>
      </c>
      <c r="BP87">
        <v>9.8967918772869901</v>
      </c>
      <c r="BQ87">
        <v>1223.5973420408893</v>
      </c>
      <c r="BR87">
        <v>25.173921043130761</v>
      </c>
      <c r="BS87">
        <v>10.622314704476526</v>
      </c>
      <c r="BU87">
        <v>91</v>
      </c>
      <c r="BV87">
        <v>15.405011771138959</v>
      </c>
      <c r="BW87">
        <v>5.9218501113809943</v>
      </c>
      <c r="BX87">
        <v>7.4396488717920208</v>
      </c>
      <c r="BY87">
        <v>893.29116979209311</v>
      </c>
      <c r="BZ87">
        <v>24.923863002344948</v>
      </c>
      <c r="CA87">
        <v>10.138624771866882</v>
      </c>
      <c r="CB87">
        <v>16.00103929146184</v>
      </c>
      <c r="CC87">
        <v>6.0413861893156744</v>
      </c>
      <c r="CD87">
        <v>7.8133876896088479</v>
      </c>
      <c r="CE87">
        <v>944.37586272104056</v>
      </c>
      <c r="CF87">
        <v>24.803778989147084</v>
      </c>
      <c r="CG87">
        <v>9.9896161992907277</v>
      </c>
      <c r="CH87">
        <v>17.675069184905755</v>
      </c>
      <c r="CI87">
        <v>6.6761923771740168</v>
      </c>
      <c r="CJ87">
        <v>8.3960129608814995</v>
      </c>
      <c r="CK87">
        <v>1019.1195112597655</v>
      </c>
      <c r="CL87">
        <v>25.663840281947273</v>
      </c>
      <c r="CM87">
        <v>10.353610575435564</v>
      </c>
      <c r="CN87">
        <v>18.825636491944088</v>
      </c>
      <c r="CO87">
        <v>6.9360723588597635</v>
      </c>
      <c r="CP87">
        <v>9.0503307305626652</v>
      </c>
      <c r="CQ87">
        <v>1099.865674024813</v>
      </c>
      <c r="CR87">
        <v>25.884281272827366</v>
      </c>
      <c r="CS87">
        <v>10.313529506872253</v>
      </c>
      <c r="CT87">
        <v>19.105911978755408</v>
      </c>
      <c r="CU87">
        <v>6.934713500170874</v>
      </c>
      <c r="CV87">
        <v>9.4421028637723676</v>
      </c>
      <c r="CW87">
        <v>1232.6319592407453</v>
      </c>
      <c r="CX87">
        <v>24.213885820068057</v>
      </c>
      <c r="CY87">
        <v>9.6084149371784644</v>
      </c>
      <c r="DA87">
        <v>91</v>
      </c>
      <c r="DB87">
        <v>13.428701180419118</v>
      </c>
      <c r="DC87">
        <v>5.3522205364012638</v>
      </c>
      <c r="DD87">
        <v>7.1133395662919803</v>
      </c>
      <c r="DE87">
        <v>891.56894518300123</v>
      </c>
      <c r="DF87">
        <v>22.75534186783333</v>
      </c>
      <c r="DG87">
        <v>9.5193024088813285</v>
      </c>
      <c r="DH87">
        <v>14.024845752637237</v>
      </c>
      <c r="DI87">
        <v>5.7724340246812273</v>
      </c>
      <c r="DJ87">
        <v>7.4937631314852107</v>
      </c>
      <c r="DK87">
        <v>938.85353729584301</v>
      </c>
      <c r="DL87">
        <v>22.84477374880969</v>
      </c>
      <c r="DM87">
        <v>9.7619062907517424</v>
      </c>
      <c r="DN87">
        <v>15.612410192829746</v>
      </c>
      <c r="DO87">
        <v>5.9635860778165144</v>
      </c>
      <c r="DP87">
        <v>8.0520668830716691</v>
      </c>
      <c r="DQ87">
        <v>1015.4994301696951</v>
      </c>
      <c r="DR87">
        <v>23.724150558198648</v>
      </c>
      <c r="DS87">
        <v>9.6887895332547753</v>
      </c>
      <c r="DT87">
        <v>16.670371383307643</v>
      </c>
      <c r="DU87">
        <v>6.1983329689284092</v>
      </c>
      <c r="DV87">
        <v>8.7770678712040855</v>
      </c>
      <c r="DW87">
        <v>1105.4932665663157</v>
      </c>
      <c r="DX87">
        <v>23.802919616038356</v>
      </c>
      <c r="DY87">
        <v>9.5936881874108462</v>
      </c>
      <c r="DZ87">
        <v>16.925355249260452</v>
      </c>
      <c r="EA87">
        <v>6.3279402914591989</v>
      </c>
      <c r="EB87">
        <v>9.1751392869602171</v>
      </c>
      <c r="EC87">
        <v>1239.7855792707232</v>
      </c>
      <c r="ED87">
        <v>22.315352954824096</v>
      </c>
      <c r="EE87">
        <v>9.0635560764551713</v>
      </c>
      <c r="EG87">
        <v>91</v>
      </c>
      <c r="EH87">
        <v>12.596328445258614</v>
      </c>
      <c r="EI87">
        <v>4.939632303080101</v>
      </c>
      <c r="EJ87">
        <v>6.5421973771544071</v>
      </c>
      <c r="EK87">
        <v>887.90959791605985</v>
      </c>
      <c r="EL87">
        <v>21.911671477462182</v>
      </c>
      <c r="EM87">
        <v>9.093860673647665</v>
      </c>
      <c r="EN87">
        <v>13.201946691471969</v>
      </c>
      <c r="EO87">
        <v>5.1952110205696842</v>
      </c>
      <c r="EP87">
        <v>6.9272389004709689</v>
      </c>
      <c r="EQ87">
        <v>935.53925824734495</v>
      </c>
      <c r="ER87">
        <v>22.046105922125754</v>
      </c>
      <c r="ES87">
        <v>9.1794942563925748</v>
      </c>
      <c r="ET87">
        <v>14.141784506944711</v>
      </c>
      <c r="EU87">
        <v>5.3973389348833996</v>
      </c>
      <c r="EV87">
        <v>7.4416958247519025</v>
      </c>
      <c r="EW87">
        <v>1026.4145223968371</v>
      </c>
      <c r="EX87">
        <v>22.039083814209533</v>
      </c>
      <c r="EY87">
        <v>9.0340821420452926</v>
      </c>
      <c r="EZ87">
        <v>14.969404422240718</v>
      </c>
      <c r="FA87">
        <v>5.6749459539053637</v>
      </c>
      <c r="FB87">
        <v>8.105557508994421</v>
      </c>
      <c r="FC87">
        <v>1111.500412679304</v>
      </c>
      <c r="FD87">
        <v>22.143941755048385</v>
      </c>
      <c r="FE87">
        <v>9.0709554064785287</v>
      </c>
      <c r="FF87">
        <v>15.161842099870025</v>
      </c>
      <c r="FG87">
        <v>5.7524449997097706</v>
      </c>
      <c r="FH87">
        <v>8.477363334463595</v>
      </c>
      <c r="FI87">
        <v>1247.7229483119665</v>
      </c>
      <c r="FJ87">
        <v>20.760009003104734</v>
      </c>
      <c r="FK87">
        <v>8.5446619725756463</v>
      </c>
    </row>
    <row r="88" spans="2:167" x14ac:dyDescent="0.25">
      <c r="B88">
        <v>729.85390229112534</v>
      </c>
      <c r="C88">
        <v>1.3701372245333536</v>
      </c>
      <c r="D88">
        <v>789.96337398336846</v>
      </c>
      <c r="E88">
        <v>1.2658814736657065</v>
      </c>
      <c r="F88">
        <v>901.20401872218679</v>
      </c>
      <c r="G88">
        <v>1.1096266541486306</v>
      </c>
      <c r="H88">
        <v>1025.3090062242129</v>
      </c>
      <c r="I88">
        <v>0.97531572816529188</v>
      </c>
      <c r="J88">
        <v>1141.8060568078038</v>
      </c>
      <c r="K88">
        <v>0.87580547855538871</v>
      </c>
      <c r="L88">
        <v>848.77346324524115</v>
      </c>
      <c r="M88">
        <v>1.1781706701533199</v>
      </c>
      <c r="N88">
        <v>842.37054573221519</v>
      </c>
      <c r="O88">
        <v>1.1871260279296307</v>
      </c>
      <c r="Q88">
        <v>0.17856622561695931</v>
      </c>
      <c r="R88">
        <v>0.17923824977973735</v>
      </c>
      <c r="S88">
        <v>0.17926083780649615</v>
      </c>
      <c r="T88">
        <v>0.1804363750025042</v>
      </c>
      <c r="U88">
        <v>0.18090241538202842</v>
      </c>
      <c r="V88">
        <v>0.17935099525945294</v>
      </c>
      <c r="W88">
        <v>0.17905286389673922</v>
      </c>
      <c r="Y88">
        <v>2.1273184186975351</v>
      </c>
      <c r="Z88">
        <v>2.1659957224551061</v>
      </c>
      <c r="AA88">
        <v>2.2127772147937903</v>
      </c>
      <c r="AB88">
        <v>2.3162298770225869</v>
      </c>
      <c r="AC88">
        <v>2.3711721174585421</v>
      </c>
      <c r="AD88">
        <v>2.1897818263660445</v>
      </c>
      <c r="AE88">
        <v>2.1886064805181693</v>
      </c>
      <c r="AG88">
        <v>0.84051915519854437</v>
      </c>
      <c r="AH88">
        <v>0.85740458725886592</v>
      </c>
      <c r="AI88">
        <v>0.88170674974287366</v>
      </c>
      <c r="AJ88">
        <v>0.9166949840509363</v>
      </c>
      <c r="AK88">
        <v>0.94343759312476005</v>
      </c>
      <c r="AL88">
        <v>0.86930784312916398</v>
      </c>
      <c r="AM88">
        <v>0.86948157082381983</v>
      </c>
      <c r="AO88">
        <v>92</v>
      </c>
      <c r="AP88">
        <v>16.033356429029606</v>
      </c>
      <c r="AQ88">
        <v>6.9940478459577209</v>
      </c>
      <c r="AR88">
        <v>7.6816405643764218</v>
      </c>
      <c r="AS88">
        <v>887.80391261542979</v>
      </c>
      <c r="AT88">
        <v>25.741169831876114</v>
      </c>
      <c r="AU88">
        <v>11.388651020815795</v>
      </c>
      <c r="AV88">
        <v>16.798040417545746</v>
      </c>
      <c r="AW88">
        <v>7.1787057907876211</v>
      </c>
      <c r="AX88">
        <v>8.091656122443581</v>
      </c>
      <c r="AY88">
        <v>937.57825654294481</v>
      </c>
      <c r="AZ88">
        <v>25.789269338648346</v>
      </c>
      <c r="BA88">
        <v>11.254787859833714</v>
      </c>
      <c r="BB88">
        <v>18.481745435702766</v>
      </c>
      <c r="BC88">
        <v>7.5935095792355023</v>
      </c>
      <c r="BD88">
        <v>8.7041744113565311</v>
      </c>
      <c r="BE88">
        <v>1014.1362581780143</v>
      </c>
      <c r="BF88">
        <v>26.527594856903924</v>
      </c>
      <c r="BG88">
        <v>11.282607488805647</v>
      </c>
      <c r="BH88">
        <v>19.669198699189973</v>
      </c>
      <c r="BI88">
        <v>8.0030605659292959</v>
      </c>
      <c r="BJ88">
        <v>9.3473071933117566</v>
      </c>
      <c r="BK88">
        <v>1094.3545722254328</v>
      </c>
      <c r="BL88">
        <v>26.727796269784939</v>
      </c>
      <c r="BM88">
        <v>11.314105127583115</v>
      </c>
      <c r="BN88">
        <v>20.138508140760933</v>
      </c>
      <c r="BO88">
        <v>8.129502781534347</v>
      </c>
      <c r="BP88">
        <v>9.9015615629051972</v>
      </c>
      <c r="BQ88">
        <v>1224.7299703789804</v>
      </c>
      <c r="BR88">
        <v>25.154560336300065</v>
      </c>
      <c r="BS88">
        <v>10.619145331364452</v>
      </c>
      <c r="BU88">
        <v>92</v>
      </c>
      <c r="BV88">
        <v>15.465882648849799</v>
      </c>
      <c r="BW88">
        <v>5.9521312905943384</v>
      </c>
      <c r="BX88">
        <v>7.4527573579725939</v>
      </c>
      <c r="BY88">
        <v>894.68210110053019</v>
      </c>
      <c r="BZ88">
        <v>24.909001179798913</v>
      </c>
      <c r="CA88">
        <v>10.136530471743013</v>
      </c>
      <c r="CB88">
        <v>16.068197630616879</v>
      </c>
      <c r="CC88">
        <v>6.0747749291770958</v>
      </c>
      <c r="CD88">
        <v>7.8265281224315366</v>
      </c>
      <c r="CE88">
        <v>945.9357907148617</v>
      </c>
      <c r="CF88">
        <v>24.789859552090906</v>
      </c>
      <c r="CG88">
        <v>9.9883243773161379</v>
      </c>
      <c r="CH88">
        <v>17.738012816575154</v>
      </c>
      <c r="CI88">
        <v>6.7105745292475589</v>
      </c>
      <c r="CJ88">
        <v>8.4035671518188586</v>
      </c>
      <c r="CK88">
        <v>1020.5054837942256</v>
      </c>
      <c r="CL88">
        <v>25.633241156389449</v>
      </c>
      <c r="CM88">
        <v>10.346996129743291</v>
      </c>
      <c r="CN88">
        <v>18.894540956987893</v>
      </c>
      <c r="CO88">
        <v>6.9742056386877787</v>
      </c>
      <c r="CP88">
        <v>9.0560359684311571</v>
      </c>
      <c r="CQ88">
        <v>1101.4784682953182</v>
      </c>
      <c r="CR88">
        <v>25.851643160320478</v>
      </c>
      <c r="CS88">
        <v>10.306863072265227</v>
      </c>
      <c r="CT88">
        <v>19.176803884366365</v>
      </c>
      <c r="CU88">
        <v>6.9735612273095908</v>
      </c>
      <c r="CV88">
        <v>9.4468578167701072</v>
      </c>
      <c r="CW88">
        <v>1233.5173429599549</v>
      </c>
      <c r="CX88">
        <v>24.195719540967495</v>
      </c>
      <c r="CY88">
        <v>9.6063862097575754</v>
      </c>
      <c r="DA88">
        <v>92</v>
      </c>
      <c r="DB88">
        <v>13.43320157125876</v>
      </c>
      <c r="DC88">
        <v>5.3811954278440828</v>
      </c>
      <c r="DD88">
        <v>7.113562850182463</v>
      </c>
      <c r="DE88">
        <v>893.28393212136382</v>
      </c>
      <c r="DF88">
        <v>22.672473673818882</v>
      </c>
      <c r="DG88">
        <v>9.5132535266779747</v>
      </c>
      <c r="DH88">
        <v>14.037826331854372</v>
      </c>
      <c r="DI88">
        <v>5.8071128376317454</v>
      </c>
      <c r="DJ88">
        <v>7.4976991640890311</v>
      </c>
      <c r="DK88">
        <v>941.05563024949765</v>
      </c>
      <c r="DL88">
        <v>22.760869187591155</v>
      </c>
      <c r="DM88">
        <v>9.7556947019101266</v>
      </c>
      <c r="DN88">
        <v>15.619729863549557</v>
      </c>
      <c r="DO88">
        <v>5.998650136048461</v>
      </c>
      <c r="DP88">
        <v>8.0521750791492828</v>
      </c>
      <c r="DQ88">
        <v>1017.3073534813054</v>
      </c>
      <c r="DR88">
        <v>23.631580104302721</v>
      </c>
      <c r="DS88">
        <v>9.6797117059102398</v>
      </c>
      <c r="DT88">
        <v>16.700228160592424</v>
      </c>
      <c r="DU88">
        <v>6.244778642836363</v>
      </c>
      <c r="DV88">
        <v>8.7844641676774433</v>
      </c>
      <c r="DW88">
        <v>1108.4573757474266</v>
      </c>
      <c r="DX88">
        <v>23.709270279365079</v>
      </c>
      <c r="DY88">
        <v>9.5839145341548111</v>
      </c>
      <c r="DZ88">
        <v>16.958909913112031</v>
      </c>
      <c r="EA88">
        <v>6.3764394616981024</v>
      </c>
      <c r="EB88">
        <v>9.183774061628359</v>
      </c>
      <c r="EC88">
        <v>1242.2427193380122</v>
      </c>
      <c r="ED88">
        <v>22.240376439997977</v>
      </c>
      <c r="EE88">
        <v>9.0582315775553646</v>
      </c>
      <c r="EG88">
        <v>92</v>
      </c>
      <c r="EH88">
        <v>12.59672793957713</v>
      </c>
      <c r="EI88">
        <v>4.9660752384642164</v>
      </c>
      <c r="EJ88">
        <v>6.5435095416249851</v>
      </c>
      <c r="EK88">
        <v>890.0163416546095</v>
      </c>
      <c r="EL88">
        <v>21.815872241726098</v>
      </c>
      <c r="EM88">
        <v>9.0817617047027444</v>
      </c>
      <c r="EN88">
        <v>13.203407399602932</v>
      </c>
      <c r="EO88">
        <v>5.226509046489686</v>
      </c>
      <c r="EP88">
        <v>6.9318624117496359</v>
      </c>
      <c r="EQ88">
        <v>937.83674601020334</v>
      </c>
      <c r="ER88">
        <v>21.949262762070926</v>
      </c>
      <c r="ES88">
        <v>9.1700902866863085</v>
      </c>
      <c r="ET88">
        <v>14.178788407264811</v>
      </c>
      <c r="EU88">
        <v>5.4290742389656739</v>
      </c>
      <c r="EV88">
        <v>7.441769233549735</v>
      </c>
      <c r="EW88">
        <v>1027.8130322656102</v>
      </c>
      <c r="EX88">
        <v>21.988083482837826</v>
      </c>
      <c r="EY88">
        <v>9.0266086434689345</v>
      </c>
      <c r="EZ88">
        <v>15.003207786418367</v>
      </c>
      <c r="FA88">
        <v>5.717287009018615</v>
      </c>
      <c r="FB88">
        <v>8.1134077345575317</v>
      </c>
      <c r="FC88">
        <v>1114.1247875054005</v>
      </c>
      <c r="FD88">
        <v>22.065477239423011</v>
      </c>
      <c r="FE88">
        <v>9.0617040688094193</v>
      </c>
      <c r="FF88">
        <v>15.194105485445185</v>
      </c>
      <c r="FG88">
        <v>5.7964637739132119</v>
      </c>
      <c r="FH88">
        <v>8.4863515529588405</v>
      </c>
      <c r="FI88">
        <v>1249.5973772799548</v>
      </c>
      <c r="FJ88">
        <v>20.697179547987343</v>
      </c>
      <c r="FK88">
        <v>8.5407882039111414</v>
      </c>
    </row>
    <row r="89" spans="2:167" x14ac:dyDescent="0.25">
      <c r="B89">
        <v>725.41769747837532</v>
      </c>
      <c r="C89">
        <v>1.3785161341887582</v>
      </c>
      <c r="D89">
        <v>785.27302880162904</v>
      </c>
      <c r="E89">
        <v>1.2734424376271478</v>
      </c>
      <c r="F89">
        <v>894.6094690874113</v>
      </c>
      <c r="G89">
        <v>1.1178061875648346</v>
      </c>
      <c r="H89">
        <v>1018.1749796732925</v>
      </c>
      <c r="I89">
        <v>0.98214945364388706</v>
      </c>
      <c r="J89">
        <v>1133.6731556553559</v>
      </c>
      <c r="K89">
        <v>0.88208845292973181</v>
      </c>
      <c r="L89">
        <v>842.84185449169615</v>
      </c>
      <c r="M89">
        <v>1.186462198893864</v>
      </c>
      <c r="N89">
        <v>837.04706216336479</v>
      </c>
      <c r="O89">
        <v>1.1946759569473671</v>
      </c>
      <c r="Q89">
        <v>0.18040116593659763</v>
      </c>
      <c r="R89">
        <v>0.18107236816828065</v>
      </c>
      <c r="S89">
        <v>0.18107721008740488</v>
      </c>
      <c r="T89">
        <v>0.18225120823083768</v>
      </c>
      <c r="U89">
        <v>0.18271261748282763</v>
      </c>
      <c r="V89">
        <v>0.18117137742590919</v>
      </c>
      <c r="W89">
        <v>0.18088296985444241</v>
      </c>
      <c r="Y89">
        <v>2.1313056592554518</v>
      </c>
      <c r="Z89">
        <v>2.1714337466392331</v>
      </c>
      <c r="AA89">
        <v>2.2169967982423393</v>
      </c>
      <c r="AB89">
        <v>2.3233084084211111</v>
      </c>
      <c r="AC89">
        <v>2.3787965710222112</v>
      </c>
      <c r="AD89">
        <v>2.1947320290877701</v>
      </c>
      <c r="AE89">
        <v>2.193358356384417</v>
      </c>
      <c r="AG89">
        <v>0.84291452453237847</v>
      </c>
      <c r="AH89">
        <v>0.86038163495267195</v>
      </c>
      <c r="AI89">
        <v>0.88418656464747925</v>
      </c>
      <c r="AJ89">
        <v>0.92033640983402931</v>
      </c>
      <c r="AK89">
        <v>0.94729837690361696</v>
      </c>
      <c r="AL89">
        <v>0.87210009449097314</v>
      </c>
      <c r="AM89">
        <v>0.87216716350388823</v>
      </c>
      <c r="AO89">
        <v>93</v>
      </c>
      <c r="AP89">
        <v>16.097459612004283</v>
      </c>
      <c r="AQ89">
        <v>7.0239602694042498</v>
      </c>
      <c r="AR89">
        <v>7.6945018917867261</v>
      </c>
      <c r="AS89">
        <v>889.1798976361481</v>
      </c>
      <c r="AT89">
        <v>25.726810331696193</v>
      </c>
      <c r="AU89">
        <v>11.383361874682764</v>
      </c>
      <c r="AV89">
        <v>16.868358995123142</v>
      </c>
      <c r="AW89">
        <v>7.2123102649982158</v>
      </c>
      <c r="AX89">
        <v>8.104262663208722</v>
      </c>
      <c r="AY89">
        <v>939.14405465996151</v>
      </c>
      <c r="AZ89">
        <v>25.774480556137771</v>
      </c>
      <c r="BA89">
        <v>11.250477157437969</v>
      </c>
      <c r="BB89">
        <v>18.547027653095594</v>
      </c>
      <c r="BC89">
        <v>7.628164103921625</v>
      </c>
      <c r="BD89">
        <v>8.7105248403436839</v>
      </c>
      <c r="BE89">
        <v>1015.4647496427632</v>
      </c>
      <c r="BF89">
        <v>26.49649684217388</v>
      </c>
      <c r="BG89">
        <v>11.274240534382891</v>
      </c>
      <c r="BH89">
        <v>19.740415165882684</v>
      </c>
      <c r="BI89">
        <v>8.0419605124484512</v>
      </c>
      <c r="BJ89">
        <v>9.3516237730428369</v>
      </c>
      <c r="BK89">
        <v>1095.8785144382805</v>
      </c>
      <c r="BL89">
        <v>26.694785772805222</v>
      </c>
      <c r="BM89">
        <v>11.306067780235734</v>
      </c>
      <c r="BN89">
        <v>20.211535284079506</v>
      </c>
      <c r="BO89">
        <v>8.1692799690475226</v>
      </c>
      <c r="BP89">
        <v>9.9038541764394594</v>
      </c>
      <c r="BQ89">
        <v>1225.5303585733079</v>
      </c>
      <c r="BR89">
        <v>25.135711273920684</v>
      </c>
      <c r="BS89">
        <v>10.616327118505614</v>
      </c>
      <c r="BU89">
        <v>93</v>
      </c>
      <c r="BV89">
        <v>15.524296508374981</v>
      </c>
      <c r="BW89">
        <v>5.9816698420035213</v>
      </c>
      <c r="BX89">
        <v>7.4644709274575209</v>
      </c>
      <c r="BY89">
        <v>895.85707609950646</v>
      </c>
      <c r="BZ89">
        <v>24.895265180821859</v>
      </c>
      <c r="CA89">
        <v>10.1350610061782</v>
      </c>
      <c r="CB89">
        <v>16.132844102360423</v>
      </c>
      <c r="CC89">
        <v>6.1074577356531341</v>
      </c>
      <c r="CD89">
        <v>7.8381369758784567</v>
      </c>
      <c r="CE89">
        <v>947.26462767096905</v>
      </c>
      <c r="CF89">
        <v>24.777062921888461</v>
      </c>
      <c r="CG89">
        <v>9.9876696846709905</v>
      </c>
      <c r="CH89">
        <v>17.797717969555027</v>
      </c>
      <c r="CI89">
        <v>6.7440459384101903</v>
      </c>
      <c r="CJ89">
        <v>8.4092215098998402</v>
      </c>
      <c r="CK89">
        <v>1021.6339882952992</v>
      </c>
      <c r="CL89">
        <v>25.603052706139252</v>
      </c>
      <c r="CM89">
        <v>10.340763714973782</v>
      </c>
      <c r="CN89">
        <v>18.959912654597726</v>
      </c>
      <c r="CO89">
        <v>7.0114211247058842</v>
      </c>
      <c r="CP89">
        <v>9.0595367418192403</v>
      </c>
      <c r="CQ89">
        <v>1102.8038951621088</v>
      </c>
      <c r="CR89">
        <v>25.819404328889696</v>
      </c>
      <c r="CS89">
        <v>10.300595985590766</v>
      </c>
      <c r="CT89">
        <v>19.244144633171789</v>
      </c>
      <c r="CU89">
        <v>7.0115213702110033</v>
      </c>
      <c r="CV89">
        <v>9.4492583322876715</v>
      </c>
      <c r="CW89">
        <v>1234.0603467471658</v>
      </c>
      <c r="CX89">
        <v>24.178061209293904</v>
      </c>
      <c r="CY89">
        <v>9.6047754979567586</v>
      </c>
      <c r="DA89">
        <v>93</v>
      </c>
      <c r="DB89">
        <v>13.434336647319938</v>
      </c>
      <c r="DC89">
        <v>5.4095339634095119</v>
      </c>
      <c r="DD89">
        <v>7.1136953572207577</v>
      </c>
      <c r="DE89">
        <v>894.78359216529498</v>
      </c>
      <c r="DF89">
        <v>22.589416915485817</v>
      </c>
      <c r="DG89">
        <v>9.5078076028458511</v>
      </c>
      <c r="DH89">
        <v>14.047477079513838</v>
      </c>
      <c r="DI89">
        <v>5.8411644158946112</v>
      </c>
      <c r="DJ89">
        <v>7.4999577927552732</v>
      </c>
      <c r="DK89">
        <v>943.03822108189183</v>
      </c>
      <c r="DL89">
        <v>22.676777868136075</v>
      </c>
      <c r="DM89">
        <v>9.7500532638469988</v>
      </c>
      <c r="DN89">
        <v>15.622965834356858</v>
      </c>
      <c r="DO89">
        <v>6.0330150722343872</v>
      </c>
      <c r="DP89">
        <v>8.0522888486168309</v>
      </c>
      <c r="DQ89">
        <v>1018.8579895332995</v>
      </c>
      <c r="DR89">
        <v>23.538311481951446</v>
      </c>
      <c r="DS89">
        <v>9.6710679125023784</v>
      </c>
      <c r="DT89">
        <v>16.72623276597497</v>
      </c>
      <c r="DU89">
        <v>6.2907424488917041</v>
      </c>
      <c r="DV89">
        <v>8.7898055828304891</v>
      </c>
      <c r="DW89">
        <v>1111.1645513058984</v>
      </c>
      <c r="DX89">
        <v>23.614918011201432</v>
      </c>
      <c r="DY89">
        <v>9.5745123322042254</v>
      </c>
      <c r="DZ89">
        <v>16.988649061539906</v>
      </c>
      <c r="EA89">
        <v>6.4244750232955408</v>
      </c>
      <c r="EB89">
        <v>9.1902634589001213</v>
      </c>
      <c r="EC89">
        <v>1244.3919799053301</v>
      </c>
      <c r="ED89">
        <v>22.164793307396511</v>
      </c>
      <c r="EE89">
        <v>9.0532777584911859</v>
      </c>
      <c r="EG89">
        <v>93</v>
      </c>
      <c r="EH89">
        <v>12.597147173867979</v>
      </c>
      <c r="EI89">
        <v>4.9919150417616693</v>
      </c>
      <c r="EJ89">
        <v>6.5436050779353323</v>
      </c>
      <c r="EK89">
        <v>892.06971317406669</v>
      </c>
      <c r="EL89">
        <v>21.719659184668732</v>
      </c>
      <c r="EM89">
        <v>9.0685864561624587</v>
      </c>
      <c r="EN89">
        <v>13.203453553706513</v>
      </c>
      <c r="EO89">
        <v>5.2572471020567857</v>
      </c>
      <c r="EP89">
        <v>6.9349912312982989</v>
      </c>
      <c r="EQ89">
        <v>940.01125341751265</v>
      </c>
      <c r="ER89">
        <v>21.85191364480983</v>
      </c>
      <c r="ES89">
        <v>9.1602686034329981</v>
      </c>
      <c r="ET89">
        <v>14.213060941827525</v>
      </c>
      <c r="EU89">
        <v>5.4601768350437538</v>
      </c>
      <c r="EV89">
        <v>7.4418464237772097</v>
      </c>
      <c r="EW89">
        <v>1028.9218377102516</v>
      </c>
      <c r="EX89">
        <v>21.937810039305187</v>
      </c>
      <c r="EY89">
        <v>9.019739141152332</v>
      </c>
      <c r="EZ89">
        <v>15.033825718434313</v>
      </c>
      <c r="FA89">
        <v>5.7591773726428661</v>
      </c>
      <c r="FB89">
        <v>8.1194176090287993</v>
      </c>
      <c r="FC89">
        <v>1116.4646391939675</v>
      </c>
      <c r="FD89">
        <v>21.9869504745119</v>
      </c>
      <c r="FE89">
        <v>9.0529455824365641</v>
      </c>
      <c r="FF89">
        <v>15.223072254379163</v>
      </c>
      <c r="FG89">
        <v>5.8400574840485309</v>
      </c>
      <c r="FH89">
        <v>8.4934141880931548</v>
      </c>
      <c r="FI89">
        <v>1251.1743826341371</v>
      </c>
      <c r="FJ89">
        <v>20.633506071688686</v>
      </c>
      <c r="FK89">
        <v>8.5371062927190202</v>
      </c>
    </row>
    <row r="90" spans="2:167" x14ac:dyDescent="0.25">
      <c r="B90">
        <v>720.7727059056092</v>
      </c>
      <c r="C90">
        <v>1.3873999276145701</v>
      </c>
      <c r="D90">
        <v>780.34806782038811</v>
      </c>
      <c r="E90">
        <v>1.2814794336495607</v>
      </c>
      <c r="F90">
        <v>887.6921102213953</v>
      </c>
      <c r="G90">
        <v>1.1265167150698168</v>
      </c>
      <c r="H90">
        <v>1010.6611901769645</v>
      </c>
      <c r="I90">
        <v>0.98945127182028458</v>
      </c>
      <c r="J90">
        <v>1125.0985360931591</v>
      </c>
      <c r="K90">
        <v>0.88881104002894129</v>
      </c>
      <c r="L90">
        <v>836.61573244589499</v>
      </c>
      <c r="M90">
        <v>1.1952918899533977</v>
      </c>
      <c r="N90">
        <v>831.46196066878497</v>
      </c>
      <c r="O90">
        <v>1.2027008417747118</v>
      </c>
      <c r="Q90">
        <v>0.1822343171028743</v>
      </c>
      <c r="R90">
        <v>0.18290446988434542</v>
      </c>
      <c r="S90">
        <v>0.18289098033471068</v>
      </c>
      <c r="T90">
        <v>0.18406299915464555</v>
      </c>
      <c r="U90">
        <v>0.18451946262383592</v>
      </c>
      <c r="V90">
        <v>0.18298925142598144</v>
      </c>
      <c r="W90">
        <v>0.18271097774932649</v>
      </c>
      <c r="Y90">
        <v>2.1348819934722765</v>
      </c>
      <c r="Z90">
        <v>2.1764880489495377</v>
      </c>
      <c r="AA90">
        <v>2.2207793868993377</v>
      </c>
      <c r="AB90">
        <v>2.3299896152103181</v>
      </c>
      <c r="AC90">
        <v>2.3860229667183672</v>
      </c>
      <c r="AD90">
        <v>2.1992789202551593</v>
      </c>
      <c r="AE90">
        <v>2.1976958017297399</v>
      </c>
      <c r="AG90">
        <v>0.84519049345741226</v>
      </c>
      <c r="AH90">
        <v>0.86324953886243383</v>
      </c>
      <c r="AI90">
        <v>0.88653395853629391</v>
      </c>
      <c r="AJ90">
        <v>0.92386373424982127</v>
      </c>
      <c r="AK90">
        <v>0.95104319504617385</v>
      </c>
      <c r="AL90">
        <v>0.87477519591742714</v>
      </c>
      <c r="AM90">
        <v>0.87472966419057474</v>
      </c>
      <c r="AO90">
        <v>94</v>
      </c>
      <c r="AP90">
        <v>16.15915898921919</v>
      </c>
      <c r="AQ90">
        <v>7.0528089332454016</v>
      </c>
      <c r="AR90">
        <v>7.7059579942069494</v>
      </c>
      <c r="AS90">
        <v>890.34928908226561</v>
      </c>
      <c r="AT90">
        <v>25.713570431217423</v>
      </c>
      <c r="AU90">
        <v>11.378533007262549</v>
      </c>
      <c r="AV90">
        <v>16.936162265214918</v>
      </c>
      <c r="AW90">
        <v>7.2448787031501141</v>
      </c>
      <c r="AX90">
        <v>8.1153107282021892</v>
      </c>
      <c r="AY90">
        <v>940.4880588074667</v>
      </c>
      <c r="AZ90">
        <v>25.760810447342894</v>
      </c>
      <c r="BA90">
        <v>11.246666055695705</v>
      </c>
      <c r="BB90">
        <v>18.609060140807351</v>
      </c>
      <c r="BC90">
        <v>7.6616581979622822</v>
      </c>
      <c r="BD90">
        <v>8.7149280492067032</v>
      </c>
      <c r="BE90">
        <v>1016.5437385082124</v>
      </c>
      <c r="BF90">
        <v>26.465811749721105</v>
      </c>
      <c r="BG90">
        <v>11.266162901627306</v>
      </c>
      <c r="BH90">
        <v>19.808082361563301</v>
      </c>
      <c r="BI90">
        <v>8.0796537291484682</v>
      </c>
      <c r="BJ90">
        <v>9.3536942996274597</v>
      </c>
      <c r="BK90">
        <v>1097.1234441806469</v>
      </c>
      <c r="BL90">
        <v>26.662177968881704</v>
      </c>
      <c r="BM90">
        <v>11.29834788195282</v>
      </c>
      <c r="BN90">
        <v>20.280926913769708</v>
      </c>
      <c r="BO90">
        <v>8.2078418216425231</v>
      </c>
      <c r="BP90">
        <v>9.9036697866627161</v>
      </c>
      <c r="BQ90">
        <v>1225.9975487252725</v>
      </c>
      <c r="BR90">
        <v>25.117381080445064</v>
      </c>
      <c r="BS90">
        <v>10.613867159488326</v>
      </c>
      <c r="BU90">
        <v>94</v>
      </c>
      <c r="BV90">
        <v>15.580253365425051</v>
      </c>
      <c r="BW90">
        <v>6.0104657690461938</v>
      </c>
      <c r="BX90">
        <v>7.4747895895826453</v>
      </c>
      <c r="BY90">
        <v>896.81562239789673</v>
      </c>
      <c r="BZ90">
        <v>24.88265477550561</v>
      </c>
      <c r="CA90">
        <v>10.134218653902668</v>
      </c>
      <c r="CB90">
        <v>16.194978730962259</v>
      </c>
      <c r="CC90">
        <v>6.1394346141588994</v>
      </c>
      <c r="CD90">
        <v>7.8482142644855024</v>
      </c>
      <c r="CE90">
        <v>948.36186821590195</v>
      </c>
      <c r="CF90">
        <v>24.765389524633513</v>
      </c>
      <c r="CG90">
        <v>9.9876548765133535</v>
      </c>
      <c r="CH90">
        <v>17.854184705002393</v>
      </c>
      <c r="CI90">
        <v>6.7766066197392121</v>
      </c>
      <c r="CJ90">
        <v>8.412976063297247</v>
      </c>
      <c r="CK90">
        <v>1022.5041423909061</v>
      </c>
      <c r="CL90">
        <v>25.573275157367885</v>
      </c>
      <c r="CM90">
        <v>10.334917325351723</v>
      </c>
      <c r="CN90">
        <v>19.021751677572972</v>
      </c>
      <c r="CO90">
        <v>7.047718839610563</v>
      </c>
      <c r="CP90">
        <v>9.0608330918672415</v>
      </c>
      <c r="CQ90">
        <v>1103.8409800487107</v>
      </c>
      <c r="CR90">
        <v>25.78756392730627</v>
      </c>
      <c r="CS90">
        <v>10.294732355162088</v>
      </c>
      <c r="CT90">
        <v>19.307934368782234</v>
      </c>
      <c r="CU90">
        <v>7.0485939647851632</v>
      </c>
      <c r="CV90">
        <v>9.4493044760572751</v>
      </c>
      <c r="CW90">
        <v>1234.26001044486</v>
      </c>
      <c r="CX90">
        <v>24.160918151507225</v>
      </c>
      <c r="CY90">
        <v>9.6035901372991468</v>
      </c>
      <c r="DA90">
        <v>94</v>
      </c>
      <c r="DB90">
        <v>13.434463403109003</v>
      </c>
      <c r="DC90">
        <v>5.4372361469886448</v>
      </c>
      <c r="DD90">
        <v>7.1138341006066454</v>
      </c>
      <c r="DE90">
        <v>896.17041455706249</v>
      </c>
      <c r="DF90">
        <v>22.506169852817383</v>
      </c>
      <c r="DG90">
        <v>9.5018713508493615</v>
      </c>
      <c r="DH90">
        <v>14.053798001102122</v>
      </c>
      <c r="DI90">
        <v>5.8745887651074842</v>
      </c>
      <c r="DJ90">
        <v>7.5005390189331589</v>
      </c>
      <c r="DK90">
        <v>944.79897169290871</v>
      </c>
      <c r="DL90">
        <v>22.592499554237225</v>
      </c>
      <c r="DM90">
        <v>9.7449991634062201</v>
      </c>
      <c r="DN90">
        <v>15.62278981686346</v>
      </c>
      <c r="DO90">
        <v>6.0666808978386975</v>
      </c>
      <c r="DP90">
        <v>8.0524081872037865</v>
      </c>
      <c r="DQ90">
        <v>1020.1772817201404</v>
      </c>
      <c r="DR90">
        <v>23.444341805420933</v>
      </c>
      <c r="DS90">
        <v>9.6626049522668556</v>
      </c>
      <c r="DT90">
        <v>16.748385237295143</v>
      </c>
      <c r="DU90">
        <v>6.3362243985621847</v>
      </c>
      <c r="DV90">
        <v>8.793092129677154</v>
      </c>
      <c r="DW90">
        <v>1113.6120921255861</v>
      </c>
      <c r="DX90">
        <v>23.519862601631065</v>
      </c>
      <c r="DY90">
        <v>9.5654968965725082</v>
      </c>
      <c r="DZ90">
        <v>17.014572758675182</v>
      </c>
      <c r="EA90">
        <v>6.4720469953181654</v>
      </c>
      <c r="EB90">
        <v>9.1946075046792259</v>
      </c>
      <c r="EC90">
        <v>1246.2305009297706</v>
      </c>
      <c r="ED90">
        <v>22.088605165250186</v>
      </c>
      <c r="EE90">
        <v>9.048711522700474</v>
      </c>
      <c r="EG90">
        <v>94</v>
      </c>
      <c r="EH90">
        <v>12.597586139116476</v>
      </c>
      <c r="EI90">
        <v>5.0171517166982529</v>
      </c>
      <c r="EJ90">
        <v>6.5437051105927928</v>
      </c>
      <c r="EK90">
        <v>894.06914985076753</v>
      </c>
      <c r="EL90">
        <v>21.623032520835046</v>
      </c>
      <c r="EM90">
        <v>9.0543461415924682</v>
      </c>
      <c r="EN90">
        <v>13.203502016484936</v>
      </c>
      <c r="EO90">
        <v>5.2874251922760518</v>
      </c>
      <c r="EP90">
        <v>6.9366253607824557</v>
      </c>
      <c r="EQ90">
        <v>942.1266203677643</v>
      </c>
      <c r="ER90">
        <v>21.754055048564787</v>
      </c>
      <c r="ES90">
        <v>9.1494088263191138</v>
      </c>
      <c r="ET90">
        <v>14.244602151396048</v>
      </c>
      <c r="EU90">
        <v>5.4906467334928539</v>
      </c>
      <c r="EV90">
        <v>7.4419273925368605</v>
      </c>
      <c r="EW90">
        <v>1029.7389361511582</v>
      </c>
      <c r="EX90">
        <v>21.888263556925637</v>
      </c>
      <c r="EY90">
        <v>9.0134844515880861</v>
      </c>
      <c r="EZ90">
        <v>15.061258257880862</v>
      </c>
      <c r="FA90">
        <v>5.8006170555248575</v>
      </c>
      <c r="FB90">
        <v>8.1235871447744366</v>
      </c>
      <c r="FC90">
        <v>1118.5170804977347</v>
      </c>
      <c r="FD90">
        <v>21.908361388625259</v>
      </c>
      <c r="FE90">
        <v>9.0446948415608688</v>
      </c>
      <c r="FF90">
        <v>15.248742463103978</v>
      </c>
      <c r="FG90">
        <v>5.8832261475747769</v>
      </c>
      <c r="FH90">
        <v>8.4985512641278511</v>
      </c>
      <c r="FI90">
        <v>1252.4515703890165</v>
      </c>
      <c r="FJ90">
        <v>20.568989487040028</v>
      </c>
      <c r="FK90">
        <v>8.5336309192705055</v>
      </c>
    </row>
    <row r="91" spans="2:167" x14ac:dyDescent="0.25">
      <c r="B91">
        <v>715.91902742955256</v>
      </c>
      <c r="C91">
        <v>1.3968060097388617</v>
      </c>
      <c r="D91">
        <v>775.18862716362798</v>
      </c>
      <c r="E91">
        <v>1.2900086055944142</v>
      </c>
      <c r="F91">
        <v>880.45220167698335</v>
      </c>
      <c r="G91">
        <v>1.1357799981592593</v>
      </c>
      <c r="H91">
        <v>1002.7680001169196</v>
      </c>
      <c r="I91">
        <v>0.99723964055833769</v>
      </c>
      <c r="J91">
        <v>1116.0827242836758</v>
      </c>
      <c r="K91">
        <v>0.89599093171325628</v>
      </c>
      <c r="L91">
        <v>830.09534450544447</v>
      </c>
      <c r="M91">
        <v>1.2046808919230616</v>
      </c>
      <c r="N91">
        <v>825.61540238761711</v>
      </c>
      <c r="O91">
        <v>1.2112177136086317</v>
      </c>
      <c r="Q91">
        <v>0.18406567997149012</v>
      </c>
      <c r="R91">
        <v>0.18473455609800407</v>
      </c>
      <c r="S91">
        <v>0.18470215064056331</v>
      </c>
      <c r="T91">
        <v>0.18587175067699008</v>
      </c>
      <c r="U91">
        <v>0.18632295480376881</v>
      </c>
      <c r="V91">
        <v>0.18480461936658429</v>
      </c>
      <c r="W91">
        <v>0.18453688887365777</v>
      </c>
      <c r="Y91">
        <v>2.1380474224763493</v>
      </c>
      <c r="Z91">
        <v>2.1811586313681852</v>
      </c>
      <c r="AA91">
        <v>2.2241249842360546</v>
      </c>
      <c r="AB91">
        <v>2.3362735029732238</v>
      </c>
      <c r="AC91">
        <v>2.3928513134643472</v>
      </c>
      <c r="AD91">
        <v>2.2034225044305655</v>
      </c>
      <c r="AE91">
        <v>2.2016188189653594</v>
      </c>
      <c r="AG91">
        <v>0.84734706221125022</v>
      </c>
      <c r="AH91">
        <v>0.86600829934433643</v>
      </c>
      <c r="AI91">
        <v>0.88874893229700058</v>
      </c>
      <c r="AJ91">
        <v>0.92727695835194468</v>
      </c>
      <c r="AK91">
        <v>0.95467204953929918</v>
      </c>
      <c r="AL91">
        <v>0.87733314852019462</v>
      </c>
      <c r="AM91">
        <v>0.87716907346760575</v>
      </c>
      <c r="AO91">
        <v>95</v>
      </c>
      <c r="AP91">
        <v>16.218454576033078</v>
      </c>
      <c r="AQ91">
        <v>7.0805938451475861</v>
      </c>
      <c r="AR91">
        <v>7.7160088816216046</v>
      </c>
      <c r="AS91">
        <v>891.31163579099564</v>
      </c>
      <c r="AT91">
        <v>25.701450590853202</v>
      </c>
      <c r="AU91">
        <v>11.374165493518522</v>
      </c>
      <c r="AV91">
        <v>17.001450252788171</v>
      </c>
      <c r="AW91">
        <v>7.2764111154709994</v>
      </c>
      <c r="AX91">
        <v>8.1248003331328871</v>
      </c>
      <c r="AY91">
        <v>941.60978336204118</v>
      </c>
      <c r="AZ91">
        <v>25.748259218843714</v>
      </c>
      <c r="BA91">
        <v>11.243356149054277</v>
      </c>
      <c r="BB91">
        <v>18.667842962663528</v>
      </c>
      <c r="BC91">
        <v>7.6939918826850739</v>
      </c>
      <c r="BD91">
        <v>8.7173840686497694</v>
      </c>
      <c r="BE91">
        <v>1017.3723782016154</v>
      </c>
      <c r="BF91">
        <v>26.435540133962089</v>
      </c>
      <c r="BG91">
        <v>11.258378205818328</v>
      </c>
      <c r="BH91">
        <v>19.872200384024133</v>
      </c>
      <c r="BI91">
        <v>8.1161402485632514</v>
      </c>
      <c r="BJ91">
        <v>9.3535188180163296</v>
      </c>
      <c r="BK91">
        <v>1098.0884297118353</v>
      </c>
      <c r="BL91">
        <v>26.629972401030081</v>
      </c>
      <c r="BM91">
        <v>11.290949487844262</v>
      </c>
      <c r="BN91">
        <v>20.346683184893052</v>
      </c>
      <c r="BO91">
        <v>8.2451883913987079</v>
      </c>
      <c r="BP91">
        <v>9.9024280758351377</v>
      </c>
      <c r="BQ91">
        <v>1226.1306178465595</v>
      </c>
      <c r="BR91">
        <v>25.099577249486</v>
      </c>
      <c r="BS91">
        <v>10.611772902550927</v>
      </c>
      <c r="BU91">
        <v>95</v>
      </c>
      <c r="BV91">
        <v>15.633753236446143</v>
      </c>
      <c r="BW91">
        <v>6.0385190753209574</v>
      </c>
      <c r="BX91">
        <v>7.4837133541208996</v>
      </c>
      <c r="BY91">
        <v>897.55732725708469</v>
      </c>
      <c r="BZ91">
        <v>24.871169730146818</v>
      </c>
      <c r="CA91">
        <v>10.134005935593642</v>
      </c>
      <c r="CB91">
        <v>16.25460154189895</v>
      </c>
      <c r="CC91">
        <v>6.1707055703787752</v>
      </c>
      <c r="CD91">
        <v>7.8567600035113596</v>
      </c>
      <c r="CE91">
        <v>949.22707112431146</v>
      </c>
      <c r="CF91">
        <v>24.75483979432207</v>
      </c>
      <c r="CG91">
        <v>9.9882829842295866</v>
      </c>
      <c r="CH91">
        <v>17.907413087042784</v>
      </c>
      <c r="CI91">
        <v>6.8082565890437836</v>
      </c>
      <c r="CJ91">
        <v>8.4148308415513693</v>
      </c>
      <c r="CK91">
        <v>1023.1150887214962</v>
      </c>
      <c r="CL91">
        <v>25.543908742632755</v>
      </c>
      <c r="CM91">
        <v>10.329461301867413</v>
      </c>
      <c r="CN91">
        <v>19.080058123607575</v>
      </c>
      <c r="CO91">
        <v>7.0830988072953938</v>
      </c>
      <c r="CP91">
        <v>9.0599250618853784</v>
      </c>
      <c r="CQ91">
        <v>1104.5887783267378</v>
      </c>
      <c r="CR91">
        <v>25.756121078648668</v>
      </c>
      <c r="CS91">
        <v>10.289276674538877</v>
      </c>
      <c r="CT91">
        <v>19.368173242520495</v>
      </c>
      <c r="CU91">
        <v>7.0847790488705717</v>
      </c>
      <c r="CV91">
        <v>9.4481176662183923</v>
      </c>
      <c r="CW91">
        <v>1234.1154111940714</v>
      </c>
      <c r="CX91">
        <v>24.14429797080092</v>
      </c>
      <c r="CY91">
        <v>9.6028379642853121</v>
      </c>
      <c r="DA91">
        <v>95</v>
      </c>
      <c r="DB91">
        <v>13.434595853692704</v>
      </c>
      <c r="DC91">
        <v>5.4643019826547556</v>
      </c>
      <c r="DD91">
        <v>7.1139790773574587</v>
      </c>
      <c r="DE91">
        <v>897.48847067986992</v>
      </c>
      <c r="DF91">
        <v>22.422731771417521</v>
      </c>
      <c r="DG91">
        <v>9.4949790082955712</v>
      </c>
      <c r="DH91">
        <v>14.056789102378522</v>
      </c>
      <c r="DI91">
        <v>5.9073858911883503</v>
      </c>
      <c r="DJ91">
        <v>7.5004813584338255</v>
      </c>
      <c r="DK91">
        <v>946.33550073286142</v>
      </c>
      <c r="DL91">
        <v>22.508034009186161</v>
      </c>
      <c r="DM91">
        <v>9.7405506993578381</v>
      </c>
      <c r="DN91">
        <v>15.622605591846499</v>
      </c>
      <c r="DO91">
        <v>6.0996476248822749</v>
      </c>
      <c r="DP91">
        <v>8.0525330904323322</v>
      </c>
      <c r="DQ91">
        <v>1021.4090350349957</v>
      </c>
      <c r="DR91">
        <v>23.349657332431068</v>
      </c>
      <c r="DS91">
        <v>9.6529582311811239</v>
      </c>
      <c r="DT91">
        <v>16.766685614388614</v>
      </c>
      <c r="DU91">
        <v>6.3812245039204143</v>
      </c>
      <c r="DV91">
        <v>8.7943238219177555</v>
      </c>
      <c r="DW91">
        <v>1115.7972143841148</v>
      </c>
      <c r="DX91">
        <v>23.424103834053458</v>
      </c>
      <c r="DY91">
        <v>9.5568846300675379</v>
      </c>
      <c r="DZ91">
        <v>17.03668107209289</v>
      </c>
      <c r="EA91">
        <v>6.5191553978565491</v>
      </c>
      <c r="EB91">
        <v>9.1968062262604686</v>
      </c>
      <c r="EC91">
        <v>1247.7553380343688</v>
      </c>
      <c r="ED91">
        <v>22.011813703050681</v>
      </c>
      <c r="EE91">
        <v>9.0445509050582285</v>
      </c>
      <c r="EG91">
        <v>95</v>
      </c>
      <c r="EH91">
        <v>12.598044825885868</v>
      </c>
      <c r="EI91">
        <v>5.0417852671741983</v>
      </c>
      <c r="EJ91">
        <v>6.5438096374468921</v>
      </c>
      <c r="EK91">
        <v>896.014074754494</v>
      </c>
      <c r="EL91">
        <v>21.525992461080893</v>
      </c>
      <c r="EM91">
        <v>9.0390516198434092</v>
      </c>
      <c r="EN91">
        <v>13.203552786598705</v>
      </c>
      <c r="EO91">
        <v>5.3170433224014308</v>
      </c>
      <c r="EP91">
        <v>6.936764801950412</v>
      </c>
      <c r="EQ91">
        <v>944.1822444688064</v>
      </c>
      <c r="ER91">
        <v>21.655687171197556</v>
      </c>
      <c r="ES91">
        <v>9.1375223430064576</v>
      </c>
      <c r="ET91">
        <v>14.273412078712205</v>
      </c>
      <c r="EU91">
        <v>5.5204839451918009</v>
      </c>
      <c r="EV91">
        <v>7.4420121367905834</v>
      </c>
      <c r="EW91">
        <v>1030.2623700805957</v>
      </c>
      <c r="EX91">
        <v>21.839444111136245</v>
      </c>
      <c r="EY91">
        <v>9.0078560005325272</v>
      </c>
      <c r="EZ91">
        <v>15.085505446438573</v>
      </c>
      <c r="FA91">
        <v>5.8416060689781588</v>
      </c>
      <c r="FB91">
        <v>8.1259163548129134</v>
      </c>
      <c r="FC91">
        <v>1120.2791856958816</v>
      </c>
      <c r="FD91">
        <v>21.82970990783889</v>
      </c>
      <c r="FE91">
        <v>9.0369676976447657</v>
      </c>
      <c r="FF91">
        <v>15.271116171082173</v>
      </c>
      <c r="FG91">
        <v>5.9259697828885862</v>
      </c>
      <c r="FH91">
        <v>8.501762806627136</v>
      </c>
      <c r="FI91">
        <v>1253.426447380645</v>
      </c>
      <c r="FJ91">
        <v>20.5036308277164</v>
      </c>
      <c r="FK91">
        <v>8.5303777332017461</v>
      </c>
    </row>
    <row r="92" spans="2:167" x14ac:dyDescent="0.25">
      <c r="B92">
        <v>710.8567663677369</v>
      </c>
      <c r="C92">
        <v>1.4067531566305511</v>
      </c>
      <c r="D92">
        <v>769.79484939395161</v>
      </c>
      <c r="E92">
        <v>1.2990474030675647</v>
      </c>
      <c r="F92">
        <v>872.89001499813639</v>
      </c>
      <c r="G92">
        <v>1.1456197033049289</v>
      </c>
      <c r="H92">
        <v>994.49578998702111</v>
      </c>
      <c r="I92">
        <v>1.0055346740211446</v>
      </c>
      <c r="J92">
        <v>1106.6262731248896</v>
      </c>
      <c r="K92">
        <v>0.90364744113313111</v>
      </c>
      <c r="L92">
        <v>823.2809496495239</v>
      </c>
      <c r="M92">
        <v>1.2146521797033036</v>
      </c>
      <c r="N92">
        <v>819.50755594935004</v>
      </c>
      <c r="O92">
        <v>1.2202450029170999</v>
      </c>
      <c r="Q92">
        <v>0.18589525543637178</v>
      </c>
      <c r="R92">
        <v>0.18656262803467313</v>
      </c>
      <c r="S92">
        <v>0.18651072319376788</v>
      </c>
      <c r="T92">
        <v>0.18767746584603123</v>
      </c>
      <c r="U92">
        <v>0.18812309822452561</v>
      </c>
      <c r="V92">
        <v>0.18661748345326465</v>
      </c>
      <c r="W92">
        <v>0.18636070457977194</v>
      </c>
      <c r="Y92">
        <v>2.1408019474464157</v>
      </c>
      <c r="Z92">
        <v>2.1854454959710954</v>
      </c>
      <c r="AA92">
        <v>2.227033593884133</v>
      </c>
      <c r="AB92">
        <v>2.342160077571886</v>
      </c>
      <c r="AC92">
        <v>2.3992816206305987</v>
      </c>
      <c r="AD92">
        <v>2.207162786389925</v>
      </c>
      <c r="AE92">
        <v>2.2051274106145753</v>
      </c>
      <c r="AG92">
        <v>0.84938423104211203</v>
      </c>
      <c r="AH92">
        <v>0.86865791677141246</v>
      </c>
      <c r="AI92">
        <v>0.8908314868582925</v>
      </c>
      <c r="AJ92">
        <v>0.93057608324669405</v>
      </c>
      <c r="AK92">
        <v>0.95818494247081909</v>
      </c>
      <c r="AL92">
        <v>0.87977395346298592</v>
      </c>
      <c r="AM92">
        <v>0.87948539194584141</v>
      </c>
      <c r="AO92">
        <v>96</v>
      </c>
      <c r="AP92">
        <v>16.27534638849081</v>
      </c>
      <c r="AQ92">
        <v>7.1073150131196821</v>
      </c>
      <c r="AR92">
        <v>7.7246545644612343</v>
      </c>
      <c r="AS92">
        <v>892.06654115218794</v>
      </c>
      <c r="AT92">
        <v>25.690451279375097</v>
      </c>
      <c r="AU92">
        <v>11.370260362856369</v>
      </c>
      <c r="AV92">
        <v>17.064222983990934</v>
      </c>
      <c r="AW92">
        <v>7.306907512672316</v>
      </c>
      <c r="AX92">
        <v>8.1327314944527416</v>
      </c>
      <c r="AY92">
        <v>942.50880188667873</v>
      </c>
      <c r="AZ92">
        <v>25.736827081265336</v>
      </c>
      <c r="BA92">
        <v>11.240549049305303</v>
      </c>
      <c r="BB92">
        <v>18.723376185438255</v>
      </c>
      <c r="BC92">
        <v>7.7251651804029144</v>
      </c>
      <c r="BD92">
        <v>8.7178929307955801</v>
      </c>
      <c r="BE92">
        <v>1017.9498454069202</v>
      </c>
      <c r="BF92">
        <v>26.405682565662985</v>
      </c>
      <c r="BG92">
        <v>11.250890248796335</v>
      </c>
      <c r="BH92">
        <v>19.932769335945281</v>
      </c>
      <c r="BI92">
        <v>8.1514201048527806</v>
      </c>
      <c r="BJ92">
        <v>9.3524927131031497</v>
      </c>
      <c r="BK92">
        <v>1098.7725673683917</v>
      </c>
      <c r="BL92">
        <v>26.598168597874597</v>
      </c>
      <c r="BM92">
        <v>11.283876886084895</v>
      </c>
      <c r="BN92">
        <v>20.408804260390056</v>
      </c>
      <c r="BO92">
        <v>8.2813197330417072</v>
      </c>
      <c r="BP92">
        <v>9.9011256775550436</v>
      </c>
      <c r="BQ92">
        <v>1225.9286781713683</v>
      </c>
      <c r="BR92">
        <v>25.082307563222461</v>
      </c>
      <c r="BS92">
        <v>10.610052170264444</v>
      </c>
      <c r="BU92">
        <v>96</v>
      </c>
      <c r="BV92">
        <v>15.684796138619058</v>
      </c>
      <c r="BW92">
        <v>6.065829764587173</v>
      </c>
      <c r="BX92">
        <v>7.4912422312817988</v>
      </c>
      <c r="BY92">
        <v>898.08183792346097</v>
      </c>
      <c r="BZ92">
        <v>24.860809806802944</v>
      </c>
      <c r="CA92">
        <v>10.134425618054056</v>
      </c>
      <c r="CB92">
        <v>16.311712561852097</v>
      </c>
      <c r="CC92">
        <v>6.2012706102660102</v>
      </c>
      <c r="CD92">
        <v>7.86377420893644</v>
      </c>
      <c r="CE92">
        <v>949.85985967413217</v>
      </c>
      <c r="CF92">
        <v>24.745414173679176</v>
      </c>
      <c r="CG92">
        <v>9.9895573204432022</v>
      </c>
      <c r="CH92">
        <v>17.957403182764299</v>
      </c>
      <c r="CI92">
        <v>6.8389958628634275</v>
      </c>
      <c r="CJ92">
        <v>8.4147858755672527</v>
      </c>
      <c r="CK92">
        <v>1023.4659952156749</v>
      </c>
      <c r="CL92">
        <v>25.51495370142117</v>
      </c>
      <c r="CM92">
        <v>10.324400342862642</v>
      </c>
      <c r="CN92">
        <v>19.134832095278345</v>
      </c>
      <c r="CO92">
        <v>7.1175610528481776</v>
      </c>
      <c r="CP92">
        <v>9.05893640474447</v>
      </c>
      <c r="CQ92">
        <v>1105.0463756281306</v>
      </c>
      <c r="CR92">
        <v>25.725074878199901</v>
      </c>
      <c r="CS92">
        <v>10.284233833650566</v>
      </c>
      <c r="CT92">
        <v>19.424861413398407</v>
      </c>
      <c r="CU92">
        <v>7.1200766622283869</v>
      </c>
      <c r="CV92">
        <v>9.4468728521613414</v>
      </c>
      <c r="CW92">
        <v>1233.6256637623148</v>
      </c>
      <c r="CX92">
        <v>24.128208567499691</v>
      </c>
      <c r="CY92">
        <v>9.6025273383827763</v>
      </c>
      <c r="DA92">
        <v>96</v>
      </c>
      <c r="DB92">
        <v>13.434733996224352</v>
      </c>
      <c r="DC92">
        <v>5.4907314746630762</v>
      </c>
      <c r="DD92">
        <v>7.1141302843572909</v>
      </c>
      <c r="DE92">
        <v>898.73706605023165</v>
      </c>
      <c r="DF92">
        <v>22.3391027026389</v>
      </c>
      <c r="DG92">
        <v>9.4871410310342537</v>
      </c>
      <c r="DH92">
        <v>14.056560896122136</v>
      </c>
      <c r="DI92">
        <v>5.9395558003351114</v>
      </c>
      <c r="DJ92">
        <v>7.5004210790469346</v>
      </c>
      <c r="DK92">
        <v>947.65033252952412</v>
      </c>
      <c r="DL92">
        <v>22.423380480581631</v>
      </c>
      <c r="DM92">
        <v>9.7366764807044639</v>
      </c>
      <c r="DN92">
        <v>15.622413166215619</v>
      </c>
      <c r="DO92">
        <v>6.1319152659413581</v>
      </c>
      <c r="DP92">
        <v>8.0526635536177817</v>
      </c>
      <c r="DQ92">
        <v>1022.5523881347344</v>
      </c>
      <c r="DR92">
        <v>23.254258405022725</v>
      </c>
      <c r="DS92">
        <v>9.6421388179201735</v>
      </c>
      <c r="DT92">
        <v>16.781133939082075</v>
      </c>
      <c r="DU92">
        <v>6.4257427776424025</v>
      </c>
      <c r="DV92">
        <v>8.7940110799726892</v>
      </c>
      <c r="DW92">
        <v>1117.7170490493136</v>
      </c>
      <c r="DX92">
        <v>23.327641483949868</v>
      </c>
      <c r="DY92">
        <v>9.5486930774293786</v>
      </c>
      <c r="DZ92">
        <v>17.054974072801762</v>
      </c>
      <c r="EA92">
        <v>6.565800252022111</v>
      </c>
      <c r="EB92">
        <v>9.1968596523255695</v>
      </c>
      <c r="EC92">
        <v>1248.9634598582159</v>
      </c>
      <c r="ED92">
        <v>21.934420701139395</v>
      </c>
      <c r="EE92">
        <v>9.0408151353633635</v>
      </c>
      <c r="EG92">
        <v>96</v>
      </c>
      <c r="EH92">
        <v>12.598523224317844</v>
      </c>
      <c r="EI92">
        <v>5.0658156972639716</v>
      </c>
      <c r="EJ92">
        <v>6.5439186562510896</v>
      </c>
      <c r="EK92">
        <v>897.90389621630698</v>
      </c>
      <c r="EL92">
        <v>21.428539212645131</v>
      </c>
      <c r="EM92">
        <v>9.0227134019315081</v>
      </c>
      <c r="EN92">
        <v>13.203605862644974</v>
      </c>
      <c r="EO92">
        <v>5.3461014979353703</v>
      </c>
      <c r="EP92">
        <v>6.9366955269940229</v>
      </c>
      <c r="EQ92">
        <v>946.17750673681189</v>
      </c>
      <c r="ER92">
        <v>21.556810207553951</v>
      </c>
      <c r="ES92">
        <v>9.1246202121709619</v>
      </c>
      <c r="ET92">
        <v>14.299490768492481</v>
      </c>
      <c r="EU92">
        <v>5.5496884815220122</v>
      </c>
      <c r="EV92">
        <v>7.4421006533599128</v>
      </c>
      <c r="EW92">
        <v>1030.4902282184446</v>
      </c>
      <c r="EX92">
        <v>21.791351779684092</v>
      </c>
      <c r="EY92">
        <v>9.0028658560020087</v>
      </c>
      <c r="EZ92">
        <v>15.106567327871224</v>
      </c>
      <c r="FA92">
        <v>5.8821444248817967</v>
      </c>
      <c r="FB92">
        <v>8.1264052528133561</v>
      </c>
      <c r="FC92">
        <v>1121.7479897993794</v>
      </c>
      <c r="FD92">
        <v>21.750995955761553</v>
      </c>
      <c r="FE92">
        <v>9.0297810097550784</v>
      </c>
      <c r="FF92">
        <v>15.290193440797728</v>
      </c>
      <c r="FG92">
        <v>5.9682884093213699</v>
      </c>
      <c r="FH92">
        <v>8.5030488424541932</v>
      </c>
      <c r="FI92">
        <v>1254.0964177075841</v>
      </c>
      <c r="FJ92">
        <v>20.437431265235407</v>
      </c>
      <c r="FK92">
        <v>8.5273634129738394</v>
      </c>
    </row>
    <row r="93" spans="2:167" x14ac:dyDescent="0.25">
      <c r="B93">
        <v>705.58603149289979</v>
      </c>
      <c r="C93">
        <v>1.4172616171045371</v>
      </c>
      <c r="D93">
        <v>764.16688350274694</v>
      </c>
      <c r="E93">
        <v>1.3086146777471617</v>
      </c>
      <c r="F93">
        <v>865.00583369452409</v>
      </c>
      <c r="G93">
        <v>1.1560615675028487</v>
      </c>
      <c r="H93">
        <v>985.84495834755978</v>
      </c>
      <c r="I93">
        <v>1.0143582837570793</v>
      </c>
      <c r="J93">
        <v>1096.7297621657781</v>
      </c>
      <c r="K93">
        <v>0.91180164384819828</v>
      </c>
      <c r="L93">
        <v>816.17281841322381</v>
      </c>
      <c r="M93">
        <v>1.225230707810347</v>
      </c>
      <c r="N93">
        <v>813.13859746168271</v>
      </c>
      <c r="O93">
        <v>1.2298026475703272</v>
      </c>
      <c r="Q93">
        <v>0.18772304442962401</v>
      </c>
      <c r="R93">
        <v>0.1883886869750287</v>
      </c>
      <c r="S93">
        <v>0.18831670027958028</v>
      </c>
      <c r="T93">
        <v>0.18948014785466016</v>
      </c>
      <c r="U93">
        <v>0.18991989729054715</v>
      </c>
      <c r="V93">
        <v>0.18842784598998302</v>
      </c>
      <c r="W93">
        <v>0.18818242627997678</v>
      </c>
      <c r="Y93">
        <v>2.1431455696115624</v>
      </c>
      <c r="Z93">
        <v>2.1893486449278012</v>
      </c>
      <c r="AA93">
        <v>2.2295052196352412</v>
      </c>
      <c r="AB93">
        <v>2.3476493451467042</v>
      </c>
      <c r="AC93">
        <v>2.4053138980392461</v>
      </c>
      <c r="AD93">
        <v>2.2104997711222825</v>
      </c>
      <c r="AE93">
        <v>2.2082215793125939</v>
      </c>
      <c r="AG93">
        <v>0.85130200020881808</v>
      </c>
      <c r="AH93">
        <v>0.87119839153351608</v>
      </c>
      <c r="AI93">
        <v>0.89278162318978616</v>
      </c>
      <c r="AJ93">
        <v>0.93376111009289231</v>
      </c>
      <c r="AK93">
        <v>0.96158187602919731</v>
      </c>
      <c r="AL93">
        <v>0.8820976119614371</v>
      </c>
      <c r="AM93">
        <v>0.88167862026323163</v>
      </c>
      <c r="AO93">
        <v>97</v>
      </c>
      <c r="AP93">
        <v>16.329834443322486</v>
      </c>
      <c r="AQ93">
        <v>7.132972445512622</v>
      </c>
      <c r="AR93">
        <v>7.7318950536018534</v>
      </c>
      <c r="AS93">
        <v>892.6136634145596</v>
      </c>
      <c r="AT93">
        <v>25.680572974767486</v>
      </c>
      <c r="AU93">
        <v>11.36681860121922</v>
      </c>
      <c r="AV93">
        <v>17.124480486150361</v>
      </c>
      <c r="AW93">
        <v>7.3363679059485403</v>
      </c>
      <c r="AX93">
        <v>8.1391042293555689</v>
      </c>
      <c r="AY93">
        <v>943.18474746016659</v>
      </c>
      <c r="AZ93">
        <v>25.72651424966433</v>
      </c>
      <c r="BA93">
        <v>11.238246388621416</v>
      </c>
      <c r="BB93">
        <v>18.775659878848142</v>
      </c>
      <c r="BC93">
        <v>7.7551781144119518</v>
      </c>
      <c r="BD93">
        <v>8.7169602600416045</v>
      </c>
      <c r="BE93">
        <v>1018.2753403194512</v>
      </c>
      <c r="BF93">
        <v>26.376239633244833</v>
      </c>
      <c r="BG93">
        <v>11.243703027918365</v>
      </c>
      <c r="BH93">
        <v>19.989789324882253</v>
      </c>
      <c r="BI93">
        <v>8.1854933337990037</v>
      </c>
      <c r="BJ93">
        <v>9.3514196430639505</v>
      </c>
      <c r="BK93">
        <v>1099.1749818532062</v>
      </c>
      <c r="BL93">
        <v>26.566766072539384</v>
      </c>
      <c r="BM93">
        <v>11.277134608289028</v>
      </c>
      <c r="BN93">
        <v>20.46729031105539</v>
      </c>
      <c r="BO93">
        <v>8.3162359039350644</v>
      </c>
      <c r="BP93">
        <v>9.8997626716413389</v>
      </c>
      <c r="BQ93">
        <v>1225.390877461422</v>
      </c>
      <c r="BR93">
        <v>25.065580112986765</v>
      </c>
      <c r="BS93">
        <v>10.608713180724068</v>
      </c>
      <c r="BU93">
        <v>97</v>
      </c>
      <c r="BV93">
        <v>15.733382089858354</v>
      </c>
      <c r="BW93">
        <v>6.0923978407647565</v>
      </c>
      <c r="BX93">
        <v>7.4973762317108896</v>
      </c>
      <c r="BY93">
        <v>898.38886192098425</v>
      </c>
      <c r="BZ93">
        <v>24.851574762835469</v>
      </c>
      <c r="CA93">
        <v>10.135480719100954</v>
      </c>
      <c r="CB93">
        <v>16.3663118187065</v>
      </c>
      <c r="CC93">
        <v>6.2311297400423058</v>
      </c>
      <c r="CD93">
        <v>7.869256897461784</v>
      </c>
      <c r="CE93">
        <v>950.2599219587504</v>
      </c>
      <c r="CF93">
        <v>24.73711311501209</v>
      </c>
      <c r="CG93">
        <v>9.9914814848446607</v>
      </c>
      <c r="CH93">
        <v>18.0041550622113</v>
      </c>
      <c r="CI93">
        <v>6.8688244584664915</v>
      </c>
      <c r="CJ93">
        <v>8.4138885589583143</v>
      </c>
      <c r="CK93">
        <v>1023.5560553612833</v>
      </c>
      <c r="CL93">
        <v>25.486410280719916</v>
      </c>
      <c r="CM93">
        <v>10.3197395159082</v>
      </c>
      <c r="CN93">
        <v>19.186073700032573</v>
      </c>
      <c r="CO93">
        <v>7.1511056025479274</v>
      </c>
      <c r="CP93">
        <v>9.0579024964731829</v>
      </c>
      <c r="CQ93">
        <v>1105.2128881515064</v>
      </c>
      <c r="CR93">
        <v>25.694424391239366</v>
      </c>
      <c r="CS93">
        <v>10.279609131389133</v>
      </c>
      <c r="CT93">
        <v>19.477999048092542</v>
      </c>
      <c r="CU93">
        <v>7.1544868465363542</v>
      </c>
      <c r="CV93">
        <v>9.4455701101759182</v>
      </c>
      <c r="CW93">
        <v>1232.7899208634606</v>
      </c>
      <c r="CX93">
        <v>24.112658160726401</v>
      </c>
      <c r="CY93">
        <v>9.6026671661736049</v>
      </c>
      <c r="DA93">
        <v>97</v>
      </c>
      <c r="DB93">
        <v>13.434877827735679</v>
      </c>
      <c r="DC93">
        <v>5.5165246274505746</v>
      </c>
      <c r="DD93">
        <v>7.1142877183571578</v>
      </c>
      <c r="DE93">
        <v>899.91549408636695</v>
      </c>
      <c r="DF93">
        <v>22.255282676667875</v>
      </c>
      <c r="DG93">
        <v>9.4783675033851402</v>
      </c>
      <c r="DH93">
        <v>14.056322781560889</v>
      </c>
      <c r="DI93">
        <v>5.9710984990251701</v>
      </c>
      <c r="DJ93">
        <v>7.5003581824375729</v>
      </c>
      <c r="DK93">
        <v>948.88535122454812</v>
      </c>
      <c r="DL93">
        <v>22.338523946708587</v>
      </c>
      <c r="DM93">
        <v>9.7319166779278969</v>
      </c>
      <c r="DN93">
        <v>15.62221254718494</v>
      </c>
      <c r="DO93">
        <v>6.1634838341463665</v>
      </c>
      <c r="DP93">
        <v>8.0527995718690111</v>
      </c>
      <c r="DQ93">
        <v>1023.606454251955</v>
      </c>
      <c r="DR93">
        <v>23.15814535826653</v>
      </c>
      <c r="DS93">
        <v>9.6301573773708</v>
      </c>
      <c r="DT93">
        <v>16.791730255188224</v>
      </c>
      <c r="DU93">
        <v>6.4697792330060251</v>
      </c>
      <c r="DV93">
        <v>8.7936840237360965</v>
      </c>
      <c r="DW93">
        <v>1119.3686392757663</v>
      </c>
      <c r="DX93">
        <v>23.230475317596994</v>
      </c>
      <c r="DY93">
        <v>9.5409409848565598</v>
      </c>
      <c r="DZ93">
        <v>17.069451835233263</v>
      </c>
      <c r="EA93">
        <v>6.6119815799438957</v>
      </c>
      <c r="EB93">
        <v>9.1963462684567361</v>
      </c>
      <c r="EC93">
        <v>1249.8517453006359</v>
      </c>
      <c r="ED93">
        <v>21.85642804086293</v>
      </c>
      <c r="EE93">
        <v>9.0375247078251224</v>
      </c>
      <c r="EG93">
        <v>97</v>
      </c>
      <c r="EH93">
        <v>12.599021324133064</v>
      </c>
      <c r="EI93">
        <v>5.0892430112160509</v>
      </c>
      <c r="EJ93">
        <v>6.5440321646629007</v>
      </c>
      <c r="EK93">
        <v>899.73800738035948</v>
      </c>
      <c r="EL93">
        <v>21.330672979216935</v>
      </c>
      <c r="EM93">
        <v>9.0053416575089873</v>
      </c>
      <c r="EN93">
        <v>13.203661243157629</v>
      </c>
      <c r="EO93">
        <v>5.374599724628462</v>
      </c>
      <c r="EP93">
        <v>6.9366232442437274</v>
      </c>
      <c r="EQ93">
        <v>948.11177106892467</v>
      </c>
      <c r="ER93">
        <v>21.457424349526772</v>
      </c>
      <c r="ES93">
        <v>9.1107131713893548</v>
      </c>
      <c r="ET93">
        <v>14.322838267423787</v>
      </c>
      <c r="EU93">
        <v>5.5782603543664333</v>
      </c>
      <c r="EV93">
        <v>7.4421929389263237</v>
      </c>
      <c r="EW93">
        <v>1030.4206466600037</v>
      </c>
      <c r="EX93">
        <v>21.743986642824225</v>
      </c>
      <c r="EY93">
        <v>8.9985267640103519</v>
      </c>
      <c r="EZ93">
        <v>15.124443948020579</v>
      </c>
      <c r="FA93">
        <v>5.9222321356788363</v>
      </c>
      <c r="FB93">
        <v>8.1260944740835122</v>
      </c>
      <c r="FC93">
        <v>1122.9204877364818</v>
      </c>
      <c r="FD93">
        <v>21.672219453289735</v>
      </c>
      <c r="FE93">
        <v>9.0231526995523623</v>
      </c>
      <c r="FF93">
        <v>15.305974337746484</v>
      </c>
      <c r="FG93">
        <v>6.0101820471363618</v>
      </c>
      <c r="FH93">
        <v>8.5025680091574749</v>
      </c>
      <c r="FI93">
        <v>1254.4587789963573</v>
      </c>
      <c r="FJ93">
        <v>20.370392127087754</v>
      </c>
      <c r="FK93">
        <v>8.5246057307845327</v>
      </c>
    </row>
    <row r="94" spans="2:167" x14ac:dyDescent="0.25">
      <c r="B94">
        <v>700.10693602715298</v>
      </c>
      <c r="C94">
        <v>1.4283532251153357</v>
      </c>
      <c r="D94">
        <v>758.30488489991649</v>
      </c>
      <c r="E94">
        <v>1.3187307900990024</v>
      </c>
      <c r="F94">
        <v>856.79995321501474</v>
      </c>
      <c r="G94">
        <v>1.1671335838052375</v>
      </c>
      <c r="H94">
        <v>976.81592177737184</v>
      </c>
      <c r="I94">
        <v>1.0237343369469689</v>
      </c>
      <c r="J94">
        <v>1086.3937975177953</v>
      </c>
      <c r="K94">
        <v>0.92047653648687167</v>
      </c>
      <c r="L94">
        <v>808.77123286076119</v>
      </c>
      <c r="M94">
        <v>1.2364435817812538</v>
      </c>
      <c r="N94">
        <v>806.50871049785007</v>
      </c>
      <c r="O94">
        <v>1.239912212953918</v>
      </c>
      <c r="Q94">
        <v>0.18954904792147931</v>
      </c>
      <c r="R94">
        <v>0.190212734254918</v>
      </c>
      <c r="S94">
        <v>0.19012008427949331</v>
      </c>
      <c r="T94">
        <v>0.19127980004011588</v>
      </c>
      <c r="U94">
        <v>0.19171335660814318</v>
      </c>
      <c r="V94">
        <v>0.19023570937888573</v>
      </c>
      <c r="W94">
        <v>0.1900020554464503</v>
      </c>
      <c r="Y94">
        <v>2.1450782902511554</v>
      </c>
      <c r="Z94">
        <v>2.1928680805012997</v>
      </c>
      <c r="AA94">
        <v>2.2315398654407281</v>
      </c>
      <c r="AB94">
        <v>2.3527413121156768</v>
      </c>
      <c r="AC94">
        <v>2.4109481559625916</v>
      </c>
      <c r="AD94">
        <v>2.2134334638292903</v>
      </c>
      <c r="AE94">
        <v>2.2109013278063299</v>
      </c>
      <c r="AG94">
        <v>0.85310036998077476</v>
      </c>
      <c r="AH94">
        <v>0.87362972403729622</v>
      </c>
      <c r="AI94">
        <v>0.8945993423019315</v>
      </c>
      <c r="AJ94">
        <v>0.93683204010175158</v>
      </c>
      <c r="AK94">
        <v>0.96486285250320225</v>
      </c>
      <c r="AL94">
        <v>0.88430412528299018</v>
      </c>
      <c r="AM94">
        <v>0.88374875908477013</v>
      </c>
      <c r="AO94">
        <v>98</v>
      </c>
      <c r="AP94">
        <v>16.381918757942564</v>
      </c>
      <c r="AQ94">
        <v>7.1575661510189308</v>
      </c>
      <c r="AR94">
        <v>7.737730360364357</v>
      </c>
      <c r="AS94">
        <v>892.95271595689928</v>
      </c>
      <c r="AT94">
        <v>25.671816165108968</v>
      </c>
      <c r="AU94">
        <v>11.363841153054601</v>
      </c>
      <c r="AV94">
        <v>17.182222787770876</v>
      </c>
      <c r="AW94">
        <v>7.364792306976403</v>
      </c>
      <c r="AX94">
        <v>8.1439185557758904</v>
      </c>
      <c r="AY94">
        <v>943.63731296846458</v>
      </c>
      <c r="AZ94">
        <v>25.717320943927856</v>
      </c>
      <c r="BA94">
        <v>11.236449822640534</v>
      </c>
      <c r="BB94">
        <v>18.824694115545693</v>
      </c>
      <c r="BC94">
        <v>7.7840307089893779</v>
      </c>
      <c r="BD94">
        <v>8.7159895334132944</v>
      </c>
      <c r="BE94">
        <v>1018.3480868965748</v>
      </c>
      <c r="BF94">
        <v>26.347211944152999</v>
      </c>
      <c r="BG94">
        <v>11.236820745710567</v>
      </c>
      <c r="BH94">
        <v>20.043260463252999</v>
      </c>
      <c r="BI94">
        <v>8.218359972801542</v>
      </c>
      <c r="BJ94">
        <v>9.3502996595721779</v>
      </c>
      <c r="BK94">
        <v>1099.2948265193022</v>
      </c>
      <c r="BL94">
        <v>26.535764321482109</v>
      </c>
      <c r="BM94">
        <v>11.270727440773831</v>
      </c>
      <c r="BN94">
        <v>20.522141515511741</v>
      </c>
      <c r="BO94">
        <v>8.3499369640714516</v>
      </c>
      <c r="BP94">
        <v>9.8983391415712703</v>
      </c>
      <c r="BQ94">
        <v>1224.5163993036106</v>
      </c>
      <c r="BR94">
        <v>25.049403321149608</v>
      </c>
      <c r="BS94">
        <v>10.607764570371071</v>
      </c>
      <c r="BU94">
        <v>98</v>
      </c>
      <c r="BV94">
        <v>15.7795111088114</v>
      </c>
      <c r="BW94">
        <v>6.118223307933965</v>
      </c>
      <c r="BX94">
        <v>7.5021153664891713</v>
      </c>
      <c r="BY94">
        <v>898.47816730340628</v>
      </c>
      <c r="BZ94">
        <v>24.843464350438083</v>
      </c>
      <c r="CA94">
        <v>10.137174513181286</v>
      </c>
      <c r="CB94">
        <v>16.41839934154822</v>
      </c>
      <c r="CC94">
        <v>6.260282966197404</v>
      </c>
      <c r="CD94">
        <v>7.8732080865079084</v>
      </c>
      <c r="CE94">
        <v>950.427011155743</v>
      </c>
      <c r="CF94">
        <v>24.729937081093254</v>
      </c>
      <c r="CG94">
        <v>9.9940593708631358</v>
      </c>
      <c r="CH94">
        <v>18.04766879837787</v>
      </c>
      <c r="CI94">
        <v>6.8977423938485254</v>
      </c>
      <c r="CJ94">
        <v>8.4129546290343722</v>
      </c>
      <c r="CK94">
        <v>1023.3844884718217</v>
      </c>
      <c r="CL94">
        <v>25.45827873561359</v>
      </c>
      <c r="CM94">
        <v>10.315484271035949</v>
      </c>
      <c r="CN94">
        <v>19.233783050175159</v>
      </c>
      <c r="CO94">
        <v>7.1837324838617009</v>
      </c>
      <c r="CP94">
        <v>9.056823386859131</v>
      </c>
      <c r="CQ94">
        <v>1105.0874629624807</v>
      </c>
      <c r="CR94">
        <v>25.664168650717759</v>
      </c>
      <c r="CS94">
        <v>10.275408289739591</v>
      </c>
      <c r="CT94">
        <v>19.527586320918779</v>
      </c>
      <c r="CU94">
        <v>7.1880096453824311</v>
      </c>
      <c r="CV94">
        <v>9.4442095200485081</v>
      </c>
      <c r="CW94">
        <v>1231.6073734694089</v>
      </c>
      <c r="CX94">
        <v>24.09765531146541</v>
      </c>
      <c r="CY94">
        <v>9.6032669278071268</v>
      </c>
      <c r="DA94">
        <v>98</v>
      </c>
      <c r="DB94">
        <v>13.435027345137</v>
      </c>
      <c r="DC94">
        <v>5.5416814456357155</v>
      </c>
      <c r="DD94">
        <v>7.1144513759751771</v>
      </c>
      <c r="DE94">
        <v>901.0230358177115</v>
      </c>
      <c r="DF94">
        <v>22.171271722531504</v>
      </c>
      <c r="DG94">
        <v>9.4686681436474416</v>
      </c>
      <c r="DH94">
        <v>14.056074765270042</v>
      </c>
      <c r="DI94">
        <v>6.0020139940149635</v>
      </c>
      <c r="DJ94">
        <v>7.5002926703425583</v>
      </c>
      <c r="DK94">
        <v>950.03973435561363</v>
      </c>
      <c r="DL94">
        <v>22.253464613366607</v>
      </c>
      <c r="DM94">
        <v>9.7262826709532728</v>
      </c>
      <c r="DN94">
        <v>15.622003742272387</v>
      </c>
      <c r="DO94">
        <v>6.1943533431806648</v>
      </c>
      <c r="DP94">
        <v>8.0529411400889224</v>
      </c>
      <c r="DQ94">
        <v>1024.5703203970486</v>
      </c>
      <c r="DR94">
        <v>23.061318520291529</v>
      </c>
      <c r="DS94">
        <v>9.6170241780641845</v>
      </c>
      <c r="DT94">
        <v>16.798474608500491</v>
      </c>
      <c r="DU94">
        <v>6.5133338838894508</v>
      </c>
      <c r="DV94">
        <v>8.7933426689572993</v>
      </c>
      <c r="DW94">
        <v>1120.7489376969852</v>
      </c>
      <c r="DX94">
        <v>23.132605090719949</v>
      </c>
      <c r="DY94">
        <v>9.5336483653474158</v>
      </c>
      <c r="DZ94">
        <v>17.080114437230307</v>
      </c>
      <c r="EA94">
        <v>6.6576994047651841</v>
      </c>
      <c r="EB94">
        <v>9.1958100878228706</v>
      </c>
      <c r="EC94">
        <v>1250.4169806547168</v>
      </c>
      <c r="ED94">
        <v>21.777837715366175</v>
      </c>
      <c r="EE94">
        <v>9.0347014570689517</v>
      </c>
      <c r="EG94">
        <v>98</v>
      </c>
      <c r="EH94">
        <v>12.599539114631709</v>
      </c>
      <c r="EI94">
        <v>5.1120672134526979</v>
      </c>
      <c r="EJ94">
        <v>6.5441501602440191</v>
      </c>
      <c r="EK94">
        <v>901.51578573900247</v>
      </c>
      <c r="EL94">
        <v>21.232393960998294</v>
      </c>
      <c r="EM94">
        <v>8.9869462209308733</v>
      </c>
      <c r="EN94">
        <v>13.203718926607403</v>
      </c>
      <c r="EO94">
        <v>5.4025380084790182</v>
      </c>
      <c r="EP94">
        <v>6.9365479556955325</v>
      </c>
      <c r="EQ94">
        <v>949.98438369512996</v>
      </c>
      <c r="ER94">
        <v>21.357529786114352</v>
      </c>
      <c r="ES94">
        <v>9.0958116446439927</v>
      </c>
      <c r="ET94">
        <v>14.343454624159127</v>
      </c>
      <c r="EU94">
        <v>5.6061995761084251</v>
      </c>
      <c r="EV94">
        <v>7.4422889900315425</v>
      </c>
      <c r="EW94">
        <v>1030.0518100149488</v>
      </c>
      <c r="EX94">
        <v>21.697348783529517</v>
      </c>
      <c r="EY94">
        <v>8.9948521872687959</v>
      </c>
      <c r="EZ94">
        <v>15.139135354800873</v>
      </c>
      <c r="FA94">
        <v>5.9618692143748842</v>
      </c>
      <c r="FB94">
        <v>8.1257701084463196</v>
      </c>
      <c r="FC94">
        <v>1123.7936335178003</v>
      </c>
      <c r="FD94">
        <v>21.593380318348515</v>
      </c>
      <c r="FE94">
        <v>9.0171018113039008</v>
      </c>
      <c r="FF94">
        <v>15.318458930426175</v>
      </c>
      <c r="FG94">
        <v>6.0516507175255185</v>
      </c>
      <c r="FH94">
        <v>8.5020658245009866</v>
      </c>
      <c r="FI94">
        <v>1254.5107184820461</v>
      </c>
      <c r="FJ94">
        <v>20.302514916134587</v>
      </c>
      <c r="FK94">
        <v>8.5221236234326128</v>
      </c>
    </row>
    <row r="95" spans="2:167" x14ac:dyDescent="0.25">
      <c r="B95">
        <v>694.41959763590876</v>
      </c>
      <c r="C95">
        <v>1.4400515241856842</v>
      </c>
      <c r="D95">
        <v>752.20901540316709</v>
      </c>
      <c r="E95">
        <v>1.329417727683073</v>
      </c>
      <c r="F95">
        <v>848.27268092006443</v>
      </c>
      <c r="G95">
        <v>1.1788662095251814</v>
      </c>
      <c r="H95">
        <v>967.40911482382137</v>
      </c>
      <c r="I95">
        <v>1.0336888341000527</v>
      </c>
      <c r="J95">
        <v>1075.6190117623901</v>
      </c>
      <c r="K95">
        <v>0.92969721533790195</v>
      </c>
      <c r="L95">
        <v>801.07648655756759</v>
      </c>
      <c r="M95">
        <v>1.2483202500391168</v>
      </c>
      <c r="N95">
        <v>799.61808608342062</v>
      </c>
      <c r="O95">
        <v>1.2505970255100938</v>
      </c>
      <c r="Q95">
        <v>0.19137326692024623</v>
      </c>
      <c r="R95">
        <v>0.19203477126526744</v>
      </c>
      <c r="S95">
        <v>0.19192087767101434</v>
      </c>
      <c r="T95">
        <v>0.1930764258835842</v>
      </c>
      <c r="U95">
        <v>0.19350348098478926</v>
      </c>
      <c r="V95">
        <v>0.19204107612006682</v>
      </c>
      <c r="W95">
        <v>0.19181959361113515</v>
      </c>
      <c r="Y95">
        <v>2.1466001106947639</v>
      </c>
      <c r="Z95">
        <v>2.1960038050478934</v>
      </c>
      <c r="AA95">
        <v>2.2331375354112426</v>
      </c>
      <c r="AB95">
        <v>2.3574359851736371</v>
      </c>
      <c r="AC95">
        <v>2.4161844051215495</v>
      </c>
      <c r="AD95">
        <v>2.2159638699247051</v>
      </c>
      <c r="AE95">
        <v>2.2131666589542105</v>
      </c>
      <c r="AG95">
        <v>0.85477934063796279</v>
      </c>
      <c r="AH95">
        <v>0.87595191470616873</v>
      </c>
      <c r="AI95">
        <v>0.89628464524591533</v>
      </c>
      <c r="AJ95">
        <v>0.9397888745367281</v>
      </c>
      <c r="AK95">
        <v>0.96802787428155657</v>
      </c>
      <c r="AL95">
        <v>0.88639349474676676</v>
      </c>
      <c r="AM95">
        <v>0.88569580910244639</v>
      </c>
      <c r="AO95">
        <v>99</v>
      </c>
      <c r="AP95">
        <v>16.431599350448906</v>
      </c>
      <c r="AQ95">
        <v>7.1810961386722596</v>
      </c>
      <c r="AR95">
        <v>7.7421604965139226</v>
      </c>
      <c r="AS95">
        <v>893.08346752387865</v>
      </c>
      <c r="AT95">
        <v>25.664181349484014</v>
      </c>
      <c r="AU95">
        <v>11.361328923161501</v>
      </c>
      <c r="AV95">
        <v>17.237449918532157</v>
      </c>
      <c r="AW95">
        <v>7.3921807279140825</v>
      </c>
      <c r="AX95">
        <v>8.1471744923877036</v>
      </c>
      <c r="AY95">
        <v>943.86625135768372</v>
      </c>
      <c r="AZ95">
        <v>25.709247389187109</v>
      </c>
      <c r="BA95">
        <v>11.235161033609913</v>
      </c>
      <c r="BB95">
        <v>18.870478971112522</v>
      </c>
      <c r="BC95">
        <v>7.811722989391173</v>
      </c>
      <c r="BD95">
        <v>8.7149807872703011</v>
      </c>
      <c r="BE95">
        <v>1018.1673331042417</v>
      </c>
      <c r="BF95">
        <v>26.318600126297813</v>
      </c>
      <c r="BG95">
        <v>11.230247820266344</v>
      </c>
      <c r="BH95">
        <v>20.093182868324512</v>
      </c>
      <c r="BI95">
        <v>8.2500200608731866</v>
      </c>
      <c r="BJ95">
        <v>9.3491328165301368</v>
      </c>
      <c r="BK95">
        <v>1099.1312836481791</v>
      </c>
      <c r="BL95">
        <v>26.505162823264133</v>
      </c>
      <c r="BM95">
        <v>11.264660436770408</v>
      </c>
      <c r="BN95">
        <v>20.573358060182574</v>
      </c>
      <c r="BO95">
        <v>8.3824229760635482</v>
      </c>
      <c r="BP95">
        <v>9.8968551744676923</v>
      </c>
      <c r="BQ95">
        <v>1223.3044634001308</v>
      </c>
      <c r="BR95">
        <v>25.033785964429658</v>
      </c>
      <c r="BS95">
        <v>10.607215418579372</v>
      </c>
      <c r="BU95">
        <v>99</v>
      </c>
      <c r="BV95">
        <v>15.823183214857353</v>
      </c>
      <c r="BW95">
        <v>6.143306170335185</v>
      </c>
      <c r="BX95">
        <v>7.5054596471325121</v>
      </c>
      <c r="BY95">
        <v>898.34958286579547</v>
      </c>
      <c r="BZ95">
        <v>24.836478316148394</v>
      </c>
      <c r="CA95">
        <v>10.139510537736957</v>
      </c>
      <c r="CB95">
        <v>16.467975160662593</v>
      </c>
      <c r="CC95">
        <v>6.2887302954886186</v>
      </c>
      <c r="CD95">
        <v>7.8756277942136084</v>
      </c>
      <c r="CE95">
        <v>950.36094575179845</v>
      </c>
      <c r="CF95">
        <v>24.72388654607688</v>
      </c>
      <c r="CG95">
        <v>9.9972951732058934</v>
      </c>
      <c r="CH95">
        <v>18.087944467200984</v>
      </c>
      <c r="CI95">
        <v>6.9257496877306117</v>
      </c>
      <c r="CJ95">
        <v>8.41198412077682</v>
      </c>
      <c r="CK95">
        <v>1022.950539948077</v>
      </c>
      <c r="CL95">
        <v>25.430559329914914</v>
      </c>
      <c r="CM95">
        <v>10.31164045539793</v>
      </c>
      <c r="CN95">
        <v>19.277960262855096</v>
      </c>
      <c r="CO95">
        <v>7.2154417254413135</v>
      </c>
      <c r="CP95">
        <v>9.0556991278374515</v>
      </c>
      <c r="CQ95">
        <v>1104.6692782878006</v>
      </c>
      <c r="CR95">
        <v>25.634306654802536</v>
      </c>
      <c r="CS95">
        <v>10.271637469527109</v>
      </c>
      <c r="CT95">
        <v>19.573623413805677</v>
      </c>
      <c r="CU95">
        <v>7.2206451042581445</v>
      </c>
      <c r="CV95">
        <v>9.4427911650499112</v>
      </c>
      <c r="CW95">
        <v>1230.0772511133869</v>
      </c>
      <c r="CX95">
        <v>24.08320894716126</v>
      </c>
      <c r="CY95">
        <v>9.6043367059232168</v>
      </c>
      <c r="DA95">
        <v>99</v>
      </c>
      <c r="DB95">
        <v>13.435182545217382</v>
      </c>
      <c r="DC95">
        <v>5.5662019340182054</v>
      </c>
      <c r="DD95">
        <v>7.1146212536967459</v>
      </c>
      <c r="DE95">
        <v>902.05895958613962</v>
      </c>
      <c r="DF95">
        <v>22.08706986810294</v>
      </c>
      <c r="DG95">
        <v>9.458052309171304</v>
      </c>
      <c r="DH95">
        <v>14.055816854095967</v>
      </c>
      <c r="DI95">
        <v>6.0323022923395158</v>
      </c>
      <c r="DJ95">
        <v>7.5002245445703224</v>
      </c>
      <c r="DK95">
        <v>951.11264547437577</v>
      </c>
      <c r="DL95">
        <v>22.168202677514714</v>
      </c>
      <c r="DM95">
        <v>9.7197854918729529</v>
      </c>
      <c r="DN95">
        <v>15.621786759298978</v>
      </c>
      <c r="DO95">
        <v>6.2245238072792892</v>
      </c>
      <c r="DP95">
        <v>8.0530882529749217</v>
      </c>
      <c r="DQ95">
        <v>1025.4430465281259</v>
      </c>
      <c r="DR95">
        <v>22.963778212298973</v>
      </c>
      <c r="DS95">
        <v>9.6027490990240381</v>
      </c>
      <c r="DT95">
        <v>16.801367046787515</v>
      </c>
      <c r="DU95">
        <v>6.5564067447694576</v>
      </c>
      <c r="DV95">
        <v>8.792987032064941</v>
      </c>
      <c r="DW95">
        <v>1121.8548036084683</v>
      </c>
      <c r="DX95">
        <v>23.034030547075908</v>
      </c>
      <c r="DY95">
        <v>9.5268365703362843</v>
      </c>
      <c r="DZ95">
        <v>17.08696196003536</v>
      </c>
      <c r="EA95">
        <v>6.702953750639967</v>
      </c>
      <c r="EB95">
        <v>9.1952511432392896</v>
      </c>
      <c r="EC95">
        <v>1250.6558566251799</v>
      </c>
      <c r="ED95">
        <v>21.698651841100538</v>
      </c>
      <c r="EE95">
        <v>9.0323686412454585</v>
      </c>
      <c r="EG95">
        <v>99</v>
      </c>
      <c r="EH95">
        <v>12.600076584694051</v>
      </c>
      <c r="EI95">
        <v>5.1342883085697224</v>
      </c>
      <c r="EJ95">
        <v>6.5442726404604503</v>
      </c>
      <c r="EK95">
        <v>903.23659265045399</v>
      </c>
      <c r="EL95">
        <v>21.133702354761866</v>
      </c>
      <c r="EM95">
        <v>8.9675365969239884</v>
      </c>
      <c r="EN95">
        <v>13.203778911401971</v>
      </c>
      <c r="EO95">
        <v>5.4299163557326757</v>
      </c>
      <c r="EP95">
        <v>6.9364696634277427</v>
      </c>
      <c r="EQ95">
        <v>951.79467260840931</v>
      </c>
      <c r="ER95">
        <v>21.257126703474686</v>
      </c>
      <c r="ES95">
        <v>9.0799257494557502</v>
      </c>
      <c r="ET95">
        <v>14.361339889313053</v>
      </c>
      <c r="EU95">
        <v>5.633506159630608</v>
      </c>
      <c r="EV95">
        <v>7.4423888030778658</v>
      </c>
      <c r="EW95">
        <v>1029.381952536482</v>
      </c>
      <c r="EX95">
        <v>21.651438287713955</v>
      </c>
      <c r="EY95">
        <v>8.9918563470945472</v>
      </c>
      <c r="EZ95">
        <v>15.150641598193024</v>
      </c>
      <c r="FA95">
        <v>6.0010556745365156</v>
      </c>
      <c r="FB95">
        <v>8.1254321715127684</v>
      </c>
      <c r="FC95">
        <v>1124.3643393803982</v>
      </c>
      <c r="FD95">
        <v>21.514478465616602</v>
      </c>
      <c r="FE95">
        <v>9.0116485773421804</v>
      </c>
      <c r="FF95">
        <v>15.327647290325951</v>
      </c>
      <c r="FG95">
        <v>6.0926944426062883</v>
      </c>
      <c r="FH95">
        <v>8.5015423192194195</v>
      </c>
      <c r="FI95">
        <v>1254.2493088940773</v>
      </c>
      <c r="FJ95">
        <v>20.233801331420104</v>
      </c>
      <c r="FK95">
        <v>8.5199372696963778</v>
      </c>
    </row>
    <row r="96" spans="2:167" x14ac:dyDescent="0.25">
      <c r="B96">
        <v>688.52413842157523</v>
      </c>
      <c r="C96">
        <v>1.452381905291622</v>
      </c>
      <c r="D96">
        <v>745.87944322686405</v>
      </c>
      <c r="E96">
        <v>1.340699236425857</v>
      </c>
      <c r="F96">
        <v>839.42433605301301</v>
      </c>
      <c r="G96">
        <v>1.1912926002384163</v>
      </c>
      <c r="H96">
        <v>957.62498995068211</v>
      </c>
      <c r="I96">
        <v>1.0442501088568086</v>
      </c>
      <c r="J96">
        <v>1064.4060638545809</v>
      </c>
      <c r="K96">
        <v>0.93949107766133511</v>
      </c>
      <c r="L96">
        <v>793.08888454126247</v>
      </c>
      <c r="M96">
        <v>1.2608927189522001</v>
      </c>
      <c r="N96">
        <v>792.46692268256766</v>
      </c>
      <c r="O96">
        <v>1.2618823213654335</v>
      </c>
      <c r="Q96">
        <v>0.1931957024722552</v>
      </c>
      <c r="R96">
        <v>0.19385479945198683</v>
      </c>
      <c r="S96">
        <v>0.19371908302743382</v>
      </c>
      <c r="T96">
        <v>0.19487002900978054</v>
      </c>
      <c r="U96">
        <v>0.19529027542839417</v>
      </c>
      <c r="V96">
        <v>0.19384394881132111</v>
      </c>
      <c r="W96">
        <v>0.19363504236562828</v>
      </c>
      <c r="Y96">
        <v>2.1477110323220949</v>
      </c>
      <c r="Z96">
        <v>2.1987558210170297</v>
      </c>
      <c r="AA96">
        <v>2.2342982338163631</v>
      </c>
      <c r="AB96">
        <v>2.3617333712914417</v>
      </c>
      <c r="AC96">
        <v>2.4210226566840083</v>
      </c>
      <c r="AD96">
        <v>2.2180909950338439</v>
      </c>
      <c r="AE96">
        <v>2.2150175757259718</v>
      </c>
      <c r="AG96">
        <v>0.85633891247091931</v>
      </c>
      <c r="AH96">
        <v>0.87816496398028743</v>
      </c>
      <c r="AI96">
        <v>0.89783753311356507</v>
      </c>
      <c r="AJ96">
        <v>0.94263161471336998</v>
      </c>
      <c r="AK96">
        <v>0.97107694385257326</v>
      </c>
      <c r="AL96">
        <v>0.88836572172343864</v>
      </c>
      <c r="AM96">
        <v>0.88751977103519764</v>
      </c>
      <c r="AO96">
        <v>100</v>
      </c>
      <c r="AP96">
        <v>16.478876239621833</v>
      </c>
      <c r="AQ96">
        <v>7.2035624178469124</v>
      </c>
      <c r="AR96">
        <v>7.7451854742593742</v>
      </c>
      <c r="AS96">
        <v>893.00574242616347</v>
      </c>
      <c r="AT96">
        <v>25.657669038928386</v>
      </c>
      <c r="AU96">
        <v>11.359282778425111</v>
      </c>
      <c r="AV96">
        <v>17.290161909287157</v>
      </c>
      <c r="AW96">
        <v>7.418533181400373</v>
      </c>
      <c r="AX96">
        <v>8.1488720586031818</v>
      </c>
      <c r="AY96">
        <v>943.87137584833215</v>
      </c>
      <c r="AZ96">
        <v>25.702293816246833</v>
      </c>
      <c r="BA96">
        <v>11.234381733602429</v>
      </c>
      <c r="BB96">
        <v>18.913014524052336</v>
      </c>
      <c r="BC96">
        <v>7.838254981849734</v>
      </c>
      <c r="BD96">
        <v>8.7139340593779835</v>
      </c>
      <c r="BE96">
        <v>1017.7323511592914</v>
      </c>
      <c r="BF96">
        <v>26.290404829573756</v>
      </c>
      <c r="BG96">
        <v>11.223988896444386</v>
      </c>
      <c r="BH96">
        <v>20.139556662198661</v>
      </c>
      <c r="BI96">
        <v>8.2804736386352342</v>
      </c>
      <c r="BJ96">
        <v>9.3479191700625233</v>
      </c>
      <c r="BK96">
        <v>1098.6835647225801</v>
      </c>
      <c r="BL96">
        <v>26.474961037250534</v>
      </c>
      <c r="BM96">
        <v>11.258938929648117</v>
      </c>
      <c r="BN96">
        <v>20.62094013926373</v>
      </c>
      <c r="BO96">
        <v>8.4136940051344631</v>
      </c>
      <c r="BP96">
        <v>9.895310861085779</v>
      </c>
      <c r="BQ96">
        <v>1221.7543258509679</v>
      </c>
      <c r="BR96">
        <v>25.018737198766036</v>
      </c>
      <c r="BS96">
        <v>10.607075274154786</v>
      </c>
      <c r="BU96">
        <v>100</v>
      </c>
      <c r="BV96">
        <v>15.864398428106144</v>
      </c>
      <c r="BW96">
        <v>6.167646432368703</v>
      </c>
      <c r="BX96">
        <v>7.5074090855910249</v>
      </c>
      <c r="BY96">
        <v>898.00299831506902</v>
      </c>
      <c r="BZ96">
        <v>24.830616400340777</v>
      </c>
      <c r="CA96">
        <v>10.142492600344807</v>
      </c>
      <c r="CB96">
        <v>16.515039307532131</v>
      </c>
      <c r="CC96">
        <v>6.3164717349403894</v>
      </c>
      <c r="CD96">
        <v>7.8765160394347067</v>
      </c>
      <c r="CE96">
        <v>950.06160972350608</v>
      </c>
      <c r="CF96">
        <v>24.718961996452624</v>
      </c>
      <c r="CG96">
        <v>10.001193396295616</v>
      </c>
      <c r="CH96">
        <v>18.124982147553414</v>
      </c>
      <c r="CI96">
        <v>6.9528463595576007</v>
      </c>
      <c r="CJ96">
        <v>8.4109770705194684</v>
      </c>
      <c r="CK96">
        <v>1022.2534815348391</v>
      </c>
      <c r="CL96">
        <v>25.403252336830256</v>
      </c>
      <c r="CM96">
        <v>10.308214329434751</v>
      </c>
      <c r="CN96">
        <v>19.318605460051458</v>
      </c>
      <c r="CO96">
        <v>7.2462333571198894</v>
      </c>
      <c r="CP96">
        <v>9.0545297734845693</v>
      </c>
      <c r="CQ96">
        <v>1103.9575438031609</v>
      </c>
      <c r="CR96">
        <v>25.604837364280616</v>
      </c>
      <c r="CS96">
        <v>10.268303287871259</v>
      </c>
      <c r="CT96">
        <v>19.616110516266762</v>
      </c>
      <c r="CU96">
        <v>7.252393270551651</v>
      </c>
      <c r="CV96">
        <v>9.4413151319226589</v>
      </c>
      <c r="CW96">
        <v>1228.198822184723</v>
      </c>
      <c r="CX96">
        <v>24.069328388004109</v>
      </c>
      <c r="CY96">
        <v>9.605887217231194</v>
      </c>
      <c r="DA96">
        <v>100</v>
      </c>
      <c r="DB96">
        <v>13.435343424644804</v>
      </c>
      <c r="DC96">
        <v>5.5900860975787472</v>
      </c>
      <c r="DD96">
        <v>7.1147973478747319</v>
      </c>
      <c r="DE96">
        <v>903.02252073862735</v>
      </c>
      <c r="DF96">
        <v>22.002677140105238</v>
      </c>
      <c r="DG96">
        <v>9.4465290009939284</v>
      </c>
      <c r="DH96">
        <v>14.055549055155678</v>
      </c>
      <c r="DI96">
        <v>6.0619634013119361</v>
      </c>
      <c r="DJ96">
        <v>7.5001538070007818</v>
      </c>
      <c r="DK96">
        <v>952.1032338039995</v>
      </c>
      <c r="DL96">
        <v>22.082738327297523</v>
      </c>
      <c r="DM96">
        <v>9.7124358318437363</v>
      </c>
      <c r="DN96">
        <v>15.621561606388108</v>
      </c>
      <c r="DO96">
        <v>6.2539952412276216</v>
      </c>
      <c r="DP96">
        <v>8.0532409050194076</v>
      </c>
      <c r="DQ96">
        <v>1026.2236646873539</v>
      </c>
      <c r="DR96">
        <v>22.865524748560809</v>
      </c>
      <c r="DS96">
        <v>9.5873416360355108</v>
      </c>
      <c r="DT96">
        <v>16.800407619787485</v>
      </c>
      <c r="DU96">
        <v>6.5989978307197017</v>
      </c>
      <c r="DV96">
        <v>8.7926171301650182</v>
      </c>
      <c r="DW96">
        <v>1122.683000036689</v>
      </c>
      <c r="DX96">
        <v>22.934751416958488</v>
      </c>
      <c r="DY96">
        <v>9.5205283681634008</v>
      </c>
      <c r="DZ96">
        <v>17.089994488278005</v>
      </c>
      <c r="EA96">
        <v>6.7477446427292644</v>
      </c>
      <c r="EB96">
        <v>9.1946694688894368</v>
      </c>
      <c r="EC96">
        <v>1250.564965225341</v>
      </c>
      <c r="ED96">
        <v>21.618872670132408</v>
      </c>
      <c r="EE96">
        <v>9.0305510328967973</v>
      </c>
      <c r="EG96">
        <v>100</v>
      </c>
      <c r="EH96">
        <v>12.60063372278106</v>
      </c>
      <c r="EI96">
        <v>5.1559063013362341</v>
      </c>
      <c r="EJ96">
        <v>6.5443996026826454</v>
      </c>
      <c r="EK96">
        <v>904.89977283828034</v>
      </c>
      <c r="EL96">
        <v>21.034598353904073</v>
      </c>
      <c r="EM96">
        <v>8.9471219658627277</v>
      </c>
      <c r="EN96">
        <v>13.203841195886062</v>
      </c>
      <c r="EO96">
        <v>5.4567347728819664</v>
      </c>
      <c r="EP96">
        <v>6.9363883696008184</v>
      </c>
      <c r="EQ96">
        <v>953.54194697217667</v>
      </c>
      <c r="ER96">
        <v>21.156215284975307</v>
      </c>
      <c r="ES96">
        <v>9.063065303654076</v>
      </c>
      <c r="ET96">
        <v>14.376494115456918</v>
      </c>
      <c r="EU96">
        <v>5.660180118313658</v>
      </c>
      <c r="EV96">
        <v>7.4424923743285021</v>
      </c>
      <c r="EW96">
        <v>1028.4093592397394</v>
      </c>
      <c r="EX96">
        <v>21.606255244470603</v>
      </c>
      <c r="EY96">
        <v>8.9895542688005605</v>
      </c>
      <c r="EZ96">
        <v>15.158962730238697</v>
      </c>
      <c r="FA96">
        <v>6.0397915302896674</v>
      </c>
      <c r="FB96">
        <v>8.1250806795374952</v>
      </c>
      <c r="FC96">
        <v>1124.6294749103336</v>
      </c>
      <c r="FD96">
        <v>21.43551380623375</v>
      </c>
      <c r="FE96">
        <v>9.0068144894403233</v>
      </c>
      <c r="FF96">
        <v>15.333539491915465</v>
      </c>
      <c r="FG96">
        <v>6.1333132454182389</v>
      </c>
      <c r="FH96">
        <v>8.5009975253288541</v>
      </c>
      <c r="FI96">
        <v>1253.671504136609</v>
      </c>
      <c r="FJ96">
        <v>20.164253290563789</v>
      </c>
      <c r="FK96">
        <v>8.5180681748554612</v>
      </c>
    </row>
    <row r="97" spans="2:167" x14ac:dyDescent="0.25">
      <c r="B97">
        <v>682.42068491701309</v>
      </c>
      <c r="C97">
        <v>1.4653717598281868</v>
      </c>
      <c r="D97">
        <v>739.31634297045105</v>
      </c>
      <c r="E97">
        <v>1.3526009664309124</v>
      </c>
      <c r="F97">
        <v>830.25524971029461</v>
      </c>
      <c r="G97">
        <v>1.2044488732217415</v>
      </c>
      <c r="H97">
        <v>947.46401748390747</v>
      </c>
      <c r="I97">
        <v>1.0554490529947591</v>
      </c>
      <c r="J97">
        <v>1052.7556390226175</v>
      </c>
      <c r="K97">
        <v>0.94988804897630741</v>
      </c>
      <c r="L97">
        <v>784.8087432915147</v>
      </c>
      <c r="M97">
        <v>1.2741957942593323</v>
      </c>
      <c r="N97">
        <v>785.05542618380593</v>
      </c>
      <c r="O97">
        <v>1.2737954119507848</v>
      </c>
      <c r="Q97">
        <v>0.19501635566180239</v>
      </c>
      <c r="R97">
        <v>0.1956728203158698</v>
      </c>
      <c r="S97">
        <v>0.19551470301758506</v>
      </c>
      <c r="T97">
        <v>0.19666061318651532</v>
      </c>
      <c r="U97">
        <v>0.19707374514653733</v>
      </c>
      <c r="V97">
        <v>0.19564433014788746</v>
      </c>
      <c r="W97">
        <v>0.19544840336106672</v>
      </c>
      <c r="Y97">
        <v>2.1484110565629204</v>
      </c>
      <c r="Z97">
        <v>2.2011241309511336</v>
      </c>
      <c r="AA97">
        <v>2.2350219650841843</v>
      </c>
      <c r="AB97">
        <v>2.3656334777151455</v>
      </c>
      <c r="AC97">
        <v>2.4254629222631316</v>
      </c>
      <c r="AD97">
        <v>2.2198148449930306</v>
      </c>
      <c r="AE97">
        <v>2.2164540812024476</v>
      </c>
      <c r="AG97">
        <v>0.85777908578072459</v>
      </c>
      <c r="AH97">
        <v>0.88026887231651263</v>
      </c>
      <c r="AI97">
        <v>0.89925800703724657</v>
      </c>
      <c r="AJ97">
        <v>0.94536026199916046</v>
      </c>
      <c r="AK97">
        <v>0.97401006380377764</v>
      </c>
      <c r="AL97">
        <v>0.89022080763509148</v>
      </c>
      <c r="AM97">
        <v>0.88922064562885417</v>
      </c>
      <c r="AO97">
        <v>101</v>
      </c>
      <c r="AP97">
        <v>16.523749444923098</v>
      </c>
      <c r="AQ97">
        <v>7.2249649982573345</v>
      </c>
      <c r="AR97">
        <v>7.7468053062525319</v>
      </c>
      <c r="AS97">
        <v>892.7194207045402</v>
      </c>
      <c r="AT97">
        <v>25.652279757412025</v>
      </c>
      <c r="AU97">
        <v>11.35770354944612</v>
      </c>
      <c r="AV97">
        <v>17.340358792059902</v>
      </c>
      <c r="AW97">
        <v>7.4438496805538108</v>
      </c>
      <c r="AX97">
        <v>8.1490112745713521</v>
      </c>
      <c r="AY97">
        <v>943.65256011052657</v>
      </c>
      <c r="AZ97">
        <v>25.696460462032395</v>
      </c>
      <c r="BA97">
        <v>11.23411366781801</v>
      </c>
      <c r="BB97">
        <v>18.952300855783577</v>
      </c>
      <c r="BC97">
        <v>7.8636267135714402</v>
      </c>
      <c r="BD97">
        <v>8.7128493889038783</v>
      </c>
      <c r="BE97">
        <v>1017.0424377674113</v>
      </c>
      <c r="BF97">
        <v>26.262626727464994</v>
      </c>
      <c r="BG97">
        <v>11.218048857926265</v>
      </c>
      <c r="BH97">
        <v>20.182381971797643</v>
      </c>
      <c r="BI97">
        <v>8.3097207483126141</v>
      </c>
      <c r="BJ97">
        <v>9.3466587785097062</v>
      </c>
      <c r="BK97">
        <v>1097.9509106935548</v>
      </c>
      <c r="BL97">
        <v>26.445158402233215</v>
      </c>
      <c r="BM97">
        <v>11.253568547224642</v>
      </c>
      <c r="BN97">
        <v>20.664887954693818</v>
      </c>
      <c r="BO97">
        <v>8.4437501191078308</v>
      </c>
      <c r="BP97">
        <v>9.893706295799209</v>
      </c>
      <c r="BQ97">
        <v>1219.8652794285833</v>
      </c>
      <c r="BR97">
        <v>25.004266585904478</v>
      </c>
      <c r="BS97">
        <v>10.607354183910488</v>
      </c>
      <c r="BU97">
        <v>101</v>
      </c>
      <c r="BV97">
        <v>15.903156769397377</v>
      </c>
      <c r="BW97">
        <v>6.191244098594467</v>
      </c>
      <c r="BX97">
        <v>7.5079636942484296</v>
      </c>
      <c r="BY97">
        <v>897.43836439926747</v>
      </c>
      <c r="BZ97">
        <v>24.82587833669854</v>
      </c>
      <c r="CA97">
        <v>10.146124786661732</v>
      </c>
      <c r="CB97">
        <v>16.559591814834356</v>
      </c>
      <c r="CC97">
        <v>6.3435072918437836</v>
      </c>
      <c r="CD97">
        <v>7.8758728417427522</v>
      </c>
      <c r="CE97">
        <v>949.52895267373754</v>
      </c>
      <c r="CF97">
        <v>24.715163932040607</v>
      </c>
      <c r="CG97">
        <v>10.005758863641095</v>
      </c>
      <c r="CH97">
        <v>18.1587819212364</v>
      </c>
      <c r="CI97">
        <v>6.9790324294963133</v>
      </c>
      <c r="CJ97">
        <v>8.4099335159451538</v>
      </c>
      <c r="CK97">
        <v>1021.2926115725826</v>
      </c>
      <c r="CL97">
        <v>25.376358039664044</v>
      </c>
      <c r="CM97">
        <v>10.305212584646361</v>
      </c>
      <c r="CN97">
        <v>19.355718768558738</v>
      </c>
      <c r="CO97">
        <v>7.2761074099082954</v>
      </c>
      <c r="CP97">
        <v>9.0533153800117141</v>
      </c>
      <c r="CQ97">
        <v>1102.95150091455</v>
      </c>
      <c r="CR97">
        <v>25.575759699803719</v>
      </c>
      <c r="CS97">
        <v>10.26541283745032</v>
      </c>
      <c r="CT97">
        <v>19.655047825371678</v>
      </c>
      <c r="CU97">
        <v>7.2832541935405253</v>
      </c>
      <c r="CV97">
        <v>9.4397815108677925</v>
      </c>
      <c r="CW97">
        <v>1225.971394214936</v>
      </c>
      <c r="CX97">
        <v>24.056023375067848</v>
      </c>
      <c r="CY97">
        <v>9.6079298469516523</v>
      </c>
      <c r="DA97">
        <v>101</v>
      </c>
      <c r="DB97">
        <v>13.435509979966353</v>
      </c>
      <c r="DC97">
        <v>5.6133339414787633</v>
      </c>
      <c r="DD97">
        <v>7.114979654729666</v>
      </c>
      <c r="DE97">
        <v>903.91296131106606</v>
      </c>
      <c r="DF97">
        <v>21.91809356411358</v>
      </c>
      <c r="DG97">
        <v>9.4341068680419511</v>
      </c>
      <c r="DH97">
        <v>14.055271375836332</v>
      </c>
      <c r="DI97">
        <v>6.0909973285229349</v>
      </c>
      <c r="DJ97">
        <v>7.5000804595852122</v>
      </c>
      <c r="DK97">
        <v>953.01063388678483</v>
      </c>
      <c r="DL97">
        <v>21.997071742058473</v>
      </c>
      <c r="DM97">
        <v>9.704244047582069</v>
      </c>
      <c r="DN97">
        <v>15.621328291964778</v>
      </c>
      <c r="DO97">
        <v>6.282767660360002</v>
      </c>
      <c r="DP97">
        <v>8.0533990905102879</v>
      </c>
      <c r="DQ97">
        <v>1026.9111781021495</v>
      </c>
      <c r="DR97">
        <v>22.766558436402743</v>
      </c>
      <c r="DS97">
        <v>9.5708109073384353</v>
      </c>
      <c r="DT97">
        <v>16.799290650609613</v>
      </c>
      <c r="DU97">
        <v>6.6411071574089124</v>
      </c>
      <c r="DV97">
        <v>8.7922329810388309</v>
      </c>
      <c r="DW97">
        <v>1123.393081938643</v>
      </c>
      <c r="DX97">
        <v>22.834744883519157</v>
      </c>
      <c r="DY97">
        <v>9.5133683978460262</v>
      </c>
      <c r="DZ97">
        <v>17.089212109962148</v>
      </c>
      <c r="EA97">
        <v>6.7920721071972912</v>
      </c>
      <c r="EB97">
        <v>9.1940651003196958</v>
      </c>
      <c r="EC97">
        <v>1250.1407965476308</v>
      </c>
      <c r="ED97">
        <v>21.538502603345439</v>
      </c>
      <c r="EE97">
        <v>9.0292750183145554</v>
      </c>
      <c r="EG97">
        <v>101</v>
      </c>
      <c r="EH97">
        <v>12.60121051693501</v>
      </c>
      <c r="EI97">
        <v>5.1769211966943933</v>
      </c>
      <c r="EJ97">
        <v>6.5445310441856455</v>
      </c>
      <c r="EK97">
        <v>906.50465387188103</v>
      </c>
      <c r="EL97">
        <v>20.935082148493592</v>
      </c>
      <c r="EM97">
        <v>8.9257111886554643</v>
      </c>
      <c r="EN97">
        <v>13.203905778341577</v>
      </c>
      <c r="EO97">
        <v>5.4829932666658596</v>
      </c>
      <c r="EP97">
        <v>6.9363040764572261</v>
      </c>
      <c r="EQ97">
        <v>955.22549650395774</v>
      </c>
      <c r="ER97">
        <v>21.054795711238789</v>
      </c>
      <c r="ES97">
        <v>9.0452398317922942</v>
      </c>
      <c r="ET97">
        <v>14.388917357113986</v>
      </c>
      <c r="EU97">
        <v>5.686221466035061</v>
      </c>
      <c r="EV97">
        <v>7.442599699907916</v>
      </c>
      <c r="EW97">
        <v>1027.1323670085039</v>
      </c>
      <c r="EX97">
        <v>21.561799746325804</v>
      </c>
      <c r="EY97">
        <v>8.9879618308693026</v>
      </c>
      <c r="EZ97">
        <v>15.164098805034021</v>
      </c>
      <c r="FA97">
        <v>6.0780767963179265</v>
      </c>
      <c r="FB97">
        <v>8.1247156494168316</v>
      </c>
      <c r="FC97">
        <v>1124.5858661430268</v>
      </c>
      <c r="FD97">
        <v>21.35648624748864</v>
      </c>
      <c r="FE97">
        <v>9.0026223766316988</v>
      </c>
      <c r="FF97">
        <v>15.336135612633587</v>
      </c>
      <c r="FG97">
        <v>6.1735071499195548</v>
      </c>
      <c r="FH97">
        <v>8.5004314761218911</v>
      </c>
      <c r="FI97">
        <v>1252.7741347522422</v>
      </c>
      <c r="FJ97">
        <v>20.09387295391387</v>
      </c>
      <c r="FK97">
        <v>8.516539263061718</v>
      </c>
    </row>
    <row r="98" spans="2:167" x14ac:dyDescent="0.25">
      <c r="B98">
        <v>676.1093680787593</v>
      </c>
      <c r="C98">
        <v>1.4790506495149036</v>
      </c>
      <c r="D98">
        <v>732.51989560643688</v>
      </c>
      <c r="E98">
        <v>1.3651506341300428</v>
      </c>
      <c r="F98">
        <v>820.76576481055827</v>
      </c>
      <c r="G98">
        <v>1.2183744045791323</v>
      </c>
      <c r="H98">
        <v>936.92668555530884</v>
      </c>
      <c r="I98">
        <v>1.0673193702528689</v>
      </c>
      <c r="J98">
        <v>1040.6684486637612</v>
      </c>
      <c r="K98">
        <v>0.96092084014271761</v>
      </c>
      <c r="L98">
        <v>776.23639069879471</v>
      </c>
      <c r="M98">
        <v>1.2882673525519277</v>
      </c>
      <c r="N98">
        <v>777.38380988521271</v>
      </c>
      <c r="O98">
        <v>1.2863658688076594</v>
      </c>
      <c r="Q98">
        <v>0.19683522761109182</v>
      </c>
      <c r="R98">
        <v>0.19748883541249046</v>
      </c>
      <c r="S98">
        <v>0.19730774040559548</v>
      </c>
      <c r="T98">
        <v>0.19844818232424272</v>
      </c>
      <c r="U98">
        <v>0.19885389554567665</v>
      </c>
      <c r="V98">
        <v>0.19744222292218264</v>
      </c>
      <c r="W98">
        <v>0.19725967830800897</v>
      </c>
      <c r="Y98">
        <v>2.1487001848969949</v>
      </c>
      <c r="Z98">
        <v>2.2031087374854286</v>
      </c>
      <c r="AA98">
        <v>2.2353087338009168</v>
      </c>
      <c r="AB98">
        <v>2.3691363119651228</v>
      </c>
      <c r="AC98">
        <v>2.4295052139155953</v>
      </c>
      <c r="AD98">
        <v>2.2211354258490204</v>
      </c>
      <c r="AE98">
        <v>2.2174761785753425</v>
      </c>
      <c r="AG98">
        <v>0.85909986087898349</v>
      </c>
      <c r="AH98">
        <v>0.88226364018838133</v>
      </c>
      <c r="AI98">
        <v>0.90054606818975791</v>
      </c>
      <c r="AJ98">
        <v>0.94797481781335358</v>
      </c>
      <c r="AK98">
        <v>0.97682723682151262</v>
      </c>
      <c r="AL98">
        <v>0.89195875395508539</v>
      </c>
      <c r="AM98">
        <v>0.8907984336560878</v>
      </c>
      <c r="AO98">
        <v>102</v>
      </c>
      <c r="AP98">
        <v>16.566218986494846</v>
      </c>
      <c r="AQ98">
        <v>7.2453038899575937</v>
      </c>
      <c r="AR98">
        <v>7.7470200055875305</v>
      </c>
      <c r="AS98">
        <v>892.22443825783432</v>
      </c>
      <c r="AT98">
        <v>25.64801404286332</v>
      </c>
      <c r="AU98">
        <v>11.356592032070989</v>
      </c>
      <c r="AV98">
        <v>17.388040600043372</v>
      </c>
      <c r="AW98">
        <v>7.4681302389717752</v>
      </c>
      <c r="AX98">
        <v>8.1482269549002346</v>
      </c>
      <c r="AY98">
        <v>943.20973839992826</v>
      </c>
      <c r="AZ98">
        <v>25.691747570056435</v>
      </c>
      <c r="BA98">
        <v>11.234358617983359</v>
      </c>
      <c r="BB98">
        <v>18.988338050631814</v>
      </c>
      <c r="BC98">
        <v>7.8878382127341045</v>
      </c>
      <c r="BD98">
        <v>8.711726816414048</v>
      </c>
      <c r="BE98">
        <v>1016.0969143566355</v>
      </c>
      <c r="BF98">
        <v>26.23526651874591</v>
      </c>
      <c r="BG98">
        <v>11.212432840199376</v>
      </c>
      <c r="BH98">
        <v>20.221658928848711</v>
      </c>
      <c r="BI98">
        <v>8.3377614337288239</v>
      </c>
      <c r="BJ98">
        <v>9.345351702420734</v>
      </c>
      <c r="BK98">
        <v>1096.9325922416872</v>
      </c>
      <c r="BL98">
        <v>26.415754334969353</v>
      </c>
      <c r="BM98">
        <v>11.248555227242385</v>
      </c>
      <c r="BN98">
        <v>20.705201716123565</v>
      </c>
      <c r="BO98">
        <v>8.4725913883974826</v>
      </c>
      <c r="BP98">
        <v>9.8920415765858163</v>
      </c>
      <c r="BQ98">
        <v>1217.6366538446719</v>
      </c>
      <c r="BR98">
        <v>24.990384121862562</v>
      </c>
      <c r="BS98">
        <v>10.608062723499293</v>
      </c>
      <c r="BU98">
        <v>102</v>
      </c>
      <c r="BV98">
        <v>15.939458260299228</v>
      </c>
      <c r="BW98">
        <v>6.2140991737318432</v>
      </c>
      <c r="BX98">
        <v>7.5073460082212007</v>
      </c>
      <c r="BY98">
        <v>896.65569299538447</v>
      </c>
      <c r="BZ98">
        <v>24.822263851662989</v>
      </c>
      <c r="CA98">
        <v>10.150411469209324</v>
      </c>
      <c r="CB98">
        <v>16.601632716439564</v>
      </c>
      <c r="CC98">
        <v>6.3698369737560023</v>
      </c>
      <c r="CD98">
        <v>7.8751110007589133</v>
      </c>
      <c r="CE98">
        <v>948.76298992341458</v>
      </c>
      <c r="CF98">
        <v>24.712492867031767</v>
      </c>
      <c r="CG98">
        <v>10.010996728181805</v>
      </c>
      <c r="CH98">
        <v>18.189343872971968</v>
      </c>
      <c r="CI98">
        <v>7.0043079184336499</v>
      </c>
      <c r="CJ98">
        <v>8.4088534960822283</v>
      </c>
      <c r="CK98">
        <v>1020.0672552439806</v>
      </c>
      <c r="CL98">
        <v>25.349876732565978</v>
      </c>
      <c r="CM98">
        <v>10.302642363069966</v>
      </c>
      <c r="CN98">
        <v>19.389300319971699</v>
      </c>
      <c r="CO98">
        <v>7.3050639159914308</v>
      </c>
      <c r="CP98">
        <v>9.0520560057581925</v>
      </c>
      <c r="CQ98">
        <v>1101.6504230329867</v>
      </c>
      <c r="CR98">
        <v>25.547072538960748</v>
      </c>
      <c r="CS98">
        <v>10.26297370769206</v>
      </c>
      <c r="CT98">
        <v>19.69043554571617</v>
      </c>
      <c r="CU98">
        <v>7.3132279243842566</v>
      </c>
      <c r="CV98">
        <v>9.4381903955311497</v>
      </c>
      <c r="CW98">
        <v>1223.3943141549912</v>
      </c>
      <c r="CX98">
        <v>24.043304100483056</v>
      </c>
      <c r="CY98">
        <v>9.6104766863525803</v>
      </c>
      <c r="DA98">
        <v>102</v>
      </c>
      <c r="DB98">
        <v>13.435682207608393</v>
      </c>
      <c r="DC98">
        <v>5.6359454710601256</v>
      </c>
      <c r="DD98">
        <v>7.115168170349949</v>
      </c>
      <c r="DE98">
        <v>904.72950970293493</v>
      </c>
      <c r="DF98">
        <v>21.833319164555867</v>
      </c>
      <c r="DG98">
        <v>9.4207942109007305</v>
      </c>
      <c r="DH98">
        <v>14.054983823794721</v>
      </c>
      <c r="DI98">
        <v>6.1194040818402877</v>
      </c>
      <c r="DJ98">
        <v>7.5000045043461139</v>
      </c>
      <c r="DK98">
        <v>953.83396522155488</v>
      </c>
      <c r="DL98">
        <v>21.9112030923398</v>
      </c>
      <c r="DM98">
        <v>9.6952201674633738</v>
      </c>
      <c r="DN98">
        <v>15.621086824754816</v>
      </c>
      <c r="DO98">
        <v>6.3108410805583057</v>
      </c>
      <c r="DP98">
        <v>8.0535628035315163</v>
      </c>
      <c r="DQ98">
        <v>1027.5045602496052</v>
      </c>
      <c r="DR98">
        <v>22.666879576171318</v>
      </c>
      <c r="DS98">
        <v>9.5531656587463445</v>
      </c>
      <c r="DT98">
        <v>16.798132309218598</v>
      </c>
      <c r="DU98">
        <v>6.6827347410990132</v>
      </c>
      <c r="DV98">
        <v>8.7918346031408525</v>
      </c>
      <c r="DW98">
        <v>1123.9888791271867</v>
      </c>
      <c r="DX98">
        <v>22.734010748300243</v>
      </c>
      <c r="DY98">
        <v>9.5053254975790633</v>
      </c>
      <c r="DZ98">
        <v>17.08765975180339</v>
      </c>
      <c r="EA98">
        <v>6.8359361712074804</v>
      </c>
      <c r="EB98">
        <v>9.1934380744339688</v>
      </c>
      <c r="EC98">
        <v>1249.5145753131699</v>
      </c>
      <c r="ED98">
        <v>21.457665453320288</v>
      </c>
      <c r="EE98">
        <v>9.0275943987279224</v>
      </c>
      <c r="EG98">
        <v>102</v>
      </c>
      <c r="EH98">
        <v>12.601806954780127</v>
      </c>
      <c r="EI98">
        <v>5.197332999759138</v>
      </c>
      <c r="EJ98">
        <v>6.5446669621492237</v>
      </c>
      <c r="EK98">
        <v>908.05054562714656</v>
      </c>
      <c r="EL98">
        <v>20.8351539253152</v>
      </c>
      <c r="EM98">
        <v>8.9033128112442217</v>
      </c>
      <c r="EN98">
        <v>13.203972656987704</v>
      </c>
      <c r="EO98">
        <v>5.5086918440693049</v>
      </c>
      <c r="EP98">
        <v>6.9362167863212862</v>
      </c>
      <c r="EQ98">
        <v>956.84459083420279</v>
      </c>
      <c r="ER98">
        <v>20.952868160183993</v>
      </c>
      <c r="ES98">
        <v>9.0264585712155174</v>
      </c>
      <c r="ET98">
        <v>14.39860967075435</v>
      </c>
      <c r="EU98">
        <v>5.7116302171678086</v>
      </c>
      <c r="EV98">
        <v>7.4427107758021913</v>
      </c>
      <c r="EW98">
        <v>1025.5493656892593</v>
      </c>
      <c r="EX98">
        <v>21.518071889511312</v>
      </c>
      <c r="EY98">
        <v>8.9870958182465035</v>
      </c>
      <c r="EZ98">
        <v>15.16604987872312</v>
      </c>
      <c r="FA98">
        <v>6.1159114878607861</v>
      </c>
      <c r="FB98">
        <v>8.1243370986867749</v>
      </c>
      <c r="FC98">
        <v>1124.2302946408417</v>
      </c>
      <c r="FD98">
        <v>21.277395692484767</v>
      </c>
      <c r="FE98">
        <v>8.9990964900628594</v>
      </c>
      <c r="FF98">
        <v>15.335435732876558</v>
      </c>
      <c r="FG98">
        <v>6.2132761809833816</v>
      </c>
      <c r="FH98">
        <v>8.4998442061625781</v>
      </c>
      <c r="FI98">
        <v>1251.5539031570497</v>
      </c>
      <c r="FJ98">
        <v>20.022662750663955</v>
      </c>
      <c r="FK98">
        <v>8.515374978351721</v>
      </c>
    </row>
    <row r="99" spans="2:167" x14ac:dyDescent="0.25">
      <c r="B99">
        <v>669.59032328001797</v>
      </c>
      <c r="C99">
        <v>1.4934504953737318</v>
      </c>
      <c r="D99">
        <v>725.4902884679484</v>
      </c>
      <c r="E99">
        <v>1.3783782028450671</v>
      </c>
      <c r="F99">
        <v>810.95623606271784</v>
      </c>
      <c r="G99">
        <v>1.2331121650350831</v>
      </c>
      <c r="H99">
        <v>926.01350004416042</v>
      </c>
      <c r="I99">
        <v>1.0798978632085938</v>
      </c>
      <c r="J99">
        <v>1028.1452302362027</v>
      </c>
      <c r="K99">
        <v>0.97262523872261053</v>
      </c>
      <c r="L99">
        <v>767.3721660320299</v>
      </c>
      <c r="M99">
        <v>1.3031486471171543</v>
      </c>
      <c r="N99">
        <v>769.45229447911925</v>
      </c>
      <c r="O99">
        <v>1.299625730113587</v>
      </c>
      <c r="Q99">
        <v>0.19865231948017503</v>
      </c>
      <c r="R99">
        <v>0.19930284635209661</v>
      </c>
      <c r="S99">
        <v>0.19909819805062903</v>
      </c>
      <c r="T99">
        <v>0.20023274047559306</v>
      </c>
      <c r="U99">
        <v>0.20063073223032718</v>
      </c>
      <c r="V99">
        <v>0.19923763002352582</v>
      </c>
      <c r="W99">
        <v>0.19906886897631221</v>
      </c>
      <c r="Y99">
        <v>2.1486265223474006</v>
      </c>
      <c r="Z99">
        <v>2.2047096433477602</v>
      </c>
      <c r="AA99">
        <v>2.2351775407329044</v>
      </c>
      <c r="AB99">
        <v>2.3722418818351798</v>
      </c>
      <c r="AC99">
        <v>2.4331495441397477</v>
      </c>
      <c r="AD99">
        <v>2.2220527438584043</v>
      </c>
      <c r="AE99">
        <v>2.2180838711470061</v>
      </c>
      <c r="AG99">
        <v>0.86030123808781145</v>
      </c>
      <c r="AH99">
        <v>0.88414926808607364</v>
      </c>
      <c r="AI99">
        <v>0.90170171778422048</v>
      </c>
      <c r="AJ99">
        <v>0.95047528362680445</v>
      </c>
      <c r="AK99">
        <v>0.9795284656905312</v>
      </c>
      <c r="AL99">
        <v>0.89357956220790824</v>
      </c>
      <c r="AM99">
        <v>0.8922531359163568</v>
      </c>
      <c r="AO99">
        <v>103</v>
      </c>
      <c r="AP99">
        <v>16.606284885158541</v>
      </c>
      <c r="AQ99">
        <v>7.2645791033408456</v>
      </c>
      <c r="AR99">
        <v>7.746368176710769</v>
      </c>
      <c r="AS99">
        <v>891.52078693442741</v>
      </c>
      <c r="AT99">
        <v>25.644872448238978</v>
      </c>
      <c r="AU99">
        <v>11.35594898882913</v>
      </c>
      <c r="AV99">
        <v>17.433207367597149</v>
      </c>
      <c r="AW99">
        <v>7.4913748707295476</v>
      </c>
      <c r="AX99">
        <v>8.1474157282602491</v>
      </c>
      <c r="AY99">
        <v>942.54290565419058</v>
      </c>
      <c r="AZ99">
        <v>25.688155390906804</v>
      </c>
      <c r="BA99">
        <v>11.235118405863989</v>
      </c>
      <c r="BB99">
        <v>19.021126195821935</v>
      </c>
      <c r="BC99">
        <v>7.9108895084843489</v>
      </c>
      <c r="BD99">
        <v>8.7105663838693026</v>
      </c>
      <c r="BE99">
        <v>1014.8951273062839</v>
      </c>
      <c r="BF99">
        <v>26.208324929285801</v>
      </c>
      <c r="BG99">
        <v>11.207146244537656</v>
      </c>
      <c r="BH99">
        <v>20.257387669868471</v>
      </c>
      <c r="BI99">
        <v>8.3645957403007003</v>
      </c>
      <c r="BJ99">
        <v>9.3439980045460906</v>
      </c>
      <c r="BK99">
        <v>1095.6279100323666</v>
      </c>
      <c r="BL99">
        <v>26.386748228627233</v>
      </c>
      <c r="BM99">
        <v>11.243905234100287</v>
      </c>
      <c r="BN99">
        <v>20.741881640883886</v>
      </c>
      <c r="BO99">
        <v>8.5002178859967472</v>
      </c>
      <c r="BP99">
        <v>9.8903168050126915</v>
      </c>
      <c r="BQ99">
        <v>1215.0678160088426</v>
      </c>
      <c r="BR99">
        <v>24.977100267455445</v>
      </c>
      <c r="BS99">
        <v>10.609212030702523</v>
      </c>
      <c r="BU99">
        <v>103</v>
      </c>
      <c r="BV99">
        <v>15.973302923107275</v>
      </c>
      <c r="BW99">
        <v>6.2362116626593629</v>
      </c>
      <c r="BX99">
        <v>7.5067079919424655</v>
      </c>
      <c r="BY99">
        <v>895.65505715559118</v>
      </c>
      <c r="BZ99">
        <v>24.819772663857158</v>
      </c>
      <c r="CA99">
        <v>10.155357317037508</v>
      </c>
      <c r="CB99">
        <v>16.641162047408468</v>
      </c>
      <c r="CC99">
        <v>6.3954607884998556</v>
      </c>
      <c r="CD99">
        <v>7.8743230239628685</v>
      </c>
      <c r="CE99">
        <v>947.76380255849494</v>
      </c>
      <c r="CF99">
        <v>24.710949331078204</v>
      </c>
      <c r="CG99">
        <v>10.016912483652581</v>
      </c>
      <c r="CH99">
        <v>18.216668090395089</v>
      </c>
      <c r="CI99">
        <v>7.0286728479746401</v>
      </c>
      <c r="CJ99">
        <v>8.4077370513009217</v>
      </c>
      <c r="CK99">
        <v>1018.5767648151474</v>
      </c>
      <c r="CL99">
        <v>25.323808721325285</v>
      </c>
      <c r="CM99">
        <v>10.300511278582476</v>
      </c>
      <c r="CN99">
        <v>19.419350250669613</v>
      </c>
      <c r="CO99">
        <v>7.3331029087243609</v>
      </c>
      <c r="CP99">
        <v>9.0507517111844074</v>
      </c>
      <c r="CQ99">
        <v>1100.0536158425141</v>
      </c>
      <c r="CR99">
        <v>25.518774713160067</v>
      </c>
      <c r="CS99">
        <v>10.260994008021978</v>
      </c>
      <c r="CT99">
        <v>19.722273889391058</v>
      </c>
      <c r="CU99">
        <v>7.3423145161164909</v>
      </c>
      <c r="CV99">
        <v>9.4365418829891414</v>
      </c>
      <c r="CW99">
        <v>1220.466968643578</v>
      </c>
      <c r="CX99">
        <v>24.031181239845072</v>
      </c>
      <c r="CY99">
        <v>9.6135405736381472</v>
      </c>
      <c r="DA99">
        <v>103</v>
      </c>
      <c r="DB99">
        <v>13.435860103876765</v>
      </c>
      <c r="DC99">
        <v>5.657920691844863</v>
      </c>
      <c r="DD99">
        <v>7.1153628906920545</v>
      </c>
      <c r="DE99">
        <v>905.47138034252373</v>
      </c>
      <c r="DF99">
        <v>21.748353964711647</v>
      </c>
      <c r="DG99">
        <v>9.4065989851498077</v>
      </c>
      <c r="DH99">
        <v>14.054686406956758</v>
      </c>
      <c r="DI99">
        <v>6.1471836694082933</v>
      </c>
      <c r="DJ99">
        <v>7.4999259433770709</v>
      </c>
      <c r="DK99">
        <v>954.57233189046065</v>
      </c>
      <c r="DL99">
        <v>21.825132539869152</v>
      </c>
      <c r="DM99">
        <v>9.6853738972308658</v>
      </c>
      <c r="DN99">
        <v>15.620837213784061</v>
      </c>
      <c r="DO99">
        <v>6.3382155182504585</v>
      </c>
      <c r="DP99">
        <v>8.0537320379636377</v>
      </c>
      <c r="DQ99">
        <v>1028.0027538824399</v>
      </c>
      <c r="DR99">
        <v>22.566488461184623</v>
      </c>
      <c r="DS99">
        <v>9.5344142681909219</v>
      </c>
      <c r="DT99">
        <v>16.796932651224427</v>
      </c>
      <c r="DU99">
        <v>6.7238805986431753</v>
      </c>
      <c r="DV99">
        <v>8.7914220155965275</v>
      </c>
      <c r="DW99">
        <v>1124.4691089529356</v>
      </c>
      <c r="DX99">
        <v>22.632549523156577</v>
      </c>
      <c r="DY99">
        <v>9.4964113869923157</v>
      </c>
      <c r="DZ99">
        <v>17.086051394548914</v>
      </c>
      <c r="EA99">
        <v>6.8793368629183522</v>
      </c>
      <c r="EB99">
        <v>9.1927884294880737</v>
      </c>
      <c r="EC99">
        <v>1248.716111463028</v>
      </c>
      <c r="ED99">
        <v>21.376388260580491</v>
      </c>
      <c r="EE99">
        <v>9.0252948329767246</v>
      </c>
      <c r="EG99">
        <v>103</v>
      </c>
      <c r="EH99">
        <v>12.602423023523247</v>
      </c>
      <c r="EI99">
        <v>5.2171417158179141</v>
      </c>
      <c r="EJ99">
        <v>6.5448073536580358</v>
      </c>
      <c r="EK99">
        <v>909.53673972640411</v>
      </c>
      <c r="EL99">
        <v>20.734813867908947</v>
      </c>
      <c r="EM99">
        <v>8.8799350687194263</v>
      </c>
      <c r="EN99">
        <v>13.204041829981042</v>
      </c>
      <c r="EO99">
        <v>5.5338305123227549</v>
      </c>
      <c r="EP99">
        <v>6.936126501599011</v>
      </c>
      <c r="EQ99">
        <v>958.3984788390718</v>
      </c>
      <c r="ER99">
        <v>20.8504328070631</v>
      </c>
      <c r="ES99">
        <v>9.0067304777875865</v>
      </c>
      <c r="ET99">
        <v>14.405571114789655</v>
      </c>
      <c r="EU99">
        <v>5.7364063865790769</v>
      </c>
      <c r="EV99">
        <v>7.4428255978594038</v>
      </c>
      <c r="EW99">
        <v>1023.6587991716301</v>
      </c>
      <c r="EX99">
        <v>21.475071774256222</v>
      </c>
      <c r="EY99">
        <v>8.9869739801283899</v>
      </c>
      <c r="EZ99">
        <v>15.164816009491418</v>
      </c>
      <c r="FA99">
        <v>6.1532956207118072</v>
      </c>
      <c r="FB99">
        <v>8.1239450455208999</v>
      </c>
      <c r="FC99">
        <v>1123.5594965472353</v>
      </c>
      <c r="FD99">
        <v>21.198242039782134</v>
      </c>
      <c r="FE99">
        <v>8.9962625955388855</v>
      </c>
      <c r="FF99">
        <v>15.334020461884084</v>
      </c>
      <c r="FG99">
        <v>6.2526203643940557</v>
      </c>
      <c r="FH99">
        <v>8.4992357512811658</v>
      </c>
      <c r="FI99">
        <v>1250.1224043158584</v>
      </c>
      <c r="FJ99">
        <v>19.950853938067269</v>
      </c>
      <c r="FK99">
        <v>8.5138179536446401</v>
      </c>
    </row>
    <row r="100" spans="2:167" x14ac:dyDescent="0.25">
      <c r="B100">
        <v>662.86369030341541</v>
      </c>
      <c r="C100">
        <v>1.5086057882311608</v>
      </c>
      <c r="D100">
        <v>718.22771523585823</v>
      </c>
      <c r="E100">
        <v>1.392316084142772</v>
      </c>
      <c r="F100">
        <v>800.82702993292423</v>
      </c>
      <c r="G100">
        <v>1.2487091002457273</v>
      </c>
      <c r="H100">
        <v>914.72498451673687</v>
      </c>
      <c r="I100">
        <v>1.0932247581805314</v>
      </c>
      <c r="J100">
        <v>1015.1867471471627</v>
      </c>
      <c r="K100">
        <v>0.98504043990936652</v>
      </c>
      <c r="L100">
        <v>758.21641990516241</v>
      </c>
      <c r="M100">
        <v>1.3188846531773604</v>
      </c>
      <c r="N100">
        <v>761.26110803628205</v>
      </c>
      <c r="O100">
        <v>1.3136097318560762</v>
      </c>
      <c r="Q100">
        <v>0.20046763246688934</v>
      </c>
      <c r="R100">
        <v>0.20111485479949889</v>
      </c>
      <c r="S100">
        <v>0.20088607890661997</v>
      </c>
      <c r="T100">
        <v>0.2020142918348882</v>
      </c>
      <c r="U100">
        <v>0.20240426100221084</v>
      </c>
      <c r="V100">
        <v>0.20103055443785398</v>
      </c>
      <c r="W100">
        <v>0.20087597719500547</v>
      </c>
      <c r="Y100">
        <v>2.1485505141359926</v>
      </c>
      <c r="Z100">
        <v>2.2059268513584067</v>
      </c>
      <c r="AA100">
        <v>2.2350420722855548</v>
      </c>
      <c r="AB100">
        <v>2.3749501953916092</v>
      </c>
      <c r="AC100">
        <v>2.4363959258737218</v>
      </c>
      <c r="AD100">
        <v>2.22256680548699</v>
      </c>
      <c r="AE100">
        <v>2.2182771623301942</v>
      </c>
      <c r="AG100">
        <v>0.86138321773981497</v>
      </c>
      <c r="AH100">
        <v>0.88592575651637895</v>
      </c>
      <c r="AI100">
        <v>0.90272495707396583</v>
      </c>
      <c r="AJ100">
        <v>0.95286166096179403</v>
      </c>
      <c r="AK100">
        <v>0.98211375329357409</v>
      </c>
      <c r="AL100">
        <v>0.89508323396902689</v>
      </c>
      <c r="AM100">
        <v>0.89358475323584652</v>
      </c>
      <c r="AO100">
        <v>104</v>
      </c>
      <c r="AP100">
        <v>16.643947162413859</v>
      </c>
      <c r="AQ100">
        <v>7.2827906491387751</v>
      </c>
      <c r="AR100">
        <v>7.7456955914236767</v>
      </c>
      <c r="AS100">
        <v>890.60851458723255</v>
      </c>
      <c r="AT100">
        <v>25.642855542643794</v>
      </c>
      <c r="AU100">
        <v>11.35577515028228</v>
      </c>
      <c r="AV100">
        <v>17.475859130245087</v>
      </c>
      <c r="AW100">
        <v>7.5135835903793504</v>
      </c>
      <c r="AX100">
        <v>8.1465776170024427</v>
      </c>
      <c r="AY100">
        <v>941.65211754978009</v>
      </c>
      <c r="AZ100">
        <v>25.685684182757985</v>
      </c>
      <c r="BA100">
        <v>11.236394896902819</v>
      </c>
      <c r="BB100">
        <v>19.050665381469972</v>
      </c>
      <c r="BC100">
        <v>7.9327806309348992</v>
      </c>
      <c r="BD100">
        <v>8.7093681346212914</v>
      </c>
      <c r="BE100">
        <v>1013.4364481712229</v>
      </c>
      <c r="BF100">
        <v>26.181802713967805</v>
      </c>
      <c r="BG100">
        <v>11.202194753060017</v>
      </c>
      <c r="BH100">
        <v>20.289568336146541</v>
      </c>
      <c r="BI100">
        <v>8.3902237150329757</v>
      </c>
      <c r="BJ100">
        <v>9.3425977498302029</v>
      </c>
      <c r="BK100">
        <v>1094.0361949649784</v>
      </c>
      <c r="BL100">
        <v>26.358139451130349</v>
      </c>
      <c r="BM100">
        <v>11.239625176939718</v>
      </c>
      <c r="BN100">
        <v>20.774927953952957</v>
      </c>
      <c r="BO100">
        <v>8.5266296874673806</v>
      </c>
      <c r="BP100">
        <v>9.8885320862207884</v>
      </c>
      <c r="BQ100">
        <v>1212.1581702791029</v>
      </c>
      <c r="BR100">
        <v>24.964425981081661</v>
      </c>
      <c r="BS100">
        <v>10.610813841396482</v>
      </c>
      <c r="BU100">
        <v>104</v>
      </c>
      <c r="BV100">
        <v>16.004690780843323</v>
      </c>
      <c r="BW100">
        <v>6.2575815704144668</v>
      </c>
      <c r="BX100">
        <v>7.5060496590926933</v>
      </c>
      <c r="BY100">
        <v>894.43659111177078</v>
      </c>
      <c r="BZ100">
        <v>24.818404483481675</v>
      </c>
      <c r="CA100">
        <v>10.160967306311267</v>
      </c>
      <c r="CB100">
        <v>16.678179843989835</v>
      </c>
      <c r="CC100">
        <v>6.4203787441632381</v>
      </c>
      <c r="CD100">
        <v>7.8735089330650814</v>
      </c>
      <c r="CE100">
        <v>946.53153743209407</v>
      </c>
      <c r="CF100">
        <v>24.710533870438194</v>
      </c>
      <c r="CG100">
        <v>10.023511977020233</v>
      </c>
      <c r="CH100">
        <v>18.24075466404549</v>
      </c>
      <c r="CI100">
        <v>7.0521272404404467</v>
      </c>
      <c r="CJ100">
        <v>8.4065842233095793</v>
      </c>
      <c r="CK100">
        <v>1016.8205198714745</v>
      </c>
      <c r="CL100">
        <v>25.298154324216618</v>
      </c>
      <c r="CM100">
        <v>10.29882744015892</v>
      </c>
      <c r="CN100">
        <v>19.445868701799952</v>
      </c>
      <c r="CO100">
        <v>7.3602244226283453</v>
      </c>
      <c r="CP100">
        <v>9.0494025588646316</v>
      </c>
      <c r="CQ100">
        <v>1098.1604175613063</v>
      </c>
      <c r="CR100">
        <v>25.490865004303064</v>
      </c>
      <c r="CS100">
        <v>10.259482393316274</v>
      </c>
      <c r="CT100">
        <v>19.750563075950001</v>
      </c>
      <c r="CU100">
        <v>7.3705140236369706</v>
      </c>
      <c r="CV100">
        <v>9.4348360737340169</v>
      </c>
      <c r="CW100">
        <v>1217.1887842662507</v>
      </c>
      <c r="CX100">
        <v>24.01966598707817</v>
      </c>
      <c r="CY100">
        <v>9.6171351384785346</v>
      </c>
      <c r="DA100">
        <v>104</v>
      </c>
      <c r="DB100">
        <v>13.436043664956982</v>
      </c>
      <c r="DC100">
        <v>5.679259609534876</v>
      </c>
      <c r="DD100">
        <v>7.1155638115807527</v>
      </c>
      <c r="DE100">
        <v>906.13777334238569</v>
      </c>
      <c r="DF100">
        <v>21.663197986709388</v>
      </c>
      <c r="DG100">
        <v>9.391528804262844</v>
      </c>
      <c r="DH100">
        <v>14.054379133516919</v>
      </c>
      <c r="DI100">
        <v>6.174336099647225</v>
      </c>
      <c r="DJ100">
        <v>7.4998447788426059</v>
      </c>
      <c r="DK100">
        <v>955.22482217484765</v>
      </c>
      <c r="DL100">
        <v>21.738860237532428</v>
      </c>
      <c r="DM100">
        <v>9.6747146253181793</v>
      </c>
      <c r="DN100">
        <v>15.620579468377525</v>
      </c>
      <c r="DO100">
        <v>6.3648909904089059</v>
      </c>
      <c r="DP100">
        <v>8.0539067874843617</v>
      </c>
      <c r="DQ100">
        <v>1028.4046700146605</v>
      </c>
      <c r="DR100">
        <v>22.465385377665985</v>
      </c>
      <c r="DS100">
        <v>9.514564749689411</v>
      </c>
      <c r="DT100">
        <v>16.795691734181371</v>
      </c>
      <c r="DU100">
        <v>6.7645447474838125</v>
      </c>
      <c r="DV100">
        <v>8.7909952381999741</v>
      </c>
      <c r="DW100">
        <v>1124.8324514809367</v>
      </c>
      <c r="DX100">
        <v>22.530361705105257</v>
      </c>
      <c r="DY100">
        <v>9.4866375697228751</v>
      </c>
      <c r="DZ100">
        <v>17.084387136243123</v>
      </c>
      <c r="EA100">
        <v>6.9222742114792499</v>
      </c>
      <c r="EB100">
        <v>9.1921162050839431</v>
      </c>
      <c r="EC100">
        <v>1247.7438299778896</v>
      </c>
      <c r="ED100">
        <v>21.294669196686829</v>
      </c>
      <c r="EE100">
        <v>9.0223882055747726</v>
      </c>
      <c r="EG100">
        <v>104</v>
      </c>
      <c r="EH100">
        <v>12.603058709954507</v>
      </c>
      <c r="EI100">
        <v>5.2363473503303917</v>
      </c>
      <c r="EJ100">
        <v>6.5449522157017812</v>
      </c>
      <c r="EK100">
        <v>910.96250895672415</v>
      </c>
      <c r="EL100">
        <v>20.63406215660471</v>
      </c>
      <c r="EM100">
        <v>8.8555858890504116</v>
      </c>
      <c r="EN100">
        <v>13.204113295415725</v>
      </c>
      <c r="EO100">
        <v>5.558409278901661</v>
      </c>
      <c r="EP100">
        <v>6.9360332247779377</v>
      </c>
      <c r="EQ100">
        <v>959.88638794597261</v>
      </c>
      <c r="ER100">
        <v>20.747489824494227</v>
      </c>
      <c r="ES100">
        <v>8.9860642312826382</v>
      </c>
      <c r="ET100">
        <v>14.409801749567661</v>
      </c>
      <c r="EU100">
        <v>5.7605499896288226</v>
      </c>
      <c r="EV100">
        <v>7.4429441617900123</v>
      </c>
      <c r="EW100">
        <v>1021.4591664542363</v>
      </c>
      <c r="EX100">
        <v>21.432799505100675</v>
      </c>
      <c r="EY100">
        <v>8.9876150926574336</v>
      </c>
      <c r="EZ100">
        <v>15.163517622688753</v>
      </c>
      <c r="FA100">
        <v>6.1902292112167476</v>
      </c>
      <c r="FB100">
        <v>8.1235395087281788</v>
      </c>
      <c r="FC100">
        <v>1122.7180733078958</v>
      </c>
      <c r="FD100">
        <v>21.119022167473993</v>
      </c>
      <c r="FE100">
        <v>8.9929631468812889</v>
      </c>
      <c r="FF100">
        <v>15.33255600086486</v>
      </c>
      <c r="FG100">
        <v>6.2915397268431947</v>
      </c>
      <c r="FH100">
        <v>8.4986061485686637</v>
      </c>
      <c r="FI100">
        <v>1248.5076552583905</v>
      </c>
      <c r="FJ100">
        <v>19.878501234396946</v>
      </c>
      <c r="FK100">
        <v>8.5116776703590311</v>
      </c>
    </row>
    <row r="101" spans="2:167" x14ac:dyDescent="0.25">
      <c r="B101">
        <v>655.92961333352628</v>
      </c>
      <c r="C101">
        <v>1.524553823569361</v>
      </c>
      <c r="D101">
        <v>710.73237592547753</v>
      </c>
      <c r="E101">
        <v>1.4069993627317929</v>
      </c>
      <c r="F101">
        <v>790.37852461047021</v>
      </c>
      <c r="G101">
        <v>1.2652165625234308</v>
      </c>
      <c r="H101">
        <v>903.06168016379559</v>
      </c>
      <c r="I101">
        <v>1.1073440740156553</v>
      </c>
      <c r="J101">
        <v>1001.7937886371957</v>
      </c>
      <c r="K101">
        <v>0.99820942327898055</v>
      </c>
      <c r="L101">
        <v>748.76951424261756</v>
      </c>
      <c r="M101">
        <v>1.3355244584329835</v>
      </c>
      <c r="N101">
        <v>752.81048598953782</v>
      </c>
      <c r="O101">
        <v>1.3283555670528977</v>
      </c>
      <c r="Q101">
        <v>0.2022811678067935</v>
      </c>
      <c r="R101">
        <v>0.20292486247395652</v>
      </c>
      <c r="S101">
        <v>0.20267138602199797</v>
      </c>
      <c r="T101">
        <v>0.20379284073764095</v>
      </c>
      <c r="U101">
        <v>0.20417448785937692</v>
      </c>
      <c r="V101">
        <v>0.20282099924742755</v>
      </c>
      <c r="W101">
        <v>0.20268100485215848</v>
      </c>
      <c r="Y101">
        <v>2.1484721618919975</v>
      </c>
      <c r="Z101">
        <v>2.2067603644298837</v>
      </c>
      <c r="AA101">
        <v>2.2349023335167888</v>
      </c>
      <c r="AB101">
        <v>2.3772612609722397</v>
      </c>
      <c r="AC101">
        <v>2.439244372493472</v>
      </c>
      <c r="AD101">
        <v>2.2226776174091669</v>
      </c>
      <c r="AE101">
        <v>2.2181507106758387</v>
      </c>
      <c r="AG101">
        <v>0.86234580017807572</v>
      </c>
      <c r="AH101">
        <v>0.88759310600266239</v>
      </c>
      <c r="AI101">
        <v>0.90361578735241999</v>
      </c>
      <c r="AJ101">
        <v>0.95513395139184576</v>
      </c>
      <c r="AK101">
        <v>0.98458310261093207</v>
      </c>
      <c r="AL101">
        <v>0.89646977086473123</v>
      </c>
      <c r="AM101">
        <v>0.89479328646741263</v>
      </c>
      <c r="AO101">
        <v>105</v>
      </c>
      <c r="AP101">
        <v>16.679205840437525</v>
      </c>
      <c r="AQ101">
        <v>7.2999385384210189</v>
      </c>
      <c r="AR101">
        <v>7.7450022641430394</v>
      </c>
      <c r="AS101">
        <v>889.48772509202661</v>
      </c>
      <c r="AT101">
        <v>25.641963912505094</v>
      </c>
      <c r="AU101">
        <v>11.356071216291131</v>
      </c>
      <c r="AV101">
        <v>17.515995924672875</v>
      </c>
      <c r="AW101">
        <v>7.5347564129493403</v>
      </c>
      <c r="AX101">
        <v>8.145712644208869</v>
      </c>
      <c r="AY101">
        <v>940.53749051905027</v>
      </c>
      <c r="AZ101">
        <v>25.684334211908002</v>
      </c>
      <c r="BA101">
        <v>11.238190004000698</v>
      </c>
      <c r="BB101">
        <v>19.076955700574775</v>
      </c>
      <c r="BC101">
        <v>7.9535116111617796</v>
      </c>
      <c r="BD101">
        <v>8.7081321134084693</v>
      </c>
      <c r="BE101">
        <v>1011.7202739013493</v>
      </c>
      <c r="BF101">
        <v>26.155700658732957</v>
      </c>
      <c r="BG101">
        <v>11.197584344954466</v>
      </c>
      <c r="BH101">
        <v>20.318201073728662</v>
      </c>
      <c r="BI101">
        <v>8.4146454065126779</v>
      </c>
      <c r="BJ101">
        <v>9.3411510054036775</v>
      </c>
      <c r="BK101">
        <v>1092.1568084158814</v>
      </c>
      <c r="BL101">
        <v>26.329927343390274</v>
      </c>
      <c r="BM101">
        <v>11.235722029193669</v>
      </c>
      <c r="BN101">
        <v>20.804340887922123</v>
      </c>
      <c r="BO101">
        <v>8.5518268709281138</v>
      </c>
      <c r="BP101">
        <v>9.886687528908972</v>
      </c>
      <c r="BQ101">
        <v>1208.907158704003</v>
      </c>
      <c r="BR101">
        <v>24.952372753989049</v>
      </c>
      <c r="BS101">
        <v>10.612880528441506</v>
      </c>
      <c r="BU101">
        <v>105</v>
      </c>
      <c r="BV101">
        <v>16.033621857254182</v>
      </c>
      <c r="BW101">
        <v>6.2782089021932315</v>
      </c>
      <c r="BX101">
        <v>7.5053710237831694</v>
      </c>
      <c r="BY101">
        <v>893.00049023831184</v>
      </c>
      <c r="BZ101">
        <v>24.818159011680041</v>
      </c>
      <c r="CA101">
        <v>10.167246731870303</v>
      </c>
      <c r="CB101">
        <v>16.71268614361793</v>
      </c>
      <c r="CC101">
        <v>6.4445908490985477</v>
      </c>
      <c r="CD101">
        <v>7.8726687504860688</v>
      </c>
      <c r="CE101">
        <v>945.0664071216778</v>
      </c>
      <c r="CF101">
        <v>24.71124704918094</v>
      </c>
      <c r="CG101">
        <v>10.030801422050519</v>
      </c>
      <c r="CH101">
        <v>18.261603687359226</v>
      </c>
      <c r="CI101">
        <v>7.0746711188662736</v>
      </c>
      <c r="CJ101">
        <v>8.4053950551507857</v>
      </c>
      <c r="CK101">
        <v>1014.7979275479495</v>
      </c>
      <c r="CL101">
        <v>25.272913872902677</v>
      </c>
      <c r="CM101">
        <v>10.297599477233383</v>
      </c>
      <c r="CN101">
        <v>19.468855819261581</v>
      </c>
      <c r="CO101">
        <v>7.386428493386715</v>
      </c>
      <c r="CP101">
        <v>9.048008613479535</v>
      </c>
      <c r="CQ101">
        <v>1095.9701991957611</v>
      </c>
      <c r="CR101">
        <v>25.463342141228566</v>
      </c>
      <c r="CS101">
        <v>10.25844809172407</v>
      </c>
      <c r="CT101">
        <v>19.775303332376271</v>
      </c>
      <c r="CU101">
        <v>7.3978265037032198</v>
      </c>
      <c r="CV101">
        <v>9.4330730716586331</v>
      </c>
      <c r="CW101">
        <v>1213.5592278053093</v>
      </c>
      <c r="CX101">
        <v>24.00877009199959</v>
      </c>
      <c r="CY101">
        <v>9.6212748505024219</v>
      </c>
      <c r="DA101">
        <v>105</v>
      </c>
      <c r="DB101">
        <v>13.436232886914436</v>
      </c>
      <c r="DC101">
        <v>5.6999622300116197</v>
      </c>
      <c r="DD101">
        <v>7.1157709287093276</v>
      </c>
      <c r="DE101">
        <v>906.72787414469349</v>
      </c>
      <c r="DF101">
        <v>21.577851251521942</v>
      </c>
      <c r="DG101">
        <v>9.3755909420689711</v>
      </c>
      <c r="DH101">
        <v>14.054062011937685</v>
      </c>
      <c r="DI101">
        <v>6.2008613812527429</v>
      </c>
      <c r="DJ101">
        <v>7.4997610129780368</v>
      </c>
      <c r="DK101">
        <v>955.79050815981134</v>
      </c>
      <c r="DL101">
        <v>21.65238632933259</v>
      </c>
      <c r="DM101">
        <v>9.6632514277890262</v>
      </c>
      <c r="DN101">
        <v>15.620313598158525</v>
      </c>
      <c r="DO101">
        <v>6.3908675145490434</v>
      </c>
      <c r="DP101">
        <v>8.0540870455691511</v>
      </c>
      <c r="DQ101">
        <v>1028.7091868650289</v>
      </c>
      <c r="DR101">
        <v>22.3635706046603</v>
      </c>
      <c r="DS101">
        <v>9.4936247567306129</v>
      </c>
      <c r="DT101">
        <v>16.794409617581117</v>
      </c>
      <c r="DU101">
        <v>6.8047272056504822</v>
      </c>
      <c r="DV101">
        <v>8.7905542914116328</v>
      </c>
      <c r="DW101">
        <v>1125.0775482298839</v>
      </c>
      <c r="DX101">
        <v>22.427447776138461</v>
      </c>
      <c r="DY101">
        <v>9.4760153445099125</v>
      </c>
      <c r="DZ101">
        <v>17.082667078248203</v>
      </c>
      <c r="EA101">
        <v>6.9647482470259092</v>
      </c>
      <c r="EB101">
        <v>9.1914214421636196</v>
      </c>
      <c r="EC101">
        <v>1246.5961118333219</v>
      </c>
      <c r="ED101">
        <v>21.212506591557396</v>
      </c>
      <c r="EE101">
        <v>9.0188863214618351</v>
      </c>
      <c r="EG101">
        <v>105</v>
      </c>
      <c r="EH101">
        <v>12.603714000448042</v>
      </c>
      <c r="EI101">
        <v>5.2549499089281735</v>
      </c>
      <c r="EJ101">
        <v>6.545101545175358</v>
      </c>
      <c r="EK101">
        <v>912.32710666561718</v>
      </c>
      <c r="EL101">
        <v>20.532898968552036</v>
      </c>
      <c r="EM101">
        <v>8.8302728964313104</v>
      </c>
      <c r="EN101">
        <v>13.204187051323554</v>
      </c>
      <c r="EO101">
        <v>5.5824281515259662</v>
      </c>
      <c r="EP101">
        <v>6.9359369584269643</v>
      </c>
      <c r="EQ101">
        <v>961.3075234105479</v>
      </c>
      <c r="ER101">
        <v>20.644039382489936</v>
      </c>
      <c r="ES101">
        <v>8.9644682404460632</v>
      </c>
      <c r="ET101">
        <v>14.411301637366655</v>
      </c>
      <c r="EU101">
        <v>5.7840610421683687</v>
      </c>
      <c r="EV101">
        <v>7.4430664631672512</v>
      </c>
      <c r="EW101">
        <v>1018.9490226950029</v>
      </c>
      <c r="EX101">
        <v>21.391255191233608</v>
      </c>
      <c r="EY101">
        <v>8.9890390269887046</v>
      </c>
      <c r="EZ101">
        <v>15.1621761282814</v>
      </c>
      <c r="FA101">
        <v>6.2267122762715958</v>
      </c>
      <c r="FB101">
        <v>8.1231205077507411</v>
      </c>
      <c r="FC101">
        <v>1121.7053494664162</v>
      </c>
      <c r="FD101">
        <v>21.039736040269727</v>
      </c>
      <c r="FE101">
        <v>8.9892030792289397</v>
      </c>
      <c r="FF101">
        <v>15.331042439012354</v>
      </c>
      <c r="FG101">
        <v>6.3300342959256453</v>
      </c>
      <c r="FH101">
        <v>8.49795543637123</v>
      </c>
      <c r="FI101">
        <v>1246.7082182378167</v>
      </c>
      <c r="FJ101">
        <v>19.805599448874581</v>
      </c>
      <c r="FK101">
        <v>8.5089634568184209</v>
      </c>
    </row>
    <row r="102" spans="2:167" x14ac:dyDescent="0.25">
      <c r="B102">
        <v>648.78824094916638</v>
      </c>
      <c r="C102">
        <v>1.5413349639892004</v>
      </c>
      <c r="D102">
        <v>703.00447687282906</v>
      </c>
      <c r="E102">
        <v>1.4224660480802263</v>
      </c>
      <c r="F102">
        <v>779.61110997263938</v>
      </c>
      <c r="G102">
        <v>1.2826908021296608</v>
      </c>
      <c r="H102">
        <v>891.02414573602562</v>
      </c>
      <c r="I102">
        <v>1.1223040416867216</v>
      </c>
      <c r="J102">
        <v>987.96716966073109</v>
      </c>
      <c r="K102">
        <v>1.0121793827859695</v>
      </c>
      <c r="L102">
        <v>739.031822243693</v>
      </c>
      <c r="M102">
        <v>1.3531217058610687</v>
      </c>
      <c r="N102">
        <v>744.10067111693888</v>
      </c>
      <c r="O102">
        <v>1.3439041769696849</v>
      </c>
      <c r="Q102">
        <v>0.20409292677310184</v>
      </c>
      <c r="R102">
        <v>0.20473287114905925</v>
      </c>
      <c r="S102">
        <v>0.20445412253940487</v>
      </c>
      <c r="T102">
        <v>0.20556839166003774</v>
      </c>
      <c r="U102">
        <v>0.20594141899529431</v>
      </c>
      <c r="V102">
        <v>0.2046089676305273</v>
      </c>
      <c r="W102">
        <v>0.20448395389474636</v>
      </c>
      <c r="Y102">
        <v>2.1483914672942959</v>
      </c>
      <c r="Z102">
        <v>2.2072101855667463</v>
      </c>
      <c r="AA102">
        <v>2.234758329640842</v>
      </c>
      <c r="AB102">
        <v>2.379175087185434</v>
      </c>
      <c r="AC102">
        <v>2.4416948978107431</v>
      </c>
      <c r="AD102">
        <v>2.2224980408472699</v>
      </c>
      <c r="AE102">
        <v>2.2180203805659748</v>
      </c>
      <c r="AG102">
        <v>0.86318898575613046</v>
      </c>
      <c r="AH102">
        <v>0.88915131708482675</v>
      </c>
      <c r="AI102">
        <v>0.90437420995298112</v>
      </c>
      <c r="AJ102">
        <v>0.95729215654153998</v>
      </c>
      <c r="AK102">
        <v>0.98693651671999572</v>
      </c>
      <c r="AL102">
        <v>0.89773917457197339</v>
      </c>
      <c r="AM102">
        <v>0.89587873649051819</v>
      </c>
      <c r="AO102">
        <v>106</v>
      </c>
      <c r="AP102">
        <v>16.712060942082132</v>
      </c>
      <c r="AQ102">
        <v>7.3160227825945832</v>
      </c>
      <c r="AR102">
        <v>7.7442882097250161</v>
      </c>
      <c r="AS102">
        <v>888.15857832908534</v>
      </c>
      <c r="AT102">
        <v>25.642198162806771</v>
      </c>
      <c r="AU102">
        <v>11.356837857203725</v>
      </c>
      <c r="AV102">
        <v>17.553617788725504</v>
      </c>
      <c r="AW102">
        <v>7.5548933539425835</v>
      </c>
      <c r="AX102">
        <v>8.1448208336909946</v>
      </c>
      <c r="AY102">
        <v>939.19920172752086</v>
      </c>
      <c r="AZ102">
        <v>25.684105753343264</v>
      </c>
      <c r="BA102">
        <v>11.240505691454798</v>
      </c>
      <c r="BB102">
        <v>19.099997249009309</v>
      </c>
      <c r="BC102">
        <v>7.973082481201418</v>
      </c>
      <c r="BD102">
        <v>8.7068583663519394</v>
      </c>
      <c r="BE102">
        <v>1009.7460270561899</v>
      </c>
      <c r="BF102">
        <v>26.130019582761292</v>
      </c>
      <c r="BG102">
        <v>11.193321313965043</v>
      </c>
      <c r="BH102">
        <v>20.343286033399327</v>
      </c>
      <c r="BI102">
        <v>8.4378608649033335</v>
      </c>
      <c r="BJ102">
        <v>9.339657840575299</v>
      </c>
      <c r="BK102">
        <v>1089.9891424750672</v>
      </c>
      <c r="BL102">
        <v>26.302111217417504</v>
      </c>
      <c r="BM102">
        <v>11.232203149719982</v>
      </c>
      <c r="BN102">
        <v>20.830120682960661</v>
      </c>
      <c r="BO102">
        <v>8.5758095170428188</v>
      </c>
      <c r="BP102">
        <v>9.8847832453175801</v>
      </c>
      <c r="BQ102">
        <v>1205.3142612563181</v>
      </c>
      <c r="BR102">
        <v>24.940952648263501</v>
      </c>
      <c r="BS102">
        <v>10.615425143765094</v>
      </c>
      <c r="BU102">
        <v>106</v>
      </c>
      <c r="BV102">
        <v>16.060096176810351</v>
      </c>
      <c r="BW102">
        <v>6.2980936633500857</v>
      </c>
      <c r="BX102">
        <v>7.5046721005552435</v>
      </c>
      <c r="BY102">
        <v>891.34701097317327</v>
      </c>
      <c r="BZ102">
        <v>24.819035939870535</v>
      </c>
      <c r="CA102">
        <v>10.174201219817004</v>
      </c>
      <c r="CB102">
        <v>16.744680984910012</v>
      </c>
      <c r="CC102">
        <v>6.4680971119221411</v>
      </c>
      <c r="CD102">
        <v>7.8718024993548612</v>
      </c>
      <c r="CE102">
        <v>943.36868984136242</v>
      </c>
      <c r="CF102">
        <v>24.713089450456692</v>
      </c>
      <c r="CG102">
        <v>10.038787414070406</v>
      </c>
      <c r="CH102">
        <v>18.27921525666002</v>
      </c>
      <c r="CI102">
        <v>7.0963045069992337</v>
      </c>
      <c r="CJ102">
        <v>8.4041695911973608</v>
      </c>
      <c r="CK102">
        <v>1012.5084227538438</v>
      </c>
      <c r="CL102">
        <v>25.248087713399041</v>
      </c>
      <c r="CM102">
        <v>10.296836567326039</v>
      </c>
      <c r="CN102">
        <v>19.488311753687277</v>
      </c>
      <c r="CO102">
        <v>7.4117151578406038</v>
      </c>
      <c r="CP102">
        <v>9.0465699418084764</v>
      </c>
      <c r="CQ102">
        <v>1093.4823647874355</v>
      </c>
      <c r="CR102">
        <v>25.436204795905912</v>
      </c>
      <c r="CS102">
        <v>10.257900935043216</v>
      </c>
      <c r="CT102">
        <v>19.796494893048369</v>
      </c>
      <c r="CU102">
        <v>7.4242520149219491</v>
      </c>
      <c r="CV102">
        <v>9.431252984040734</v>
      </c>
      <c r="CW102">
        <v>1209.5778064802626</v>
      </c>
      <c r="CX102">
        <v>23.998505900853687</v>
      </c>
      <c r="CY102">
        <v>9.6259750721113218</v>
      </c>
      <c r="DA102">
        <v>106</v>
      </c>
      <c r="DB102">
        <v>13.436427765694603</v>
      </c>
      <c r="DC102">
        <v>5.7200285593358</v>
      </c>
      <c r="DD102">
        <v>7.1159842376398101</v>
      </c>
      <c r="DE102">
        <v>907.24085315614832</v>
      </c>
      <c r="DF102">
        <v>21.492313778960334</v>
      </c>
      <c r="DG102">
        <v>9.3587923347713868</v>
      </c>
      <c r="DH102">
        <v>14.05373505094896</v>
      </c>
      <c r="DI102">
        <v>6.2267595231952981</v>
      </c>
      <c r="DJ102">
        <v>7.4996746480893188</v>
      </c>
      <c r="DK102">
        <v>956.2684453270623</v>
      </c>
      <c r="DL102">
        <v>21.56571095033398</v>
      </c>
      <c r="DM102">
        <v>9.6509930728962168</v>
      </c>
      <c r="DN102">
        <v>15.620039613047785</v>
      </c>
      <c r="DO102">
        <v>6.4161451087275765</v>
      </c>
      <c r="DP102">
        <v>8.0542728054918236</v>
      </c>
      <c r="DQ102">
        <v>1028.9151487563333</v>
      </c>
      <c r="DR102">
        <v>22.261044413931941</v>
      </c>
      <c r="DS102">
        <v>9.4716015850726354</v>
      </c>
      <c r="DT102">
        <v>16.793086362845674</v>
      </c>
      <c r="DU102">
        <v>6.8444279917577537</v>
      </c>
      <c r="DV102">
        <v>8.7900991963558202</v>
      </c>
      <c r="DW102">
        <v>1125.2030008585668</v>
      </c>
      <c r="DX102">
        <v>22.323808202996808</v>
      </c>
      <c r="DY102">
        <v>9.4645558161482839</v>
      </c>
      <c r="DZ102">
        <v>17.080891325228777</v>
      </c>
      <c r="EA102">
        <v>7.0067590006759106</v>
      </c>
      <c r="EB102">
        <v>9.1907041830030565</v>
      </c>
      <c r="EC102">
        <v>1245.2712923968588</v>
      </c>
      <c r="ED102">
        <v>21.129898937839691</v>
      </c>
      <c r="EE102">
        <v>9.0148009251099452</v>
      </c>
      <c r="EG102">
        <v>106</v>
      </c>
      <c r="EH102">
        <v>12.604388880962722</v>
      </c>
      <c r="EI102">
        <v>5.2729493974144956</v>
      </c>
      <c r="EJ102">
        <v>6.5452553388790351</v>
      </c>
      <c r="EK102">
        <v>913.62976613309081</v>
      </c>
      <c r="EL102">
        <v>20.431324477745299</v>
      </c>
      <c r="EM102">
        <v>8.8040034142409702</v>
      </c>
      <c r="EN102">
        <v>13.204263095674136</v>
      </c>
      <c r="EO102">
        <v>5.6058871381595701</v>
      </c>
      <c r="EP102">
        <v>6.9358377051961648</v>
      </c>
      <c r="EQ102">
        <v>962.66106756376598</v>
      </c>
      <c r="ER102">
        <v>20.540081648481223</v>
      </c>
      <c r="ES102">
        <v>8.9419506477286639</v>
      </c>
      <c r="ET102">
        <v>14.410070842389631</v>
      </c>
      <c r="EU102">
        <v>5.8069395605389182</v>
      </c>
      <c r="EV102">
        <v>7.443192497427547</v>
      </c>
      <c r="EW102">
        <v>1016.1269802449481</v>
      </c>
      <c r="EX102">
        <v>21.350438946857039</v>
      </c>
      <c r="EY102">
        <v>8.9912668232416006</v>
      </c>
      <c r="EZ102">
        <v>15.160791590535965</v>
      </c>
      <c r="FA102">
        <v>6.2627448333205677</v>
      </c>
      <c r="FB102">
        <v>8.122688062661549</v>
      </c>
      <c r="FC102">
        <v>1120.5196247022488</v>
      </c>
      <c r="FD102">
        <v>20.96038363855909</v>
      </c>
      <c r="FE102">
        <v>8.9849951984210517</v>
      </c>
      <c r="FF102">
        <v>15.329479868426001</v>
      </c>
      <c r="FG102">
        <v>6.3681041001353016</v>
      </c>
      <c r="FH102">
        <v>8.4972836542843542</v>
      </c>
      <c r="FI102">
        <v>1244.7225989147821</v>
      </c>
      <c r="FJ102">
        <v>19.732143630355509</v>
      </c>
      <c r="FK102">
        <v>8.5056846460423987</v>
      </c>
    </row>
    <row r="103" spans="2:167" x14ac:dyDescent="0.25">
      <c r="B103">
        <v>641.4397261154528</v>
      </c>
      <c r="C103">
        <v>1.5589929330632226</v>
      </c>
      <c r="D103">
        <v>695.04423072048803</v>
      </c>
      <c r="E103">
        <v>1.438757356439593</v>
      </c>
      <c r="F103">
        <v>768.52518754849359</v>
      </c>
      <c r="G103">
        <v>1.3011935278138174</v>
      </c>
      <c r="H103">
        <v>878.61295747747113</v>
      </c>
      <c r="I103">
        <v>1.1381575829145922</v>
      </c>
      <c r="J103">
        <v>973.70773076288833</v>
      </c>
      <c r="K103">
        <v>1.0270022188449834</v>
      </c>
      <c r="L103">
        <v>729.00372834586938</v>
      </c>
      <c r="M103">
        <v>1.3717350969782129</v>
      </c>
      <c r="N103">
        <v>735.13191352437468</v>
      </c>
      <c r="O103">
        <v>1.360300078942013</v>
      </c>
      <c r="Q103">
        <v>0.20590291067661609</v>
      </c>
      <c r="R103">
        <v>0.20653888265260564</v>
      </c>
      <c r="S103">
        <v>0.20623429169540272</v>
      </c>
      <c r="T103">
        <v>0.20734094921840535</v>
      </c>
      <c r="U103">
        <v>0.20770506079791545</v>
      </c>
      <c r="V103">
        <v>0.2063944628611418</v>
      </c>
      <c r="W103">
        <v>0.20628482632851045</v>
      </c>
      <c r="Y103">
        <v>2.1483084320713308</v>
      </c>
      <c r="Z103">
        <v>2.2072763178653809</v>
      </c>
      <c r="AA103">
        <v>2.2346100660277814</v>
      </c>
      <c r="AB103">
        <v>2.3806916829090667</v>
      </c>
      <c r="AC103">
        <v>2.4437475160709923</v>
      </c>
      <c r="AD103">
        <v>2.2223131088711146</v>
      </c>
      <c r="AE103">
        <v>2.217886175743085</v>
      </c>
      <c r="AG103">
        <v>0.86391277483795326</v>
      </c>
      <c r="AH103">
        <v>0.89060039031927762</v>
      </c>
      <c r="AI103">
        <v>0.90500022624889842</v>
      </c>
      <c r="AJ103">
        <v>0.95933627808631883</v>
      </c>
      <c r="AK103">
        <v>0.98917399879479007</v>
      </c>
      <c r="AL103">
        <v>0.8988914468182051</v>
      </c>
      <c r="AM103">
        <v>0.89684110421117147</v>
      </c>
      <c r="AO103">
        <v>107</v>
      </c>
      <c r="AP103">
        <v>16.742512490874923</v>
      </c>
      <c r="AQ103">
        <v>7.3310433934032257</v>
      </c>
      <c r="AR103">
        <v>7.7435534434643438</v>
      </c>
      <c r="AS103">
        <v>886.62129012811113</v>
      </c>
      <c r="AT103">
        <v>25.643558918388354</v>
      </c>
      <c r="AU103">
        <v>11.358075714969774</v>
      </c>
      <c r="AV103">
        <v>17.588724761404681</v>
      </c>
      <c r="AW103">
        <v>7.5739944293359907</v>
      </c>
      <c r="AX103">
        <v>8.1439022099880773</v>
      </c>
      <c r="AY103">
        <v>937.63748901135079</v>
      </c>
      <c r="AZ103">
        <v>25.684999091333662</v>
      </c>
      <c r="BA103">
        <v>11.243343979071867</v>
      </c>
      <c r="BB103">
        <v>19.119790125511766</v>
      </c>
      <c r="BC103">
        <v>7.9914932740476763</v>
      </c>
      <c r="BD103">
        <v>8.7055469409511694</v>
      </c>
      <c r="BE103">
        <v>1007.513156014511</v>
      </c>
      <c r="BF103">
        <v>26.104760340803018</v>
      </c>
      <c r="BG103">
        <v>11.18941228724873</v>
      </c>
      <c r="BH103">
        <v>20.364823370663782</v>
      </c>
      <c r="BI103">
        <v>8.4598701419389783</v>
      </c>
      <c r="BJ103">
        <v>9.3381183268237713</v>
      </c>
      <c r="BK103">
        <v>1087.5326201763683</v>
      </c>
      <c r="BL103">
        <v>26.274690354298755</v>
      </c>
      <c r="BM103">
        <v>11.229076305652391</v>
      </c>
      <c r="BN103">
        <v>20.85226758677949</v>
      </c>
      <c r="BO103">
        <v>8.5985777090083388</v>
      </c>
      <c r="BP103">
        <v>9.8828193512114471</v>
      </c>
      <c r="BQ103">
        <v>1201.3789960581414</v>
      </c>
      <c r="BR103">
        <v>24.930178337809426</v>
      </c>
      <c r="BS103">
        <v>10.618461463940793</v>
      </c>
      <c r="BU103">
        <v>107</v>
      </c>
      <c r="BV103">
        <v>16.084113764704757</v>
      </c>
      <c r="BW103">
        <v>6.3172358593975337</v>
      </c>
      <c r="BX103">
        <v>7.5039529043795481</v>
      </c>
      <c r="BY103">
        <v>889.47647069728919</v>
      </c>
      <c r="BZ103">
        <v>24.821034949041554</v>
      </c>
      <c r="CA103">
        <v>10.18183674119439</v>
      </c>
      <c r="CB103">
        <v>16.774164407663662</v>
      </c>
      <c r="CC103">
        <v>6.4908975415137222</v>
      </c>
      <c r="CD103">
        <v>7.8709102035074148</v>
      </c>
      <c r="CE103">
        <v>941.4387293093738</v>
      </c>
      <c r="CF103">
        <v>24.716061677837985</v>
      </c>
      <c r="CG103">
        <v>10.04747694599798</v>
      </c>
      <c r="CH103">
        <v>18.293589471150305</v>
      </c>
      <c r="CI103">
        <v>7.1170274292961375</v>
      </c>
      <c r="CJ103">
        <v>8.4029078771482393</v>
      </c>
      <c r="CK103">
        <v>1009.9514683916466</v>
      </c>
      <c r="CL103">
        <v>25.223676207107271</v>
      </c>
      <c r="CM103">
        <v>10.296548466118345</v>
      </c>
      <c r="CN103">
        <v>19.504236660425867</v>
      </c>
      <c r="CO103">
        <v>7.436084453984579</v>
      </c>
      <c r="CP103">
        <v>9.045086612721537</v>
      </c>
      <c r="CQ103">
        <v>1090.6963516527094</v>
      </c>
      <c r="CR103">
        <v>25.409451579351959</v>
      </c>
      <c r="CS103">
        <v>10.257851391855187</v>
      </c>
      <c r="CT103">
        <v>19.814137999704595</v>
      </c>
      <c r="CU103">
        <v>7.4497906177402102</v>
      </c>
      <c r="CV103">
        <v>9.4293759215267272</v>
      </c>
      <c r="CW103">
        <v>1205.2440681787475</v>
      </c>
      <c r="CX103">
        <v>23.98888640011549</v>
      </c>
      <c r="CY103">
        <v>9.6312521160166895</v>
      </c>
      <c r="DA103">
        <v>107</v>
      </c>
      <c r="DB103">
        <v>13.436628297123264</v>
      </c>
      <c r="DC103">
        <v>5.7394586037470399</v>
      </c>
      <c r="DD103">
        <v>7.116203733803216</v>
      </c>
      <c r="DE103">
        <v>907.67586537208706</v>
      </c>
      <c r="DF103">
        <v>21.406585587665639</v>
      </c>
      <c r="DG103">
        <v>9.3411395825175578</v>
      </c>
      <c r="DH103">
        <v>14.05339825954748</v>
      </c>
      <c r="DI103">
        <v>6.2520305347195251</v>
      </c>
      <c r="DJ103">
        <v>7.4995856865528872</v>
      </c>
      <c r="DK103">
        <v>956.65767213569268</v>
      </c>
      <c r="DL103">
        <v>21.478834226591768</v>
      </c>
      <c r="DM103">
        <v>9.6379480252614034</v>
      </c>
      <c r="DN103">
        <v>15.619757523262523</v>
      </c>
      <c r="DO103">
        <v>6.44072379154085</v>
      </c>
      <c r="DP103">
        <v>8.0544640603251825</v>
      </c>
      <c r="DQ103">
        <v>1029.021364968331</v>
      </c>
      <c r="DR103">
        <v>22.157807069843845</v>
      </c>
      <c r="DS103">
        <v>9.4485021749435845</v>
      </c>
      <c r="DT103">
        <v>16.791722033320042</v>
      </c>
      <c r="DU103">
        <v>6.8836471250029723</v>
      </c>
      <c r="DV103">
        <v>8.7896299748182098</v>
      </c>
      <c r="DW103">
        <v>1125.2073697970225</v>
      </c>
      <c r="DX103">
        <v>22.219443436901397</v>
      </c>
      <c r="DY103">
        <v>9.4522699063276754</v>
      </c>
      <c r="DZ103">
        <v>17.07905998513607</v>
      </c>
      <c r="EA103">
        <v>7.048306504523965</v>
      </c>
      <c r="EB103">
        <v>9.1899644712057373</v>
      </c>
      <c r="EC103">
        <v>1243.7676597576585</v>
      </c>
      <c r="ED103">
        <v>21.046844895842536</v>
      </c>
      <c r="EE103">
        <v>9.0101437200340211</v>
      </c>
      <c r="EG103">
        <v>107</v>
      </c>
      <c r="EH103">
        <v>12.605083337042895</v>
      </c>
      <c r="EI103">
        <v>5.2903458217639132</v>
      </c>
      <c r="EJ103">
        <v>6.5454135935186155</v>
      </c>
      <c r="EK103">
        <v>914.86969991899389</v>
      </c>
      <c r="EL103">
        <v>20.329338855044046</v>
      </c>
      <c r="EM103">
        <v>8.7767844676142719</v>
      </c>
      <c r="EN103">
        <v>13.204341426375015</v>
      </c>
      <c r="EO103">
        <v>5.6287862470097814</v>
      </c>
      <c r="EP103">
        <v>6.9357354678166141</v>
      </c>
      <c r="EQ103">
        <v>963.94617902766004</v>
      </c>
      <c r="ER103">
        <v>20.435616787337256</v>
      </c>
      <c r="ES103">
        <v>8.9185193336970947</v>
      </c>
      <c r="ET103">
        <v>14.408245269465928</v>
      </c>
      <c r="EU103">
        <v>5.8291855615700525</v>
      </c>
      <c r="EV103">
        <v>7.4433222598709392</v>
      </c>
      <c r="EW103">
        <v>1013.0918788004059</v>
      </c>
      <c r="EX103">
        <v>21.310352075354533</v>
      </c>
      <c r="EY103">
        <v>8.9934314603176571</v>
      </c>
      <c r="EZ103">
        <v>15.159364075731103</v>
      </c>
      <c r="FA103">
        <v>6.2983269003540165</v>
      </c>
      <c r="FB103">
        <v>8.1222421941620109</v>
      </c>
      <c r="FC103">
        <v>1119.1591777822609</v>
      </c>
      <c r="FD103">
        <v>20.880964937185365</v>
      </c>
      <c r="FE103">
        <v>8.9803521561406789</v>
      </c>
      <c r="FF103">
        <v>15.327868384097286</v>
      </c>
      <c r="FG103">
        <v>6.405749168860817</v>
      </c>
      <c r="FH103">
        <v>8.4965908431468815</v>
      </c>
      <c r="FI103">
        <v>1242.5492438923432</v>
      </c>
      <c r="FJ103">
        <v>19.65812907650205</v>
      </c>
      <c r="FK103">
        <v>8.5018505986866266</v>
      </c>
    </row>
    <row r="104" spans="2:167" x14ac:dyDescent="0.25">
      <c r="B104">
        <v>633.88422617563799</v>
      </c>
      <c r="C104">
        <v>1.5775751449649069</v>
      </c>
      <c r="D104">
        <v>686.85185640300733</v>
      </c>
      <c r="E104">
        <v>1.4559180275597221</v>
      </c>
      <c r="F104">
        <v>757.12117048161826</v>
      </c>
      <c r="G104">
        <v>1.3207925481252654</v>
      </c>
      <c r="H104">
        <v>865.82870905694165</v>
      </c>
      <c r="I104">
        <v>1.1549628575947746</v>
      </c>
      <c r="J104">
        <v>959.01633795260386</v>
      </c>
      <c r="K104">
        <v>1.0427351030691425</v>
      </c>
      <c r="L104">
        <v>718.6856281870505</v>
      </c>
      <c r="M104">
        <v>1.3914289652940333</v>
      </c>
      <c r="N104">
        <v>725.90447062768339</v>
      </c>
      <c r="O104">
        <v>1.3775917361898991</v>
      </c>
      <c r="Q104">
        <v>0.20771112086565555</v>
      </c>
      <c r="R104">
        <v>0.20834289886647792</v>
      </c>
      <c r="S104">
        <v>0.20801189682017351</v>
      </c>
      <c r="T104">
        <v>0.2091105181686615</v>
      </c>
      <c r="U104">
        <v>0.20946541984871195</v>
      </c>
      <c r="V104">
        <v>0.20817748830864599</v>
      </c>
      <c r="W104">
        <v>0.20808362421781451</v>
      </c>
      <c r="Y104">
        <v>2.1482230580010171</v>
      </c>
      <c r="Z104">
        <v>2.2071570248837271</v>
      </c>
      <c r="AA104">
        <v>2.2344575482030082</v>
      </c>
      <c r="AB104">
        <v>2.3818110572894642</v>
      </c>
      <c r="AC104">
        <v>2.4454022419512333</v>
      </c>
      <c r="AD104">
        <v>2.2221228287768136</v>
      </c>
      <c r="AE104">
        <v>2.2177481000590347</v>
      </c>
      <c r="AG104">
        <v>0.86451716779793586</v>
      </c>
      <c r="AH104">
        <v>0.89194032627888453</v>
      </c>
      <c r="AI104">
        <v>0.90549383765314229</v>
      </c>
      <c r="AJ104">
        <v>0.96126631775228766</v>
      </c>
      <c r="AK104">
        <v>0.99129555210549491</v>
      </c>
      <c r="AL104">
        <v>0.89992658938120551</v>
      </c>
      <c r="AM104">
        <v>0.897680390561861</v>
      </c>
      <c r="AO104">
        <v>108</v>
      </c>
      <c r="AP104">
        <v>16.770560511016534</v>
      </c>
      <c r="AQ104">
        <v>7.3450003829268278</v>
      </c>
      <c r="AR104">
        <v>7.7427979810935232</v>
      </c>
      <c r="AS104">
        <v>884.87613217648982</v>
      </c>
      <c r="AT104">
        <v>25.646046825314787</v>
      </c>
      <c r="AU104">
        <v>11.359785404184688</v>
      </c>
      <c r="AV104">
        <v>17.62131688286614</v>
      </c>
      <c r="AW104">
        <v>7.5920596555792192</v>
      </c>
      <c r="AX104">
        <v>8.1429567983654714</v>
      </c>
      <c r="AY104">
        <v>935.85265077504266</v>
      </c>
      <c r="AZ104">
        <v>25.687014520060725</v>
      </c>
      <c r="BA104">
        <v>11.246706946474518</v>
      </c>
      <c r="BB104">
        <v>19.136334431676456</v>
      </c>
      <c r="BC104">
        <v>8.0087440236487932</v>
      </c>
      <c r="BD104">
        <v>8.7041978860795837</v>
      </c>
      <c r="BE104">
        <v>1005.0211351788421</v>
      </c>
      <c r="BF104">
        <v>26.079923825674086</v>
      </c>
      <c r="BG104">
        <v>11.185864245720605</v>
      </c>
      <c r="BH104">
        <v>20.382813245729491</v>
      </c>
      <c r="BI104">
        <v>8.480673290918018</v>
      </c>
      <c r="BJ104">
        <v>9.3365325377892034</v>
      </c>
      <c r="BK104">
        <v>1084.7866957211033</v>
      </c>
      <c r="BL104">
        <v>26.247664002027857</v>
      </c>
      <c r="BM104">
        <v>11.226349697117486</v>
      </c>
      <c r="BN104">
        <v>20.870781854593808</v>
      </c>
      <c r="BO104">
        <v>8.6201315325419099</v>
      </c>
      <c r="BP104">
        <v>9.880795965862438</v>
      </c>
      <c r="BQ104">
        <v>1197.1009195972708</v>
      </c>
      <c r="BR104">
        <v>24.920063152619562</v>
      </c>
      <c r="BS104">
        <v>10.622004039597844</v>
      </c>
      <c r="BU104">
        <v>108</v>
      </c>
      <c r="BV104">
        <v>16.105674646851394</v>
      </c>
      <c r="BW104">
        <v>6.3356354960058621</v>
      </c>
      <c r="BX104">
        <v>7.5032134506552062</v>
      </c>
      <c r="BY104">
        <v>887.3892475724216</v>
      </c>
      <c r="BZ104">
        <v>24.824155709007226</v>
      </c>
      <c r="CA104">
        <v>10.190159626822542</v>
      </c>
      <c r="CB104">
        <v>16.801136452854013</v>
      </c>
      <c r="CC104">
        <v>6.5129921470157415</v>
      </c>
      <c r="CD104">
        <v>7.8699918874849812</v>
      </c>
      <c r="CE104">
        <v>939.27693457080534</v>
      </c>
      <c r="CF104">
        <v>24.720164356738383</v>
      </c>
      <c r="CG104">
        <v>10.056877425720183</v>
      </c>
      <c r="CH104">
        <v>18.304726432901987</v>
      </c>
      <c r="CI104">
        <v>7.1368399109212319</v>
      </c>
      <c r="CJ104">
        <v>8.4016099600242331</v>
      </c>
      <c r="CK104">
        <v>1007.1265555701391</v>
      </c>
      <c r="CL104">
        <v>25.19967973192297</v>
      </c>
      <c r="CM104">
        <v>10.296745540179312</v>
      </c>
      <c r="CN104">
        <v>19.51663069952366</v>
      </c>
      <c r="CO104">
        <v>7.4595364209620945</v>
      </c>
      <c r="CP104">
        <v>9.043558697171326</v>
      </c>
      <c r="CQ104">
        <v>1087.6116306150304</v>
      </c>
      <c r="CR104">
        <v>25.383081037245212</v>
      </c>
      <c r="CS104">
        <v>10.258310603648647</v>
      </c>
      <c r="CT104">
        <v>19.828232901406576</v>
      </c>
      <c r="CU104">
        <v>7.4744423744362498</v>
      </c>
      <c r="CV104">
        <v>9.4274419981149933</v>
      </c>
      <c r="CW104">
        <v>1200.5576016777743</v>
      </c>
      <c r="CX104">
        <v>23.979925263896376</v>
      </c>
      <c r="CY104">
        <v>9.6371233079478476</v>
      </c>
      <c r="DA104">
        <v>108</v>
      </c>
      <c r="DB104">
        <v>13.436834476906725</v>
      </c>
      <c r="DC104">
        <v>5.758252369663559</v>
      </c>
      <c r="DD104">
        <v>7.1164294124997864</v>
      </c>
      <c r="DE104">
        <v>908.03204998941737</v>
      </c>
      <c r="DF104">
        <v>21.32066669509905</v>
      </c>
      <c r="DG104">
        <v>9.3226389505142233</v>
      </c>
      <c r="DH104">
        <v>14.053051646996177</v>
      </c>
      <c r="DI104">
        <v>6.276674425343594</v>
      </c>
      <c r="DJ104">
        <v>7.4994941308154939</v>
      </c>
      <c r="DK104">
        <v>956.95720959043604</v>
      </c>
      <c r="DL104">
        <v>21.391756275066019</v>
      </c>
      <c r="DM104">
        <v>9.6241244496755822</v>
      </c>
      <c r="DN104">
        <v>15.619467339315491</v>
      </c>
      <c r="DO104">
        <v>6.4646035821231242</v>
      </c>
      <c r="DP104">
        <v>8.0546608029416547</v>
      </c>
      <c r="DQ104">
        <v>1029.0266085421295</v>
      </c>
      <c r="DR104">
        <v>22.053858829216672</v>
      </c>
      <c r="DS104">
        <v>9.4243331126338248</v>
      </c>
      <c r="DT104">
        <v>16.790316694264686</v>
      </c>
      <c r="DU104">
        <v>6.9223846251639873</v>
      </c>
      <c r="DV104">
        <v>8.7891466492432446</v>
      </c>
      <c r="DW104">
        <v>1125.0891728197212</v>
      </c>
      <c r="DX104">
        <v>22.11435391324266</v>
      </c>
      <c r="DY104">
        <v>9.4391683643846953</v>
      </c>
      <c r="DZ104">
        <v>17.077173169191628</v>
      </c>
      <c r="EA104">
        <v>7.0893907916370749</v>
      </c>
      <c r="EB104">
        <v>9.1892023516960784</v>
      </c>
      <c r="EC104">
        <v>1242.0834529855024</v>
      </c>
      <c r="ED104">
        <v>20.963343299063077</v>
      </c>
      <c r="EE104">
        <v>9.0049263887860675</v>
      </c>
      <c r="EG104">
        <v>108</v>
      </c>
      <c r="EH104">
        <v>12.605797353819167</v>
      </c>
      <c r="EI104">
        <v>5.3071391881219849</v>
      </c>
      <c r="EJ104">
        <v>6.5455763057056195</v>
      </c>
      <c r="EK104">
        <v>916.04609918450717</v>
      </c>
      <c r="EL104">
        <v>20.226942268188527</v>
      </c>
      <c r="EM104">
        <v>8.7486227856212544</v>
      </c>
      <c r="EN104">
        <v>13.204422041271826</v>
      </c>
      <c r="EO104">
        <v>5.6511254865267677</v>
      </c>
      <c r="EP104">
        <v>6.9356302491001962</v>
      </c>
      <c r="EQ104">
        <v>965.16199189821464</v>
      </c>
      <c r="ER104">
        <v>20.330644961380628</v>
      </c>
      <c r="ES104">
        <v>8.8941819211226338</v>
      </c>
      <c r="ET104">
        <v>14.40636731434571</v>
      </c>
      <c r="EU104">
        <v>5.8507990625781536</v>
      </c>
      <c r="EV104">
        <v>7.4434557456615185</v>
      </c>
      <c r="EW104">
        <v>1009.8684880938873</v>
      </c>
      <c r="EX104">
        <v>21.270994970712337</v>
      </c>
      <c r="EY104">
        <v>8.9953148634887974</v>
      </c>
      <c r="EZ104">
        <v>15.157893652149642</v>
      </c>
      <c r="FA104">
        <v>6.3334584959063003</v>
      </c>
      <c r="FB104">
        <v>8.1217829235795147</v>
      </c>
      <c r="FC104">
        <v>1117.6222660813501</v>
      </c>
      <c r="FD104">
        <v>20.801479905273737</v>
      </c>
      <c r="FE104">
        <v>8.9752864651712549</v>
      </c>
      <c r="FF104">
        <v>15.326208083895409</v>
      </c>
      <c r="FG104">
        <v>6.4429695323811504</v>
      </c>
      <c r="FH104">
        <v>8.4958770450348471</v>
      </c>
      <c r="FI104">
        <v>1240.1865381225759</v>
      </c>
      <c r="FJ104">
        <v>19.583551344212438</v>
      </c>
      <c r="FK104">
        <v>8.4974707269126633</v>
      </c>
    </row>
    <row r="105" spans="2:167" x14ac:dyDescent="0.25">
      <c r="B105">
        <v>626.12190284271082</v>
      </c>
      <c r="C105">
        <v>1.5971330749807864</v>
      </c>
      <c r="D105">
        <v>678.42757913191463</v>
      </c>
      <c r="E105">
        <v>1.4739966810894614</v>
      </c>
      <c r="F105">
        <v>745.39948349182009</v>
      </c>
      <c r="G105">
        <v>1.3415625072820081</v>
      </c>
      <c r="H105">
        <v>852.6720114974363</v>
      </c>
      <c r="I105">
        <v>1.1727838917145068</v>
      </c>
      <c r="J105">
        <v>943.89388257209021</v>
      </c>
      <c r="K105">
        <v>1.0594411283554692</v>
      </c>
      <c r="L105">
        <v>708.07792856674632</v>
      </c>
      <c r="M105">
        <v>1.4122739315207109</v>
      </c>
      <c r="N105">
        <v>716.41860713424921</v>
      </c>
      <c r="O105">
        <v>1.3958319759450506</v>
      </c>
      <c r="Q105">
        <v>0.20951755872598493</v>
      </c>
      <c r="R105">
        <v>0.21014492172651278</v>
      </c>
      <c r="S105">
        <v>0.20978694133721051</v>
      </c>
      <c r="T105">
        <v>0.21087710340574931</v>
      </c>
      <c r="U105">
        <v>0.21122250292168257</v>
      </c>
      <c r="V105">
        <v>0.20995804743747046</v>
      </c>
      <c r="W105">
        <v>0.2098803496854976</v>
      </c>
      <c r="Y105">
        <v>2.1481353469106454</v>
      </c>
      <c r="Z105">
        <v>2.2070343550550549</v>
      </c>
      <c r="AA105">
        <v>2.2343007818467431</v>
      </c>
      <c r="AB105">
        <v>2.3825332197403211</v>
      </c>
      <c r="AC105">
        <v>2.4466590905578234</v>
      </c>
      <c r="AD105">
        <v>2.2219272080663144</v>
      </c>
      <c r="AE105">
        <v>2.2176061574747963</v>
      </c>
      <c r="AG105">
        <v>0.86500216502086802</v>
      </c>
      <c r="AH105">
        <v>0.89317112555294009</v>
      </c>
      <c r="AI105">
        <v>0.9058550456182749</v>
      </c>
      <c r="AJ105">
        <v>0.96308227731600937</v>
      </c>
      <c r="AK105">
        <v>0.99330118001795276</v>
      </c>
      <c r="AL105">
        <v>0.90084460408890832</v>
      </c>
      <c r="AM105">
        <v>0.89839659650148895</v>
      </c>
      <c r="AO105">
        <v>109</v>
      </c>
      <c r="AP105">
        <v>16.796205027379688</v>
      </c>
      <c r="AQ105">
        <v>7.3578937635807602</v>
      </c>
      <c r="AR105">
        <v>7.7420218387819775</v>
      </c>
      <c r="AS105">
        <v>882.92343189095095</v>
      </c>
      <c r="AT105">
        <v>25.649662552323168</v>
      </c>
      <c r="AU105">
        <v>11.36196751306694</v>
      </c>
      <c r="AV105">
        <v>17.65139419441693</v>
      </c>
      <c r="AW105">
        <v>7.6090890495935479</v>
      </c>
      <c r="AX105">
        <v>8.1419846248129115</v>
      </c>
      <c r="AY105">
        <v>933.84504584947115</v>
      </c>
      <c r="AZ105">
        <v>25.690152344281589</v>
      </c>
      <c r="BA105">
        <v>11.250596737619709</v>
      </c>
      <c r="BB105">
        <v>19.149630271944293</v>
      </c>
      <c r="BC105">
        <v>8.0248347649042255</v>
      </c>
      <c r="BD105">
        <v>8.702811251980032</v>
      </c>
      <c r="BE105">
        <v>1002.2694651747989</v>
      </c>
      <c r="BF105">
        <v>26.055510970931739</v>
      </c>
      <c r="BG105">
        <v>11.182684546018093</v>
      </c>
      <c r="BH105">
        <v>20.397255823487153</v>
      </c>
      <c r="BI105">
        <v>8.5002703666968742</v>
      </c>
      <c r="BJ105">
        <v>9.3349005492643666</v>
      </c>
      <c r="BK105">
        <v>1081.7508546950523</v>
      </c>
      <c r="BL105">
        <v>26.221031373176256</v>
      </c>
      <c r="BM105">
        <v>11.224031983981577</v>
      </c>
      <c r="BN105">
        <v>20.885663749084578</v>
      </c>
      <c r="BO105">
        <v>8.6404710758682395</v>
      </c>
      <c r="BP105">
        <v>9.878713212031462</v>
      </c>
      <c r="BQ105">
        <v>1192.4796269347562</v>
      </c>
      <c r="BR105">
        <v>24.910621126664708</v>
      </c>
      <c r="BS105">
        <v>10.62606824903486</v>
      </c>
      <c r="BU105">
        <v>109</v>
      </c>
      <c r="BV105">
        <v>16.124778849883938</v>
      </c>
      <c r="BW105">
        <v>6.3532925790028241</v>
      </c>
      <c r="BX105">
        <v>7.5024537552090003</v>
      </c>
      <c r="BY105">
        <v>885.08578033763558</v>
      </c>
      <c r="BZ105">
        <v>24.828397877619587</v>
      </c>
      <c r="CA105">
        <v>10.199176583369145</v>
      </c>
      <c r="CB105">
        <v>16.825597162631013</v>
      </c>
      <c r="CC105">
        <v>6.5343809378327746</v>
      </c>
      <c r="CD105">
        <v>7.869047576532421</v>
      </c>
      <c r="CE105">
        <v>936.88377977585742</v>
      </c>
      <c r="CF105">
        <v>24.725398135915679</v>
      </c>
      <c r="CG105">
        <v>10.066996694907084</v>
      </c>
      <c r="CH105">
        <v>18.312626246847067</v>
      </c>
      <c r="CI105">
        <v>7.1557419777438547</v>
      </c>
      <c r="CJ105">
        <v>8.4002758881636712</v>
      </c>
      <c r="CK105">
        <v>1004.0332038114979</v>
      </c>
      <c r="CL105">
        <v>25.176098683425995</v>
      </c>
      <c r="CM105">
        <v>10.297438802568488</v>
      </c>
      <c r="CN105">
        <v>19.525494035705485</v>
      </c>
      <c r="CO105">
        <v>7.4820710990608541</v>
      </c>
      <c r="CP105">
        <v>9.0419862681845498</v>
      </c>
      <c r="CQ105">
        <v>1084.2277062296348</v>
      </c>
      <c r="CR105">
        <v>25.357091645207102</v>
      </c>
      <c r="CS105">
        <v>10.25929042418767</v>
      </c>
      <c r="CT105">
        <v>19.838779854501709</v>
      </c>
      <c r="CU105">
        <v>7.4982073491101451</v>
      </c>
      <c r="CV105">
        <v>9.425451331138694</v>
      </c>
      <c r="CW105">
        <v>1195.5180368551617</v>
      </c>
      <c r="CX105">
        <v>23.971636905322015</v>
      </c>
      <c r="CY105">
        <v>9.6436070550318433</v>
      </c>
      <c r="DA105">
        <v>109</v>
      </c>
      <c r="DB105">
        <v>13.43704630063205</v>
      </c>
      <c r="DC105">
        <v>5.7764098636818169</v>
      </c>
      <c r="DD105">
        <v>7.1166612688992412</v>
      </c>
      <c r="DE105">
        <v>908.30853000799198</v>
      </c>
      <c r="DF105">
        <v>21.234557117529917</v>
      </c>
      <c r="DG105">
        <v>9.3032963696787707</v>
      </c>
      <c r="DH105">
        <v>14.052695222823571</v>
      </c>
      <c r="DI105">
        <v>6.3006912048585688</v>
      </c>
      <c r="DJ105">
        <v>7.4993999833940412</v>
      </c>
      <c r="DK105">
        <v>957.16606079698533</v>
      </c>
      <c r="DL105">
        <v>21.304477203519756</v>
      </c>
      <c r="DM105">
        <v>9.6095302145196779</v>
      </c>
      <c r="DN105">
        <v>15.61916907201401</v>
      </c>
      <c r="DO105">
        <v>6.4877845001447989</v>
      </c>
      <c r="DP105">
        <v>8.0548630260139582</v>
      </c>
      <c r="DQ105">
        <v>1028.9296150336443</v>
      </c>
      <c r="DR105">
        <v>21.949199941167127</v>
      </c>
      <c r="DS105">
        <v>9.3991006314658261</v>
      </c>
      <c r="DT105">
        <v>16.788870412847768</v>
      </c>
      <c r="DU105">
        <v>6.9606405125967949</v>
      </c>
      <c r="DV105">
        <v>8.7886492427314646</v>
      </c>
      <c r="DW105">
        <v>1124.8468835579683</v>
      </c>
      <c r="DX105">
        <v>22.008540051223793</v>
      </c>
      <c r="DY105">
        <v>9.4252617779957859</v>
      </c>
      <c r="DZ105">
        <v>17.075230991870562</v>
      </c>
      <c r="EA105">
        <v>7.1300118960495498</v>
      </c>
      <c r="EB105">
        <v>9.1884178707126711</v>
      </c>
      <c r="EC105">
        <v>1240.2168603157147</v>
      </c>
      <c r="ED105">
        <v>20.879393160347973</v>
      </c>
      <c r="EE105">
        <v>8.999160613517617</v>
      </c>
      <c r="EG105">
        <v>109</v>
      </c>
      <c r="EH105">
        <v>12.60653091600919</v>
      </c>
      <c r="EI105">
        <v>5.3233295028049463</v>
      </c>
      <c r="EJ105">
        <v>6.5457434719574623</v>
      </c>
      <c r="EK105">
        <v>917.15813298659157</v>
      </c>
      <c r="EL105">
        <v>20.124134881810303</v>
      </c>
      <c r="EM105">
        <v>8.7195248030490493</v>
      </c>
      <c r="EN105">
        <v>13.204504938148432</v>
      </c>
      <c r="EO105">
        <v>5.6729048654029599</v>
      </c>
      <c r="EP105">
        <v>6.9355220519394143</v>
      </c>
      <c r="EQ105">
        <v>966.30761489378278</v>
      </c>
      <c r="ER105">
        <v>20.22516633039811</v>
      </c>
      <c r="ES105">
        <v>8.8689457787495911</v>
      </c>
      <c r="ET105">
        <v>14.404437046969663</v>
      </c>
      <c r="EU105">
        <v>5.8717800813648102</v>
      </c>
      <c r="EV105">
        <v>7.443592949827873</v>
      </c>
      <c r="EW105">
        <v>1006.4562791732118</v>
      </c>
      <c r="EX105">
        <v>21.23236772716238</v>
      </c>
      <c r="EY105">
        <v>8.9969219358988699</v>
      </c>
      <c r="EZ105">
        <v>15.156380390070458</v>
      </c>
      <c r="FA105">
        <v>6.3681396390535747</v>
      </c>
      <c r="FB105">
        <v>8.1213102728648909</v>
      </c>
      <c r="FC105">
        <v>1115.907125090208</v>
      </c>
      <c r="FD105">
        <v>20.72192850604231</v>
      </c>
      <c r="FE105">
        <v>8.9698105147811713</v>
      </c>
      <c r="FF105">
        <v>15.324499068552523</v>
      </c>
      <c r="FG105">
        <v>6.4797652218610073</v>
      </c>
      <c r="FH105">
        <v>8.4951423032551325</v>
      </c>
      <c r="FI105">
        <v>1237.632802177264</v>
      </c>
      <c r="FJ105">
        <v>19.508406261397717</v>
      </c>
      <c r="FK105">
        <v>8.4925545193167036</v>
      </c>
    </row>
    <row r="106" spans="2:167" x14ac:dyDescent="0.25">
      <c r="B106">
        <v>618.15292219077298</v>
      </c>
      <c r="C106">
        <v>1.6177226768676218</v>
      </c>
      <c r="D106">
        <v>669.77163038029425</v>
      </c>
      <c r="E106">
        <v>1.4930462185031681</v>
      </c>
      <c r="F106">
        <v>733.36056283579023</v>
      </c>
      <c r="G106">
        <v>1.3635857321440314</v>
      </c>
      <c r="H106">
        <v>839.1434931035833</v>
      </c>
      <c r="I106">
        <v>1.1916912997817415</v>
      </c>
      <c r="J106">
        <v>928.3412811626871</v>
      </c>
      <c r="K106">
        <v>1.0771900596163999</v>
      </c>
      <c r="L106">
        <v>697.18104740619606</v>
      </c>
      <c r="M106">
        <v>1.4343476543437557</v>
      </c>
      <c r="N106">
        <v>706.67459502409758</v>
      </c>
      <c r="O106">
        <v>1.4150784633285141</v>
      </c>
      <c r="Q106">
        <v>0.21132222568074066</v>
      </c>
      <c r="R106">
        <v>0.21194495322236911</v>
      </c>
      <c r="S106">
        <v>0.21155942876300099</v>
      </c>
      <c r="T106">
        <v>0.21264070996305617</v>
      </c>
      <c r="U106">
        <v>0.21297631698233374</v>
      </c>
      <c r="V106">
        <v>0.21173614380676178</v>
      </c>
      <c r="W106">
        <v>0.21167500491272206</v>
      </c>
      <c r="Y106">
        <v>2.1480453006767859</v>
      </c>
      <c r="Z106">
        <v>2.2069083117499511</v>
      </c>
      <c r="AA106">
        <v>2.2341397727935028</v>
      </c>
      <c r="AB106">
        <v>2.3828581799415782</v>
      </c>
      <c r="AC106">
        <v>2.4475180774241938</v>
      </c>
      <c r="AD106">
        <v>2.2217262544466649</v>
      </c>
      <c r="AE106">
        <v>2.2174603520601686</v>
      </c>
      <c r="AG106">
        <v>0.86536776690191519</v>
      </c>
      <c r="AH106">
        <v>0.89429278874712259</v>
      </c>
      <c r="AI106">
        <v>0.90608385163631477</v>
      </c>
      <c r="AJ106">
        <v>0.96478415860429378</v>
      </c>
      <c r="AK106">
        <v>0.9951908859931613</v>
      </c>
      <c r="AL106">
        <v>0.90164549281922213</v>
      </c>
      <c r="AM106">
        <v>0.89898972301530222</v>
      </c>
      <c r="AO106">
        <v>110</v>
      </c>
      <c r="AP106">
        <v>16.819446065507901</v>
      </c>
      <c r="AQ106">
        <v>7.3697235481152132</v>
      </c>
      <c r="AR106">
        <v>7.7412250331351915</v>
      </c>
      <c r="AS106">
        <v>880.76357225276502</v>
      </c>
      <c r="AT106">
        <v>25.654406792353061</v>
      </c>
      <c r="AU106">
        <v>11.364622604371664</v>
      </c>
      <c r="AV106">
        <v>17.678956738512539</v>
      </c>
      <c r="AW106">
        <v>7.6250826287707119</v>
      </c>
      <c r="AX106">
        <v>8.1409857160427155</v>
      </c>
      <c r="AY106">
        <v>931.61509331036655</v>
      </c>
      <c r="AZ106">
        <v>25.694412880031905</v>
      </c>
      <c r="BA106">
        <v>11.255015565550286</v>
      </c>
      <c r="BB106">
        <v>19.159677753593233</v>
      </c>
      <c r="BC106">
        <v>8.0397655336614253</v>
      </c>
      <c r="BD106">
        <v>8.7013870902601393</v>
      </c>
      <c r="BE106">
        <v>999.25767304512499</v>
      </c>
      <c r="BF106">
        <v>26.031522753747403</v>
      </c>
      <c r="BG106">
        <v>11.179880944228861</v>
      </c>
      <c r="BH106">
        <v>20.408151273491082</v>
      </c>
      <c r="BI106">
        <v>8.5186614256834936</v>
      </c>
      <c r="BJ106">
        <v>9.3332224391856808</v>
      </c>
      <c r="BK106">
        <v>1078.4246142786305</v>
      </c>
      <c r="BL106">
        <v>26.194791642387621</v>
      </c>
      <c r="BM106">
        <v>11.222132314809645</v>
      </c>
      <c r="BN106">
        <v>20.896913540359012</v>
      </c>
      <c r="BO106">
        <v>8.6595964297062409</v>
      </c>
      <c r="BP106">
        <v>9.8765712159500048</v>
      </c>
      <c r="BQ106">
        <v>1187.5147519035122</v>
      </c>
      <c r="BR106">
        <v>24.901867049771088</v>
      </c>
      <c r="BS106">
        <v>10.630670356453161</v>
      </c>
      <c r="BU106">
        <v>110</v>
      </c>
      <c r="BV106">
        <v>16.14142640115432</v>
      </c>
      <c r="BW106">
        <v>6.3702071143733452</v>
      </c>
      <c r="BX106">
        <v>7.5016738342945368</v>
      </c>
      <c r="BY106">
        <v>882.56656806461706</v>
      </c>
      <c r="BZ106">
        <v>24.833761099933504</v>
      </c>
      <c r="CA106">
        <v>10.208894710737979</v>
      </c>
      <c r="CB106">
        <v>16.847546580316489</v>
      </c>
      <c r="CC106">
        <v>6.5550639236308621</v>
      </c>
      <c r="CD106">
        <v>7.8680772965964794</v>
      </c>
      <c r="CE106">
        <v>934.2598039137963</v>
      </c>
      <c r="CF106">
        <v>24.731763689066867</v>
      </c>
      <c r="CG106">
        <v>10.077843049360878</v>
      </c>
      <c r="CH106">
        <v>18.317289020767809</v>
      </c>
      <c r="CI106">
        <v>7.1737336563360534</v>
      </c>
      <c r="CJ106">
        <v>8.3989057112179193</v>
      </c>
      <c r="CK106">
        <v>1000.6709612523059</v>
      </c>
      <c r="CL106">
        <v>25.152933476161103</v>
      </c>
      <c r="CM106">
        <v>10.298639951567342</v>
      </c>
      <c r="CN106">
        <v>19.530826838355082</v>
      </c>
      <c r="CO106">
        <v>7.5036885297080298</v>
      </c>
      <c r="CP106">
        <v>9.0403694008533346</v>
      </c>
      <c r="CQ106">
        <v>1080.5441170006018</v>
      </c>
      <c r="CR106">
        <v>25.331481803717715</v>
      </c>
      <c r="CS106">
        <v>10.260803462410326</v>
      </c>
      <c r="CT106">
        <v>19.845779122584595</v>
      </c>
      <c r="CU106">
        <v>7.5210856076741415</v>
      </c>
      <c r="CV106">
        <v>9.4234040412481157</v>
      </c>
      <c r="CW106">
        <v>1190.1250448910419</v>
      </c>
      <c r="CX106">
        <v>23.964036532295498</v>
      </c>
      <c r="CY106">
        <v>9.6507229204061673</v>
      </c>
      <c r="DA106">
        <v>110</v>
      </c>
      <c r="DB106">
        <v>13.437263763767289</v>
      </c>
      <c r="DC106">
        <v>5.7939310925761722</v>
      </c>
      <c r="DD106">
        <v>7.116899298041039</v>
      </c>
      <c r="DE106">
        <v>908.50441182001987</v>
      </c>
      <c r="DF106">
        <v>21.148256870021825</v>
      </c>
      <c r="DG106">
        <v>9.283117436817296</v>
      </c>
      <c r="DH106">
        <v>14.052328996823091</v>
      </c>
      <c r="DI106">
        <v>6.3240808833277402</v>
      </c>
      <c r="DJ106">
        <v>7.4993032468754111</v>
      </c>
      <c r="DK106">
        <v>957.28321050391639</v>
      </c>
      <c r="DL106">
        <v>21.216997110400555</v>
      </c>
      <c r="DM106">
        <v>9.5941728948031244</v>
      </c>
      <c r="DN106">
        <v>15.618862732458968</v>
      </c>
      <c r="DO106">
        <v>6.5102665658105847</v>
      </c>
      <c r="DP106">
        <v>8.0550707220157687</v>
      </c>
      <c r="DQ106">
        <v>1028.7290812136257</v>
      </c>
      <c r="DR106">
        <v>21.84383064692441</v>
      </c>
      <c r="DS106">
        <v>9.37281061212515</v>
      </c>
      <c r="DT106">
        <v>16.787383258137172</v>
      </c>
      <c r="DU106">
        <v>6.9984148082331235</v>
      </c>
      <c r="DV106">
        <v>8.788137779036763</v>
      </c>
      <c r="DW106">
        <v>1124.478929948539</v>
      </c>
      <c r="DX106">
        <v>21.902002253456324</v>
      </c>
      <c r="DY106">
        <v>9.4105605838397111</v>
      </c>
      <c r="DZ106">
        <v>17.073233570884295</v>
      </c>
      <c r="EA106">
        <v>7.1701698527578808</v>
      </c>
      <c r="EB106">
        <v>9.1876110758013159</v>
      </c>
      <c r="EC106">
        <v>1238.1660172563995</v>
      </c>
      <c r="ED106">
        <v>20.794993678732677</v>
      </c>
      <c r="EE106">
        <v>8.9928580972008465</v>
      </c>
      <c r="EG106">
        <v>110</v>
      </c>
      <c r="EH106">
        <v>12.607284007918473</v>
      </c>
      <c r="EI106">
        <v>5.3389167722993642</v>
      </c>
      <c r="EJ106">
        <v>6.5459150886976385</v>
      </c>
      <c r="EK106">
        <v>918.2049475441305</v>
      </c>
      <c r="EL106">
        <v>20.020916857437783</v>
      </c>
      <c r="EM106">
        <v>8.689496661780499</v>
      </c>
      <c r="EN106">
        <v>13.204590114727084</v>
      </c>
      <c r="EO106">
        <v>5.6941243925724692</v>
      </c>
      <c r="EP106">
        <v>6.9354108793071925</v>
      </c>
      <c r="EQ106">
        <v>967.38213046735689</v>
      </c>
      <c r="ER106">
        <v>20.119181051646795</v>
      </c>
      <c r="ES106">
        <v>8.8428180247435044</v>
      </c>
      <c r="ET106">
        <v>14.402454539178304</v>
      </c>
      <c r="EU106">
        <v>5.8921286362151646</v>
      </c>
      <c r="EV106">
        <v>7.4437338672635507</v>
      </c>
      <c r="EW106">
        <v>1002.8547631555421</v>
      </c>
      <c r="EX106">
        <v>21.194470444988347</v>
      </c>
      <c r="EY106">
        <v>8.9982570271801148</v>
      </c>
      <c r="EZ106">
        <v>15.154824361760134</v>
      </c>
      <c r="FA106">
        <v>6.4023703494115294</v>
      </c>
      <c r="FB106">
        <v>8.1208242645898103</v>
      </c>
      <c r="FC106">
        <v>1114.0119679098705</v>
      </c>
      <c r="FD106">
        <v>20.642310696594329</v>
      </c>
      <c r="FE106">
        <v>8.9639365862883587</v>
      </c>
      <c r="FF106">
        <v>15.32274144164858</v>
      </c>
      <c r="FG106">
        <v>6.5161362693461546</v>
      </c>
      <c r="FH106">
        <v>8.494386662338945</v>
      </c>
      <c r="FI106">
        <v>1234.8862893745861</v>
      </c>
      <c r="FJ106">
        <v>19.432689940209965</v>
      </c>
      <c r="FK106">
        <v>8.4871115670572124</v>
      </c>
    </row>
    <row r="107" spans="2:167" x14ac:dyDescent="0.25">
      <c r="B107">
        <v>609.97745464618288</v>
      </c>
      <c r="C107">
        <v>1.6394048540368586</v>
      </c>
      <c r="D107">
        <v>660.88424786695089</v>
      </c>
      <c r="E107">
        <v>1.5131242774019329</v>
      </c>
      <c r="F107">
        <v>732.9125212748321</v>
      </c>
      <c r="G107">
        <v>1.3644193146824597</v>
      </c>
      <c r="H107">
        <v>825.24379938711843</v>
      </c>
      <c r="I107">
        <v>1.2117631186598037</v>
      </c>
      <c r="J107">
        <v>912.35947532711941</v>
      </c>
      <c r="K107">
        <v>1.0960592036833483</v>
      </c>
      <c r="L107">
        <v>690.73753805648187</v>
      </c>
      <c r="M107">
        <v>1.4477278921508818</v>
      </c>
      <c r="N107">
        <v>696.67271353048011</v>
      </c>
      <c r="O107">
        <v>1.4353942397605457</v>
      </c>
      <c r="Q107">
        <v>0.21312512319035487</v>
      </c>
      <c r="R107">
        <v>0.21374299539739169</v>
      </c>
      <c r="S107">
        <v>0.21342534553954556</v>
      </c>
      <c r="T107">
        <v>0.21440134301181668</v>
      </c>
      <c r="U107">
        <v>0.21472686918663278</v>
      </c>
      <c r="V107">
        <v>0.21355216646924649</v>
      </c>
      <c r="W107">
        <v>0.21346759213881802</v>
      </c>
      <c r="Y107">
        <v>2.1479529212251864</v>
      </c>
      <c r="Z107">
        <v>2.2067788984299503</v>
      </c>
      <c r="AA107">
        <v>2.234133780666002</v>
      </c>
      <c r="AB107">
        <v>2.38278594783828</v>
      </c>
      <c r="AC107">
        <v>2.4479792185085132</v>
      </c>
      <c r="AD107">
        <v>2.2216074271870125</v>
      </c>
      <c r="AE107">
        <v>2.2173106879934834</v>
      </c>
      <c r="AG107">
        <v>0.86561397384660099</v>
      </c>
      <c r="AH107">
        <v>0.89530531648345246</v>
      </c>
      <c r="AI107">
        <v>0.90622098202128942</v>
      </c>
      <c r="AJ107">
        <v>0.96637196349397991</v>
      </c>
      <c r="AK107">
        <v>0.99696467358675422</v>
      </c>
      <c r="AL107">
        <v>0.90235056600333441</v>
      </c>
      <c r="AM107">
        <v>0.89945977111482378</v>
      </c>
      <c r="AO107">
        <v>111</v>
      </c>
      <c r="AP107">
        <v>16.840283651614094</v>
      </c>
      <c r="AQ107">
        <v>7.3804897496145108</v>
      </c>
      <c r="AR107">
        <v>7.740407581193824</v>
      </c>
      <c r="AS107">
        <v>878.39699160663497</v>
      </c>
      <c r="AT107">
        <v>25.66028026416771</v>
      </c>
      <c r="AU107">
        <v>11.367751216243589</v>
      </c>
      <c r="AV107">
        <v>17.704004558754011</v>
      </c>
      <c r="AW107">
        <v>7.6400404109717304</v>
      </c>
      <c r="AX107">
        <v>8.1399600994879737</v>
      </c>
      <c r="AY107">
        <v>929.16327225744271</v>
      </c>
      <c r="AZ107">
        <v>25.699796455371061</v>
      </c>
      <c r="BA107">
        <v>11.259965717401654</v>
      </c>
      <c r="BB107">
        <v>19.169405147148918</v>
      </c>
      <c r="BC107">
        <v>8.0545148260728787</v>
      </c>
      <c r="BD107">
        <v>8.7013340885286503</v>
      </c>
      <c r="BE107">
        <v>1000.4164376057421</v>
      </c>
      <c r="BF107">
        <v>26.00690949081984</v>
      </c>
      <c r="BG107">
        <v>11.179762074825842</v>
      </c>
      <c r="BH107">
        <v>20.415499769939093</v>
      </c>
      <c r="BI107">
        <v>8.5358465258306264</v>
      </c>
      <c r="BJ107">
        <v>9.3314982876239814</v>
      </c>
      <c r="BK107">
        <v>1074.8075234501694</v>
      </c>
      <c r="BL107">
        <v>26.168943943679363</v>
      </c>
      <c r="BM107">
        <v>11.220660358238037</v>
      </c>
      <c r="BN107">
        <v>20.904531505910004</v>
      </c>
      <c r="BO107">
        <v>8.6775076872553925</v>
      </c>
      <c r="BP107">
        <v>9.8743701073011518</v>
      </c>
      <c r="BQ107">
        <v>1182.2059672978628</v>
      </c>
      <c r="BR107">
        <v>24.893816523894831</v>
      </c>
      <c r="BS107">
        <v>10.635827575273808</v>
      </c>
      <c r="BU107">
        <v>111</v>
      </c>
      <c r="BV107">
        <v>16.155617328731289</v>
      </c>
      <c r="BW107">
        <v>6.3863791082591872</v>
      </c>
      <c r="BX107">
        <v>7.500873704591374</v>
      </c>
      <c r="BY107">
        <v>879.83216987210653</v>
      </c>
      <c r="BZ107">
        <v>24.840245007320117</v>
      </c>
      <c r="CA107">
        <v>10.219321520867661</v>
      </c>
      <c r="CB107">
        <v>16.866984750401212</v>
      </c>
      <c r="CC107">
        <v>6.5750411143368641</v>
      </c>
      <c r="CD107">
        <v>7.867081074324008</v>
      </c>
      <c r="CE107">
        <v>931.40561050293252</v>
      </c>
      <c r="CF107">
        <v>24.739261716523078</v>
      </c>
      <c r="CG107">
        <v>10.089425261007797</v>
      </c>
      <c r="CH107">
        <v>18.321656792432695</v>
      </c>
      <c r="CI107">
        <v>7.1915402602705187</v>
      </c>
      <c r="CJ107">
        <v>8.3988547185886713</v>
      </c>
      <c r="CK107">
        <v>1001.6011069325656</v>
      </c>
      <c r="CL107">
        <v>25.129755964735907</v>
      </c>
      <c r="CM107">
        <v>10.304943865312238</v>
      </c>
      <c r="CN107">
        <v>19.532629281495044</v>
      </c>
      <c r="CO107">
        <v>7.524388755465333</v>
      </c>
      <c r="CP107">
        <v>9.0387081723263254</v>
      </c>
      <c r="CQ107">
        <v>1076.5604355901387</v>
      </c>
      <c r="CR107">
        <v>25.306249832629305</v>
      </c>
      <c r="CS107">
        <v>10.26286312917631</v>
      </c>
      <c r="CT107">
        <v>19.849230976457399</v>
      </c>
      <c r="CU107">
        <v>7.5430772178427512</v>
      </c>
      <c r="CV107">
        <v>9.4213002523925375</v>
      </c>
      <c r="CW107">
        <v>1184.378338459315</v>
      </c>
      <c r="CX107">
        <v>23.95714020810648</v>
      </c>
      <c r="CY107">
        <v>9.6584917046928673</v>
      </c>
      <c r="DA107">
        <v>111</v>
      </c>
      <c r="DB107">
        <v>13.437486861661732</v>
      </c>
      <c r="DC107">
        <v>5.8108160632985149</v>
      </c>
      <c r="DD107">
        <v>7.1171434948346342</v>
      </c>
      <c r="DE107">
        <v>908.61878478709764</v>
      </c>
      <c r="DF107">
        <v>21.061765966416559</v>
      </c>
      <c r="DG107">
        <v>9.2621074143178337</v>
      </c>
      <c r="DH107">
        <v>14.051952979052421</v>
      </c>
      <c r="DI107">
        <v>6.3468434710859212</v>
      </c>
      <c r="DJ107">
        <v>7.4992039239162818</v>
      </c>
      <c r="DK107">
        <v>957.30762463075632</v>
      </c>
      <c r="DL107">
        <v>21.129316084704829</v>
      </c>
      <c r="DM107">
        <v>9.5780597748172891</v>
      </c>
      <c r="DN107">
        <v>15.618851331698355</v>
      </c>
      <c r="DO107">
        <v>6.5326012893451573</v>
      </c>
      <c r="DP107">
        <v>8.0550784516489742</v>
      </c>
      <c r="DQ107">
        <v>1033.5166177602287</v>
      </c>
      <c r="DR107">
        <v>21.738582180884368</v>
      </c>
      <c r="DS107">
        <v>9.3491522491329562</v>
      </c>
      <c r="DT107">
        <v>16.785855301092322</v>
      </c>
      <c r="DU107">
        <v>7.0357075335779502</v>
      </c>
      <c r="DV107">
        <v>8.7876122825635736</v>
      </c>
      <c r="DW107">
        <v>1123.9836926153957</v>
      </c>
      <c r="DX107">
        <v>21.794740905505204</v>
      </c>
      <c r="DY107">
        <v>9.3950750782591861</v>
      </c>
      <c r="DZ107">
        <v>17.07118102716289</v>
      </c>
      <c r="EA107">
        <v>7.2098646977154868</v>
      </c>
      <c r="EB107">
        <v>9.1867820158078786</v>
      </c>
      <c r="EC107">
        <v>1235.9290046141778</v>
      </c>
      <c r="ED107">
        <v>20.710144247007076</v>
      </c>
      <c r="EE107">
        <v>8.9860305856054907</v>
      </c>
      <c r="EG107">
        <v>111</v>
      </c>
      <c r="EH107">
        <v>12.608056613441232</v>
      </c>
      <c r="EI107">
        <v>5.3539010032618046</v>
      </c>
      <c r="EJ107">
        <v>6.5460911522559151</v>
      </c>
      <c r="EK107">
        <v>919.18566547444073</v>
      </c>
      <c r="EL107">
        <v>19.917288353496673</v>
      </c>
      <c r="EM107">
        <v>8.6585442117620079</v>
      </c>
      <c r="EN107">
        <v>13.204677568668574</v>
      </c>
      <c r="EO107">
        <v>5.7147840772104681</v>
      </c>
      <c r="EP107">
        <v>6.9352967342566698</v>
      </c>
      <c r="EQ107">
        <v>968.38459388089041</v>
      </c>
      <c r="ER107">
        <v>20.01268927985555</v>
      </c>
      <c r="ES107">
        <v>8.81580552981859</v>
      </c>
      <c r="ET107">
        <v>14.402380757988876</v>
      </c>
      <c r="EU107">
        <v>5.9123438404443993</v>
      </c>
      <c r="EV107">
        <v>7.4437391116595935</v>
      </c>
      <c r="EW107">
        <v>1004.4210789765611</v>
      </c>
      <c r="EX107">
        <v>21.157177802793612</v>
      </c>
      <c r="EY107">
        <v>9.0024462367536344</v>
      </c>
      <c r="EZ107">
        <v>15.153225641464386</v>
      </c>
      <c r="FA107">
        <v>6.4361506471330605</v>
      </c>
      <c r="FB107">
        <v>8.1203249219441034</v>
      </c>
      <c r="FC107">
        <v>1111.9349847326653</v>
      </c>
      <c r="FD107">
        <v>20.562626427690578</v>
      </c>
      <c r="FE107">
        <v>8.9576768688597799</v>
      </c>
      <c r="FF107">
        <v>15.320935309595763</v>
      </c>
      <c r="FG107">
        <v>6.552082707758597</v>
      </c>
      <c r="FH107">
        <v>8.4936101680351275</v>
      </c>
      <c r="FI107">
        <v>1231.9451827531118</v>
      </c>
      <c r="FJ107">
        <v>19.356398791837506</v>
      </c>
      <c r="FK107">
        <v>8.4811515913342035</v>
      </c>
    </row>
    <row r="108" spans="2:167" x14ac:dyDescent="0.25">
      <c r="B108">
        <v>601.59567497847854</v>
      </c>
      <c r="C108">
        <v>1.6622459927687709</v>
      </c>
      <c r="D108">
        <v>651.76567554015719</v>
      </c>
      <c r="E108">
        <v>1.5342937462474382</v>
      </c>
      <c r="F108">
        <v>732.9125212748321</v>
      </c>
      <c r="G108">
        <v>1.3644193146824597</v>
      </c>
      <c r="H108">
        <v>821.81558446105635</v>
      </c>
      <c r="I108">
        <v>1.2168180050464683</v>
      </c>
      <c r="J108">
        <v>911.78290900060495</v>
      </c>
      <c r="K108">
        <v>1.0967522972064576</v>
      </c>
      <c r="L108">
        <v>690.73753805648187</v>
      </c>
      <c r="M108">
        <v>1.4477278921508818</v>
      </c>
      <c r="N108">
        <v>688.72549731865342</v>
      </c>
      <c r="O108">
        <v>1.4519572803579956</v>
      </c>
      <c r="Q108">
        <v>0.21492625275247765</v>
      </c>
      <c r="R108">
        <v>0.21553905034847154</v>
      </c>
      <c r="S108">
        <v>0.21529487379644532</v>
      </c>
      <c r="T108">
        <v>0.21624586372707733</v>
      </c>
      <c r="U108">
        <v>0.21659449771933359</v>
      </c>
      <c r="V108">
        <v>0.21542306405239167</v>
      </c>
      <c r="W108">
        <v>0.21527665689343761</v>
      </c>
      <c r="Y108">
        <v>2.1478582105306718</v>
      </c>
      <c r="Z108">
        <v>2.2066461186472974</v>
      </c>
      <c r="AA108">
        <v>2.234133780666002</v>
      </c>
      <c r="AB108">
        <v>2.3827331312248705</v>
      </c>
      <c r="AC108">
        <v>2.4483108740272961</v>
      </c>
      <c r="AD108">
        <v>2.2216074271870125</v>
      </c>
      <c r="AE108">
        <v>2.2171917690982887</v>
      </c>
      <c r="AG108">
        <v>0.8657407862707811</v>
      </c>
      <c r="AH108">
        <v>0.89620870940024988</v>
      </c>
      <c r="AI108">
        <v>0.90622832773697537</v>
      </c>
      <c r="AJ108">
        <v>0.96787721724170883</v>
      </c>
      <c r="AK108">
        <v>0.99868233604098844</v>
      </c>
      <c r="AL108">
        <v>0.90296876622679734</v>
      </c>
      <c r="AM108">
        <v>0.89981511795400937</v>
      </c>
      <c r="AO108">
        <v>112</v>
      </c>
      <c r="AP108">
        <v>16.85871781257919</v>
      </c>
      <c r="AQ108">
        <v>7.3901923814964272</v>
      </c>
      <c r="AR108">
        <v>7.7395695004328022</v>
      </c>
      <c r="AS108">
        <v>875.82418342350331</v>
      </c>
      <c r="AT108">
        <v>25.667283714073825</v>
      </c>
      <c r="AU108">
        <v>11.371353863011811</v>
      </c>
      <c r="AV108">
        <v>17.726537699884961</v>
      </c>
      <c r="AW108">
        <v>7.6539624145256626</v>
      </c>
      <c r="AX108">
        <v>8.138907803300663</v>
      </c>
      <c r="AY108">
        <v>926.49012155440039</v>
      </c>
      <c r="AZ108">
        <v>25.706303411173241</v>
      </c>
      <c r="BA108">
        <v>11.265449559687571</v>
      </c>
      <c r="BB108">
        <v>19.176072367479687</v>
      </c>
      <c r="BC108">
        <v>8.0681670290709668</v>
      </c>
      <c r="BD108">
        <v>8.7013340885286503</v>
      </c>
      <c r="BE108">
        <v>1001.4368497879949</v>
      </c>
      <c r="BF108">
        <v>25.987067453909962</v>
      </c>
      <c r="BG108">
        <v>11.182003092402459</v>
      </c>
      <c r="BH108">
        <v>20.422227311850779</v>
      </c>
      <c r="BI108">
        <v>8.5527990990084994</v>
      </c>
      <c r="BJ108">
        <v>9.3310730435690257</v>
      </c>
      <c r="BK108">
        <v>1074.8571956154456</v>
      </c>
      <c r="BL108">
        <v>26.14419129135063</v>
      </c>
      <c r="BM108">
        <v>11.222293158248553</v>
      </c>
      <c r="BN108">
        <v>20.913184099336085</v>
      </c>
      <c r="BO108">
        <v>8.6957721357422866</v>
      </c>
      <c r="BP108">
        <v>9.8742906991828843</v>
      </c>
      <c r="BQ108">
        <v>1183.3511637377703</v>
      </c>
      <c r="BR108">
        <v>24.872484603868646</v>
      </c>
      <c r="BS108">
        <v>10.638888467277665</v>
      </c>
      <c r="BU108">
        <v>112</v>
      </c>
      <c r="BV108">
        <v>16.167351661398893</v>
      </c>
      <c r="BW108">
        <v>6.40180856695864</v>
      </c>
      <c r="BX108">
        <v>7.5000533832041363</v>
      </c>
      <c r="BY108">
        <v>876.88320459977285</v>
      </c>
      <c r="BZ108">
        <v>24.847849216524317</v>
      </c>
      <c r="CA108">
        <v>10.230464958042777</v>
      </c>
      <c r="CB108">
        <v>16.883911718541821</v>
      </c>
      <c r="CC108">
        <v>6.5943125201377821</v>
      </c>
      <c r="CD108">
        <v>7.8660589370601439</v>
      </c>
      <c r="CE108">
        <v>928.32186723697021</v>
      </c>
      <c r="CF108">
        <v>24.747892947053181</v>
      </c>
      <c r="CG108">
        <v>10.101752601652557</v>
      </c>
      <c r="CH108">
        <v>18.322976594219522</v>
      </c>
      <c r="CI108">
        <v>7.2084830882732689</v>
      </c>
      <c r="CJ108">
        <v>8.3988547185886713</v>
      </c>
      <c r="CK108">
        <v>1002.4490578920933</v>
      </c>
      <c r="CL108">
        <v>25.109815800456438</v>
      </c>
      <c r="CM108">
        <v>10.313128561481768</v>
      </c>
      <c r="CN108">
        <v>19.533824420756684</v>
      </c>
      <c r="CO108">
        <v>7.5448866850229352</v>
      </c>
      <c r="CP108">
        <v>9.0382984475836032</v>
      </c>
      <c r="CQ108">
        <v>1076.3430254536659</v>
      </c>
      <c r="CR108">
        <v>25.282710621449787</v>
      </c>
      <c r="CS108">
        <v>10.270378380353751</v>
      </c>
      <c r="CT108">
        <v>19.853689355647585</v>
      </c>
      <c r="CU108">
        <v>7.5653208993984018</v>
      </c>
      <c r="CV108">
        <v>9.4212243552239254</v>
      </c>
      <c r="CW108">
        <v>1185.3304716319826</v>
      </c>
      <c r="CX108">
        <v>23.937112506931747</v>
      </c>
      <c r="CY108">
        <v>9.6674219439481881</v>
      </c>
      <c r="DA108">
        <v>112</v>
      </c>
      <c r="DB108">
        <v>13.437715589546144</v>
      </c>
      <c r="DC108">
        <v>5.8270647829778994</v>
      </c>
      <c r="DD108">
        <v>7.117393854059757</v>
      </c>
      <c r="DE108">
        <v>908.65072080442508</v>
      </c>
      <c r="DF108">
        <v>20.975084419315884</v>
      </c>
      <c r="DG108">
        <v>9.2402712293458436</v>
      </c>
      <c r="DH108">
        <v>14.051567179832816</v>
      </c>
      <c r="DI108">
        <v>6.3689789787387596</v>
      </c>
      <c r="DJ108">
        <v>7.4991020172429534</v>
      </c>
      <c r="DK108">
        <v>957.2382497817058</v>
      </c>
      <c r="DL108">
        <v>21.041434205824167</v>
      </c>
      <c r="DM108">
        <v>9.5611978503994735</v>
      </c>
      <c r="DN108">
        <v>15.618851331698355</v>
      </c>
      <c r="DO108">
        <v>6.5542726033451313</v>
      </c>
      <c r="DP108">
        <v>8.0550784516489742</v>
      </c>
      <c r="DQ108">
        <v>1034.4747846695127</v>
      </c>
      <c r="DR108">
        <v>21.71844714191662</v>
      </c>
      <c r="DS108">
        <v>9.3614418340251184</v>
      </c>
      <c r="DT108">
        <v>16.785478446374917</v>
      </c>
      <c r="DU108">
        <v>7.0728799074875415</v>
      </c>
      <c r="DV108">
        <v>8.7874826743225789</v>
      </c>
      <c r="DW108">
        <v>1128.0255097252661</v>
      </c>
      <c r="DX108">
        <v>21.687916679772105</v>
      </c>
      <c r="DY108">
        <v>9.3813865641264336</v>
      </c>
      <c r="DZ108">
        <v>17.071106978735219</v>
      </c>
      <c r="EA108">
        <v>7.2497010408505194</v>
      </c>
      <c r="EB108">
        <v>9.1867521062920332</v>
      </c>
      <c r="EC108">
        <v>1241.4060417224425</v>
      </c>
      <c r="ED108">
        <v>20.61437242961199</v>
      </c>
      <c r="EE108">
        <v>8.976490833149251</v>
      </c>
      <c r="EG108">
        <v>112</v>
      </c>
      <c r="EH108">
        <v>12.608848716061235</v>
      </c>
      <c r="EI108">
        <v>5.3682822025184649</v>
      </c>
      <c r="EJ108">
        <v>6.5462716588685268</v>
      </c>
      <c r="EK108">
        <v>920.0993849987558</v>
      </c>
      <c r="EL108">
        <v>19.813249525305132</v>
      </c>
      <c r="EM108">
        <v>8.6266730115516701</v>
      </c>
      <c r="EN108">
        <v>13.204767297572394</v>
      </c>
      <c r="EO108">
        <v>5.7348839287325637</v>
      </c>
      <c r="EP108">
        <v>6.9351796199209952</v>
      </c>
      <c r="EQ108">
        <v>969.31403223979453</v>
      </c>
      <c r="ER108">
        <v>19.90569116722159</v>
      </c>
      <c r="ES108">
        <v>8.7879149200426614</v>
      </c>
      <c r="ET108">
        <v>14.402380757988876</v>
      </c>
      <c r="EU108">
        <v>5.9319586562696465</v>
      </c>
      <c r="EV108">
        <v>7.4437391116595935</v>
      </c>
      <c r="EW108">
        <v>1005.370435597666</v>
      </c>
      <c r="EX108">
        <v>21.137199388748609</v>
      </c>
      <c r="EY108">
        <v>9.0134553966536526</v>
      </c>
      <c r="EZ108">
        <v>15.152831333726944</v>
      </c>
      <c r="FA108">
        <v>6.4698190401947828</v>
      </c>
      <c r="FB108">
        <v>8.1202017642727089</v>
      </c>
      <c r="FC108">
        <v>1114.6716236812204</v>
      </c>
      <c r="FD108">
        <v>20.483051393672721</v>
      </c>
      <c r="FE108">
        <v>8.9527554856726841</v>
      </c>
      <c r="FF108">
        <v>15.320870150818738</v>
      </c>
      <c r="FG108">
        <v>6.5881581693650171</v>
      </c>
      <c r="FH108">
        <v>8.4935821549011354</v>
      </c>
      <c r="FI108">
        <v>1237.9432197602562</v>
      </c>
      <c r="FJ108">
        <v>19.258209320082894</v>
      </c>
      <c r="FK108">
        <v>8.46721151256199</v>
      </c>
    </row>
    <row r="109" spans="2:167" x14ac:dyDescent="0.25">
      <c r="B109">
        <v>601.20625038839387</v>
      </c>
      <c r="C109">
        <v>1.6633226939240497</v>
      </c>
      <c r="D109">
        <v>645.69394725378049</v>
      </c>
      <c r="E109">
        <v>1.5487213474017045</v>
      </c>
      <c r="F109">
        <v>732.9125212748321</v>
      </c>
      <c r="G109">
        <v>1.3644193146824597</v>
      </c>
      <c r="H109">
        <v>821.81558446105635</v>
      </c>
      <c r="I109">
        <v>1.2168180050464683</v>
      </c>
      <c r="J109">
        <v>911.78290900060495</v>
      </c>
      <c r="K109">
        <v>1.0967522972064576</v>
      </c>
      <c r="L109">
        <v>690.73753805648187</v>
      </c>
      <c r="M109">
        <v>1.4477278921508818</v>
      </c>
      <c r="N109">
        <v>688.72549731865342</v>
      </c>
      <c r="O109">
        <v>1.4519572803579956</v>
      </c>
      <c r="Q109">
        <v>0.21679587108732468</v>
      </c>
      <c r="R109">
        <v>0.21736129486792594</v>
      </c>
      <c r="S109">
        <v>0.21716440205334506</v>
      </c>
      <c r="T109">
        <v>0.21811784808488216</v>
      </c>
      <c r="U109">
        <v>0.21846650802542711</v>
      </c>
      <c r="V109">
        <v>0.21729396163553683</v>
      </c>
      <c r="W109">
        <v>0.21714945489111842</v>
      </c>
      <c r="Y109">
        <v>2.1478538101915015</v>
      </c>
      <c r="Z109">
        <v>2.2065577053811301</v>
      </c>
      <c r="AA109">
        <v>2.234133780666002</v>
      </c>
      <c r="AB109">
        <v>2.3827331312248705</v>
      </c>
      <c r="AC109">
        <v>2.4483108740272961</v>
      </c>
      <c r="AD109">
        <v>2.2216074271870125</v>
      </c>
      <c r="AE109">
        <v>2.2171917690982887</v>
      </c>
      <c r="AG109">
        <v>0.86576771256102381</v>
      </c>
      <c r="AH109">
        <v>0.89701154487435297</v>
      </c>
      <c r="AI109">
        <v>0.90622832773697537</v>
      </c>
      <c r="AJ109">
        <v>0.96927944140201916</v>
      </c>
      <c r="AK109">
        <v>1.0002878780552662</v>
      </c>
      <c r="AL109">
        <v>0.90347113989595806</v>
      </c>
      <c r="AM109">
        <v>0.9000771092912937</v>
      </c>
      <c r="AO109">
        <v>113</v>
      </c>
      <c r="AP109">
        <v>16.876009568107257</v>
      </c>
      <c r="AQ109">
        <v>7.3994608889774636</v>
      </c>
      <c r="AR109">
        <v>7.7395305624900557</v>
      </c>
      <c r="AS109">
        <v>876.10270305630775</v>
      </c>
      <c r="AT109">
        <v>25.674707649304814</v>
      </c>
      <c r="AU109">
        <v>11.37641984951223</v>
      </c>
      <c r="AV109">
        <v>17.74715740044903</v>
      </c>
      <c r="AW109">
        <v>7.6670949346493442</v>
      </c>
      <c r="AX109">
        <v>8.1382071172396042</v>
      </c>
      <c r="AY109">
        <v>924.8149276783023</v>
      </c>
      <c r="AZ109">
        <v>25.713816820937424</v>
      </c>
      <c r="BA109">
        <v>11.272018459484466</v>
      </c>
      <c r="BB109">
        <v>19.179569238697606</v>
      </c>
      <c r="BC109">
        <v>8.0806853268350576</v>
      </c>
      <c r="BD109">
        <v>8.7013340885286503</v>
      </c>
      <c r="BE109">
        <v>1002.3371513733175</v>
      </c>
      <c r="BF109">
        <v>25.967214526398038</v>
      </c>
      <c r="BG109">
        <v>11.184448499768195</v>
      </c>
      <c r="BH109">
        <v>20.426433203792449</v>
      </c>
      <c r="BI109">
        <v>8.5688868150289004</v>
      </c>
      <c r="BJ109">
        <v>9.3310730435690257</v>
      </c>
      <c r="BK109">
        <v>1075.8461937466066</v>
      </c>
      <c r="BL109">
        <v>26.124066979425713</v>
      </c>
      <c r="BM109">
        <v>11.226930335094602</v>
      </c>
      <c r="BN109">
        <v>20.918501270408939</v>
      </c>
      <c r="BO109">
        <v>8.7129220387461661</v>
      </c>
      <c r="BP109">
        <v>9.8742906991828843</v>
      </c>
      <c r="BQ109">
        <v>1184.4220348490348</v>
      </c>
      <c r="BR109">
        <v>24.854485906168364</v>
      </c>
      <c r="BS109">
        <v>10.64374908665059</v>
      </c>
      <c r="BU109">
        <v>113</v>
      </c>
      <c r="BV109">
        <v>16.177979696598772</v>
      </c>
      <c r="BW109">
        <v>6.4167909512389008</v>
      </c>
      <c r="BX109">
        <v>7.5000152703769531</v>
      </c>
      <c r="BY109">
        <v>876.84422333678879</v>
      </c>
      <c r="BZ109">
        <v>24.856924776541973</v>
      </c>
      <c r="CA109">
        <v>10.246109861262966</v>
      </c>
      <c r="CB109">
        <v>16.898940992037936</v>
      </c>
      <c r="CC109">
        <v>6.6130150279036286</v>
      </c>
      <c r="CD109">
        <v>7.8653783327379827</v>
      </c>
      <c r="CE109">
        <v>926.28016627076863</v>
      </c>
      <c r="CF109">
        <v>24.757417971609389</v>
      </c>
      <c r="CG109">
        <v>10.116216854104316</v>
      </c>
      <c r="CH109">
        <v>18.322976594219522</v>
      </c>
      <c r="CI109">
        <v>7.2245348504931108</v>
      </c>
      <c r="CJ109">
        <v>8.3988547185886713</v>
      </c>
      <c r="CK109">
        <v>1003.2458319305689</v>
      </c>
      <c r="CL109">
        <v>25.089873679887436</v>
      </c>
      <c r="CM109">
        <v>10.320937743316609</v>
      </c>
      <c r="CN109">
        <v>19.533824420756684</v>
      </c>
      <c r="CO109">
        <v>7.5647179218879428</v>
      </c>
      <c r="CP109">
        <v>9.0382984475836032</v>
      </c>
      <c r="CQ109">
        <v>1077.2046190710705</v>
      </c>
      <c r="CR109">
        <v>25.262488444793217</v>
      </c>
      <c r="CS109">
        <v>10.280573606227954</v>
      </c>
      <c r="CT109">
        <v>19.85488957733952</v>
      </c>
      <c r="CU109">
        <v>7.5867502616570155</v>
      </c>
      <c r="CV109">
        <v>9.4212243552239254</v>
      </c>
      <c r="CW109">
        <v>1186.2765818486002</v>
      </c>
      <c r="CX109">
        <v>23.919033312471228</v>
      </c>
      <c r="CY109">
        <v>9.6777761191692413</v>
      </c>
      <c r="DA109">
        <v>113</v>
      </c>
      <c r="DB109">
        <v>13.437726216437587</v>
      </c>
      <c r="DC109">
        <v>5.8430116848533702</v>
      </c>
      <c r="DD109">
        <v>7.1174054859616307</v>
      </c>
      <c r="DE109">
        <v>912.25134202596053</v>
      </c>
      <c r="DF109">
        <v>20.888319416168606</v>
      </c>
      <c r="DG109">
        <v>9.21945804810629</v>
      </c>
      <c r="DH109">
        <v>14.051310290053296</v>
      </c>
      <c r="DI109">
        <v>6.3906299187190241</v>
      </c>
      <c r="DJ109">
        <v>7.4990341612662892</v>
      </c>
      <c r="DK109">
        <v>958.52988592513498</v>
      </c>
      <c r="DL109">
        <v>20.953623698240445</v>
      </c>
      <c r="DM109">
        <v>9.543850488956787</v>
      </c>
      <c r="DN109">
        <v>15.618851331698355</v>
      </c>
      <c r="DO109">
        <v>6.5752597572930318</v>
      </c>
      <c r="DP109">
        <v>8.0550784516489742</v>
      </c>
      <c r="DQ109">
        <v>1035.4347238672869</v>
      </c>
      <c r="DR109">
        <v>21.698312228294593</v>
      </c>
      <c r="DS109">
        <v>9.3730318828298493</v>
      </c>
      <c r="DT109">
        <v>16.785478446374917</v>
      </c>
      <c r="DU109">
        <v>7.1096972863321231</v>
      </c>
      <c r="DV109">
        <v>8.7874826743225789</v>
      </c>
      <c r="DW109">
        <v>1129.079069511743</v>
      </c>
      <c r="DX109">
        <v>21.667679375332344</v>
      </c>
      <c r="DY109">
        <v>9.4052409849074969</v>
      </c>
      <c r="DZ109">
        <v>17.071106978735219</v>
      </c>
      <c r="EA109">
        <v>7.2891126757926035</v>
      </c>
      <c r="EB109">
        <v>9.1867521062920332</v>
      </c>
      <c r="EC109">
        <v>1242.5081046695275</v>
      </c>
      <c r="ED109">
        <v>20.596088173801743</v>
      </c>
      <c r="EE109">
        <v>9.0002484061494474</v>
      </c>
      <c r="EG109">
        <v>113</v>
      </c>
      <c r="EH109">
        <v>12.608885517820566</v>
      </c>
      <c r="EI109">
        <v>5.3823805960061906</v>
      </c>
      <c r="EJ109">
        <v>6.5462800453587962</v>
      </c>
      <c r="EK109">
        <v>924.77299184028971</v>
      </c>
      <c r="EL109">
        <v>19.709222568426267</v>
      </c>
      <c r="EM109">
        <v>8.5965225611419882</v>
      </c>
      <c r="EN109">
        <v>13.204827044811752</v>
      </c>
      <c r="EO109">
        <v>5.7545504685973352</v>
      </c>
      <c r="EP109">
        <v>6.935101637710714</v>
      </c>
      <c r="EQ109">
        <v>971.70827844972735</v>
      </c>
      <c r="ER109">
        <v>19.798319840028395</v>
      </c>
      <c r="ES109">
        <v>8.7598167671522855</v>
      </c>
      <c r="ET109">
        <v>14.402380757988876</v>
      </c>
      <c r="EU109">
        <v>5.9509543046019484</v>
      </c>
      <c r="EV109">
        <v>7.4437391116595935</v>
      </c>
      <c r="EW109">
        <v>1006.3215895099803</v>
      </c>
      <c r="EX109">
        <v>21.117220954316167</v>
      </c>
      <c r="EY109">
        <v>9.0238123889679898</v>
      </c>
      <c r="EZ109">
        <v>15.152831333726944</v>
      </c>
      <c r="FA109">
        <v>6.5031556376941007</v>
      </c>
      <c r="FB109">
        <v>8.1202017642727089</v>
      </c>
      <c r="FC109">
        <v>1115.7632129097524</v>
      </c>
      <c r="FD109">
        <v>20.463012125474865</v>
      </c>
      <c r="FE109">
        <v>8.9738745419140393</v>
      </c>
      <c r="FF109">
        <v>15.320870150818738</v>
      </c>
      <c r="FG109">
        <v>6.6238441874621019</v>
      </c>
      <c r="FH109">
        <v>8.4935821549011354</v>
      </c>
      <c r="FI109">
        <v>1238.9875510886918</v>
      </c>
      <c r="FJ109">
        <v>19.241976750752507</v>
      </c>
      <c r="FK109">
        <v>8.4888771409425487</v>
      </c>
    </row>
    <row r="110" spans="2:167" x14ac:dyDescent="0.25">
      <c r="B110">
        <v>601.20625038839387</v>
      </c>
      <c r="C110">
        <v>1.6633226939240497</v>
      </c>
      <c r="D110">
        <v>645.69394725378049</v>
      </c>
      <c r="E110">
        <v>1.5487213474017045</v>
      </c>
      <c r="F110">
        <v>732.9125212748321</v>
      </c>
      <c r="G110">
        <v>1.3644193146824597</v>
      </c>
      <c r="H110">
        <v>821.81558446105635</v>
      </c>
      <c r="I110">
        <v>1.2168180050464683</v>
      </c>
      <c r="J110">
        <v>911.78290900060495</v>
      </c>
      <c r="K110">
        <v>1.0967522972064576</v>
      </c>
      <c r="L110">
        <v>690.73753805648187</v>
      </c>
      <c r="M110">
        <v>1.4477278921508818</v>
      </c>
      <c r="N110">
        <v>688.72549731865342</v>
      </c>
      <c r="O110">
        <v>1.4519572803579956</v>
      </c>
      <c r="Q110">
        <v>0.21866882651267691</v>
      </c>
      <c r="R110">
        <v>0.21923572976568595</v>
      </c>
      <c r="S110">
        <v>0.21903393031024482</v>
      </c>
      <c r="T110">
        <v>0.21998983244268697</v>
      </c>
      <c r="U110">
        <v>0.22033851833152063</v>
      </c>
      <c r="V110">
        <v>0.21916485921868201</v>
      </c>
      <c r="W110">
        <v>0.21902225288879923</v>
      </c>
      <c r="Y110">
        <v>2.1478538101915015</v>
      </c>
      <c r="Z110">
        <v>2.2065577053811301</v>
      </c>
      <c r="AA110">
        <v>2.234133780666002</v>
      </c>
      <c r="AB110">
        <v>2.3827331312248705</v>
      </c>
      <c r="AC110">
        <v>2.4483108740272961</v>
      </c>
      <c r="AD110">
        <v>2.2216074271870125</v>
      </c>
      <c r="AE110">
        <v>2.2171917690982887</v>
      </c>
      <c r="AG110">
        <v>0.86576771256102381</v>
      </c>
      <c r="AH110">
        <v>0.89772173788566378</v>
      </c>
      <c r="AI110">
        <v>0.90622832773697537</v>
      </c>
      <c r="AJ110">
        <v>0.9705686683641912</v>
      </c>
      <c r="AK110">
        <v>1.0017791224284063</v>
      </c>
      <c r="AL110">
        <v>0.90385768701081637</v>
      </c>
      <c r="AM110">
        <v>0.90021695634580723</v>
      </c>
      <c r="AO110">
        <v>114</v>
      </c>
      <c r="AP110">
        <v>16.890989527501162</v>
      </c>
      <c r="AQ110">
        <v>7.4077115639853677</v>
      </c>
      <c r="AR110">
        <v>7.7395305624900557</v>
      </c>
      <c r="AS110">
        <v>877.36432494953237</v>
      </c>
      <c r="AT110">
        <v>25.654862057931354</v>
      </c>
      <c r="AU110">
        <v>11.369464853546209</v>
      </c>
      <c r="AV110">
        <v>17.766418467711734</v>
      </c>
      <c r="AW110">
        <v>7.6796652461527559</v>
      </c>
      <c r="AX110">
        <v>8.1382071172396042</v>
      </c>
      <c r="AY110">
        <v>926.28178903324886</v>
      </c>
      <c r="AZ110">
        <v>25.693890339451297</v>
      </c>
      <c r="BA110">
        <v>11.267738793389347</v>
      </c>
      <c r="BB110">
        <v>19.179895760802655</v>
      </c>
      <c r="BC110">
        <v>8.0920697193651439</v>
      </c>
      <c r="BD110">
        <v>8.7013340885286503</v>
      </c>
      <c r="BE110">
        <v>1003.1170655605478</v>
      </c>
      <c r="BF110">
        <v>25.947350766134118</v>
      </c>
      <c r="BG110">
        <v>11.187101712000493</v>
      </c>
      <c r="BH110">
        <v>20.427192307563793</v>
      </c>
      <c r="BI110">
        <v>8.5838018955903017</v>
      </c>
      <c r="BJ110">
        <v>9.3310730435690257</v>
      </c>
      <c r="BK110">
        <v>1076.7042979206815</v>
      </c>
      <c r="BL110">
        <v>26.103951830643133</v>
      </c>
      <c r="BM110">
        <v>11.231835307415237</v>
      </c>
      <c r="BN110">
        <v>20.9203131034675</v>
      </c>
      <c r="BO110">
        <v>8.7289003279517328</v>
      </c>
      <c r="BP110">
        <v>9.8742906991828843</v>
      </c>
      <c r="BQ110">
        <v>1185.3598885312563</v>
      </c>
      <c r="BR110">
        <v>24.836349609946211</v>
      </c>
      <c r="BS110">
        <v>10.648807474394282</v>
      </c>
      <c r="BU110">
        <v>114</v>
      </c>
      <c r="BV110">
        <v>16.186249253051344</v>
      </c>
      <c r="BW110">
        <v>6.4310522692888856</v>
      </c>
      <c r="BX110">
        <v>7.5000152703769531</v>
      </c>
      <c r="BY110">
        <v>877.88570510322461</v>
      </c>
      <c r="BZ110">
        <v>24.836855560960203</v>
      </c>
      <c r="CA110">
        <v>10.250199438564099</v>
      </c>
      <c r="CB110">
        <v>16.912638699443487</v>
      </c>
      <c r="CC110">
        <v>6.6312749532720936</v>
      </c>
      <c r="CD110">
        <v>7.8653783327379827</v>
      </c>
      <c r="CE110">
        <v>927.57743174776022</v>
      </c>
      <c r="CF110">
        <v>24.737560614586631</v>
      </c>
      <c r="CG110">
        <v>10.121754404189161</v>
      </c>
      <c r="CH110">
        <v>18.322976594219522</v>
      </c>
      <c r="CI110">
        <v>7.2396955469300392</v>
      </c>
      <c r="CJ110">
        <v>8.3988547185886713</v>
      </c>
      <c r="CK110">
        <v>1004.0438754127317</v>
      </c>
      <c r="CL110">
        <v>25.069931513365788</v>
      </c>
      <c r="CM110">
        <v>10.327833995074752</v>
      </c>
      <c r="CN110">
        <v>19.533824420756684</v>
      </c>
      <c r="CO110">
        <v>7.5836564272494762</v>
      </c>
      <c r="CP110">
        <v>9.0382984475836032</v>
      </c>
      <c r="CQ110">
        <v>1078.0675855609522</v>
      </c>
      <c r="CR110">
        <v>25.242266446403814</v>
      </c>
      <c r="CS110">
        <v>10.289911346252257</v>
      </c>
      <c r="CT110">
        <v>19.85488957733952</v>
      </c>
      <c r="CU110">
        <v>7.6073238413702056</v>
      </c>
      <c r="CV110">
        <v>9.4212243552239254</v>
      </c>
      <c r="CW110">
        <v>1187.1763884556017</v>
      </c>
      <c r="CX110">
        <v>23.900904157935361</v>
      </c>
      <c r="CY110">
        <v>9.6877708031399337</v>
      </c>
      <c r="DA110">
        <v>114</v>
      </c>
      <c r="DB110">
        <v>13.437726216437587</v>
      </c>
      <c r="DC110">
        <v>5.8583466364842627</v>
      </c>
      <c r="DD110">
        <v>7.1174054859616307</v>
      </c>
      <c r="DE110">
        <v>913.12656387034508</v>
      </c>
      <c r="DF110">
        <v>20.868298190011277</v>
      </c>
      <c r="DG110">
        <v>9.2274151931958031</v>
      </c>
      <c r="DH110">
        <v>14.051310290053296</v>
      </c>
      <c r="DI110">
        <v>6.4119277977871549</v>
      </c>
      <c r="DJ110">
        <v>7.4990341612662892</v>
      </c>
      <c r="DK110">
        <v>959.4523828692445</v>
      </c>
      <c r="DL110">
        <v>20.93347714988143</v>
      </c>
      <c r="DM110">
        <v>9.5568721942337778</v>
      </c>
      <c r="DN110">
        <v>15.618851331698355</v>
      </c>
      <c r="DO110">
        <v>6.5955627511888606</v>
      </c>
      <c r="DP110">
        <v>8.0550784516489742</v>
      </c>
      <c r="DQ110">
        <v>1036.3964402753152</v>
      </c>
      <c r="DR110">
        <v>21.678177440017119</v>
      </c>
      <c r="DS110">
        <v>9.3839242353143284</v>
      </c>
      <c r="DT110">
        <v>16.785478446374917</v>
      </c>
      <c r="DU110">
        <v>7.1460454604484767</v>
      </c>
      <c r="DV110">
        <v>8.7874826743225789</v>
      </c>
      <c r="DW110">
        <v>1130.1345875581835</v>
      </c>
      <c r="DX110">
        <v>21.647442293079543</v>
      </c>
      <c r="DY110">
        <v>9.42861941506664</v>
      </c>
      <c r="DZ110">
        <v>17.071106978735219</v>
      </c>
      <c r="EA110">
        <v>7.3280775873875132</v>
      </c>
      <c r="EB110">
        <v>9.1867521062920332</v>
      </c>
      <c r="EC110">
        <v>1243.6122160297869</v>
      </c>
      <c r="ED110">
        <v>20.577802429550857</v>
      </c>
      <c r="EE110">
        <v>9.0235897940116505</v>
      </c>
      <c r="EG110">
        <v>114</v>
      </c>
      <c r="EH110">
        <v>12.608885517820566</v>
      </c>
      <c r="EI110">
        <v>5.395899226246585</v>
      </c>
      <c r="EJ110">
        <v>6.5462800453587962</v>
      </c>
      <c r="EK110">
        <v>925.7165963255211</v>
      </c>
      <c r="EL110">
        <v>19.689132498863064</v>
      </c>
      <c r="EM110">
        <v>8.6023633476373043</v>
      </c>
      <c r="EN110">
        <v>13.204827044811752</v>
      </c>
      <c r="EO110">
        <v>5.7739004475108064</v>
      </c>
      <c r="EP110">
        <v>6.935101637710714</v>
      </c>
      <c r="EQ110">
        <v>972.6946637917514</v>
      </c>
      <c r="ER110">
        <v>19.778242858819535</v>
      </c>
      <c r="ES110">
        <v>8.7708268245260861</v>
      </c>
      <c r="ET110">
        <v>14.402380757988876</v>
      </c>
      <c r="EU110">
        <v>5.969330785441306</v>
      </c>
      <c r="EV110">
        <v>7.4437391116595935</v>
      </c>
      <c r="EW110">
        <v>1007.2745458222001</v>
      </c>
      <c r="EX110">
        <v>21.097242499496257</v>
      </c>
      <c r="EY110">
        <v>9.0335189599357104</v>
      </c>
      <c r="EZ110">
        <v>15.152831333726944</v>
      </c>
      <c r="FA110">
        <v>6.5360534106613537</v>
      </c>
      <c r="FB110">
        <v>8.1202017642727089</v>
      </c>
      <c r="FC110">
        <v>1116.8569401027667</v>
      </c>
      <c r="FD110">
        <v>20.442972895732016</v>
      </c>
      <c r="FE110">
        <v>8.9945421865560995</v>
      </c>
      <c r="FF110">
        <v>15.320870150818738</v>
      </c>
      <c r="FG110">
        <v>6.6591206031024566</v>
      </c>
      <c r="FH110">
        <v>8.4935821549011354</v>
      </c>
      <c r="FI110">
        <v>1240.0338401537683</v>
      </c>
      <c r="FJ110">
        <v>19.225741169744271</v>
      </c>
      <c r="FK110">
        <v>8.5101625248234729</v>
      </c>
    </row>
    <row r="111" spans="2:167" x14ac:dyDescent="0.25">
      <c r="B111">
        <v>601.20625038839387</v>
      </c>
      <c r="C111">
        <v>1.6633226939240497</v>
      </c>
      <c r="D111">
        <v>645.69394725378049</v>
      </c>
      <c r="E111">
        <v>1.5487213474017045</v>
      </c>
      <c r="F111">
        <v>732.9125212748321</v>
      </c>
      <c r="G111">
        <v>1.3644193146824597</v>
      </c>
      <c r="H111">
        <v>821.81558446105635</v>
      </c>
      <c r="I111">
        <v>1.2168180050464683</v>
      </c>
      <c r="J111">
        <v>911.78290900060495</v>
      </c>
      <c r="K111">
        <v>1.0967522972064576</v>
      </c>
      <c r="L111">
        <v>690.73753805648187</v>
      </c>
      <c r="M111">
        <v>1.4477278921508818</v>
      </c>
      <c r="N111">
        <v>688.72549731865342</v>
      </c>
      <c r="O111">
        <v>1.4519572803579956</v>
      </c>
      <c r="Q111">
        <v>0.22054178193802912</v>
      </c>
      <c r="R111">
        <v>0.22111016466344596</v>
      </c>
      <c r="S111">
        <v>0.22090345856714458</v>
      </c>
      <c r="T111">
        <v>0.2218618168004918</v>
      </c>
      <c r="U111">
        <v>0.22221052863761412</v>
      </c>
      <c r="V111">
        <v>0.22103575680182719</v>
      </c>
      <c r="W111">
        <v>0.22089505088648007</v>
      </c>
      <c r="Y111">
        <v>2.1478538101915015</v>
      </c>
      <c r="Z111">
        <v>2.2065577053811301</v>
      </c>
      <c r="AA111">
        <v>2.234133780666002</v>
      </c>
      <c r="AB111">
        <v>2.3827331312248705</v>
      </c>
      <c r="AC111">
        <v>2.4483108740272961</v>
      </c>
      <c r="AD111">
        <v>2.2216074271870125</v>
      </c>
      <c r="AE111">
        <v>2.2171917690982887</v>
      </c>
      <c r="AG111">
        <v>0.86576771256102381</v>
      </c>
      <c r="AH111">
        <v>0.89832340101388841</v>
      </c>
      <c r="AI111">
        <v>0.90622832773697537</v>
      </c>
      <c r="AJ111">
        <v>0.9717448981282254</v>
      </c>
      <c r="AK111">
        <v>1.0031560691604084</v>
      </c>
      <c r="AL111">
        <v>0.90412840757137225</v>
      </c>
      <c r="AM111">
        <v>0.90023465911755041</v>
      </c>
      <c r="AO111">
        <v>115</v>
      </c>
      <c r="AP111">
        <v>16.903597794186343</v>
      </c>
      <c r="AQ111">
        <v>7.4149145088014743</v>
      </c>
      <c r="AR111">
        <v>7.7395305624900557</v>
      </c>
      <c r="AS111">
        <v>878.53564235981173</v>
      </c>
      <c r="AT111">
        <v>25.635008885150867</v>
      </c>
      <c r="AU111">
        <v>11.362505195886802</v>
      </c>
      <c r="AV111">
        <v>17.78320725939999</v>
      </c>
      <c r="AW111">
        <v>7.6912171494658184</v>
      </c>
      <c r="AX111">
        <v>8.1382071172396042</v>
      </c>
      <c r="AY111">
        <v>927.65475413877505</v>
      </c>
      <c r="AZ111">
        <v>25.673960486140526</v>
      </c>
      <c r="BA111">
        <v>11.263514906376464</v>
      </c>
      <c r="BB111">
        <v>19.179895760802655</v>
      </c>
      <c r="BC111">
        <v>8.1023202066612292</v>
      </c>
      <c r="BD111">
        <v>8.7013340885286503</v>
      </c>
      <c r="BE111">
        <v>1003.8856278079243</v>
      </c>
      <c r="BF111">
        <v>25.927485799781493</v>
      </c>
      <c r="BG111">
        <v>11.188747819103636</v>
      </c>
      <c r="BH111">
        <v>20.427192307563793</v>
      </c>
      <c r="BI111">
        <v>8.5975443406926999</v>
      </c>
      <c r="BJ111">
        <v>9.3310730435690257</v>
      </c>
      <c r="BK111">
        <v>1077.5345371527408</v>
      </c>
      <c r="BL111">
        <v>26.083838763103927</v>
      </c>
      <c r="BM111">
        <v>11.235934790661338</v>
      </c>
      <c r="BN111">
        <v>20.9203131034675</v>
      </c>
      <c r="BO111">
        <v>8.7437070033589936</v>
      </c>
      <c r="BP111">
        <v>9.8742906991828843</v>
      </c>
      <c r="BQ111">
        <v>1186.2295265886437</v>
      </c>
      <c r="BR111">
        <v>24.818141805854957</v>
      </c>
      <c r="BS111">
        <v>10.653482848794788</v>
      </c>
      <c r="BU111">
        <v>115</v>
      </c>
      <c r="BV111">
        <v>16.192096193621293</v>
      </c>
      <c r="BW111">
        <v>6.4445784871582754</v>
      </c>
      <c r="BX111">
        <v>7.5000152703769531</v>
      </c>
      <c r="BY111">
        <v>878.83111145312341</v>
      </c>
      <c r="BZ111">
        <v>24.81679029454088</v>
      </c>
      <c r="CA111">
        <v>10.254563888322938</v>
      </c>
      <c r="CB111">
        <v>16.923868473719249</v>
      </c>
      <c r="CC111">
        <v>6.6488387479524027</v>
      </c>
      <c r="CD111">
        <v>7.8653783327379827</v>
      </c>
      <c r="CE111">
        <v>928.77720603594923</v>
      </c>
      <c r="CF111">
        <v>24.717696092952988</v>
      </c>
      <c r="CG111">
        <v>10.127590006053177</v>
      </c>
      <c r="CH111">
        <v>18.322976594219522</v>
      </c>
      <c r="CI111">
        <v>7.2539651775840603</v>
      </c>
      <c r="CJ111">
        <v>8.3988547185886713</v>
      </c>
      <c r="CK111">
        <v>1004.8431913747725</v>
      </c>
      <c r="CL111">
        <v>25.049989300891333</v>
      </c>
      <c r="CM111">
        <v>10.333819434534435</v>
      </c>
      <c r="CN111">
        <v>19.533824420756684</v>
      </c>
      <c r="CO111">
        <v>7.6017022011075408</v>
      </c>
      <c r="CP111">
        <v>9.0382984475836032</v>
      </c>
      <c r="CQ111">
        <v>1078.9319282072522</v>
      </c>
      <c r="CR111">
        <v>25.222044626279214</v>
      </c>
      <c r="CS111">
        <v>10.298393590975571</v>
      </c>
      <c r="CT111">
        <v>19.85488957733952</v>
      </c>
      <c r="CU111">
        <v>7.6270416385379738</v>
      </c>
      <c r="CV111">
        <v>9.4212243552239254</v>
      </c>
      <c r="CW111">
        <v>1188.0776299672623</v>
      </c>
      <c r="CX111">
        <v>23.882773619618643</v>
      </c>
      <c r="CY111">
        <v>9.6970183267759325</v>
      </c>
      <c r="DA111">
        <v>115</v>
      </c>
      <c r="DB111">
        <v>13.437726216437587</v>
      </c>
      <c r="DC111">
        <v>5.8730537527853697</v>
      </c>
      <c r="DD111">
        <v>7.1174054859616307</v>
      </c>
      <c r="DE111">
        <v>914.00346582574093</v>
      </c>
      <c r="DF111">
        <v>20.848276984214131</v>
      </c>
      <c r="DG111">
        <v>9.2346532159411172</v>
      </c>
      <c r="DH111">
        <v>14.051310290053296</v>
      </c>
      <c r="DI111">
        <v>6.4326086477208042</v>
      </c>
      <c r="DJ111">
        <v>7.4990341612662892</v>
      </c>
      <c r="DK111">
        <v>960.37665067554587</v>
      </c>
      <c r="DL111">
        <v>20.913330742750468</v>
      </c>
      <c r="DM111">
        <v>9.5692087505497287</v>
      </c>
      <c r="DN111">
        <v>15.618851331698355</v>
      </c>
      <c r="DO111">
        <v>6.6151815850326177</v>
      </c>
      <c r="DP111">
        <v>8.0550784516489742</v>
      </c>
      <c r="DQ111">
        <v>1037.3599388336022</v>
      </c>
      <c r="DR111">
        <v>21.658042777083025</v>
      </c>
      <c r="DS111">
        <v>9.394120731222829</v>
      </c>
      <c r="DT111">
        <v>16.785478446374917</v>
      </c>
      <c r="DU111">
        <v>7.1819244298366005</v>
      </c>
      <c r="DV111">
        <v>8.7874826743225789</v>
      </c>
      <c r="DW111">
        <v>1131.1920693294162</v>
      </c>
      <c r="DX111">
        <v>21.627205433010047</v>
      </c>
      <c r="DY111">
        <v>9.4515230199727096</v>
      </c>
      <c r="DZ111">
        <v>17.071106978735219</v>
      </c>
      <c r="EA111">
        <v>7.3665957756352523</v>
      </c>
      <c r="EB111">
        <v>9.1867521062920332</v>
      </c>
      <c r="EC111">
        <v>1244.7183815196361</v>
      </c>
      <c r="ED111">
        <v>20.559515196677573</v>
      </c>
      <c r="EE111">
        <v>9.0465159474667054</v>
      </c>
      <c r="EG111">
        <v>115</v>
      </c>
      <c r="EH111">
        <v>12.608885517820566</v>
      </c>
      <c r="EI111">
        <v>5.4088228829803304</v>
      </c>
      <c r="EJ111">
        <v>6.5462800453587962</v>
      </c>
      <c r="EK111">
        <v>926.66212408404192</v>
      </c>
      <c r="EL111">
        <v>19.669042521259556</v>
      </c>
      <c r="EM111">
        <v>8.607532311896426</v>
      </c>
      <c r="EN111">
        <v>13.204827044811752</v>
      </c>
      <c r="EO111">
        <v>5.792699516484193</v>
      </c>
      <c r="EP111">
        <v>6.935101637710714</v>
      </c>
      <c r="EQ111">
        <v>973.68304988417549</v>
      </c>
      <c r="ER111">
        <v>19.758165955789778</v>
      </c>
      <c r="ES111">
        <v>8.7812307292897245</v>
      </c>
      <c r="ET111">
        <v>14.402380757988876</v>
      </c>
      <c r="EU111">
        <v>5.9870880987877193</v>
      </c>
      <c r="EV111">
        <v>7.4437391116595935</v>
      </c>
      <c r="EW111">
        <v>1008.2293096624016</v>
      </c>
      <c r="EX111">
        <v>21.077264024288837</v>
      </c>
      <c r="EY111">
        <v>9.0425768557994495</v>
      </c>
      <c r="EZ111">
        <v>15.152831333726944</v>
      </c>
      <c r="FA111">
        <v>6.5685123590965455</v>
      </c>
      <c r="FB111">
        <v>8.1202017642727089</v>
      </c>
      <c r="FC111">
        <v>1117.9528115474809</v>
      </c>
      <c r="FD111">
        <v>20.42293370444407</v>
      </c>
      <c r="FE111">
        <v>9.014759575216166</v>
      </c>
      <c r="FF111">
        <v>15.320870150818738</v>
      </c>
      <c r="FG111">
        <v>6.6939874162860802</v>
      </c>
      <c r="FH111">
        <v>8.4935821549011354</v>
      </c>
      <c r="FI111">
        <v>1241.0820924657039</v>
      </c>
      <c r="FJ111">
        <v>19.209502576219954</v>
      </c>
      <c r="FK111">
        <v>8.5310684872892448</v>
      </c>
    </row>
    <row r="112" spans="2:167" x14ac:dyDescent="0.25">
      <c r="B112">
        <v>601.20625038839387</v>
      </c>
      <c r="C112">
        <v>1.6633226939240497</v>
      </c>
      <c r="D112">
        <v>645.69394725378049</v>
      </c>
      <c r="E112">
        <v>1.5487213474017045</v>
      </c>
      <c r="F112">
        <v>732.9125212748321</v>
      </c>
      <c r="G112">
        <v>1.3644193146824597</v>
      </c>
      <c r="H112">
        <v>821.81558446105635</v>
      </c>
      <c r="I112">
        <v>1.2168180050464683</v>
      </c>
      <c r="J112">
        <v>911.78290900060495</v>
      </c>
      <c r="K112">
        <v>1.0967522972064576</v>
      </c>
      <c r="L112">
        <v>690.73753805648187</v>
      </c>
      <c r="M112">
        <v>1.4477278921508818</v>
      </c>
      <c r="N112">
        <v>688.72549731865342</v>
      </c>
      <c r="O112">
        <v>1.4519572803579956</v>
      </c>
      <c r="Q112">
        <v>0.22241473736338133</v>
      </c>
      <c r="R112">
        <v>0.22298459956120598</v>
      </c>
      <c r="S112">
        <v>0.22277298682404434</v>
      </c>
      <c r="T112">
        <v>0.22373380115829661</v>
      </c>
      <c r="U112">
        <v>0.22408253894370764</v>
      </c>
      <c r="V112">
        <v>0.22290665438497237</v>
      </c>
      <c r="W112">
        <v>0.22276784888416087</v>
      </c>
      <c r="Y112">
        <v>2.1478538101915015</v>
      </c>
      <c r="Z112">
        <v>2.2065577053811301</v>
      </c>
      <c r="AA112">
        <v>2.234133780666002</v>
      </c>
      <c r="AB112">
        <v>2.3827331312248705</v>
      </c>
      <c r="AC112">
        <v>2.4483108740272961</v>
      </c>
      <c r="AD112">
        <v>2.2216074271870125</v>
      </c>
      <c r="AE112">
        <v>2.2171917690982887</v>
      </c>
      <c r="AG112">
        <v>0.86576771256102381</v>
      </c>
      <c r="AH112">
        <v>0.89881653425902752</v>
      </c>
      <c r="AI112">
        <v>0.90622832773697537</v>
      </c>
      <c r="AJ112">
        <v>0.97280813069412131</v>
      </c>
      <c r="AK112">
        <v>1.0044187182512729</v>
      </c>
      <c r="AL112">
        <v>0.90428330157762593</v>
      </c>
      <c r="AM112">
        <v>0.90023465911755041</v>
      </c>
      <c r="AO112">
        <v>116</v>
      </c>
      <c r="AP112">
        <v>16.913834368162799</v>
      </c>
      <c r="AQ112">
        <v>7.4210697234257808</v>
      </c>
      <c r="AR112">
        <v>7.7395305624900557</v>
      </c>
      <c r="AS112">
        <v>879.61644433198865</v>
      </c>
      <c r="AT112">
        <v>25.615148189849002</v>
      </c>
      <c r="AU112">
        <v>11.355541475006243</v>
      </c>
      <c r="AV112">
        <v>17.797523775513792</v>
      </c>
      <c r="AW112">
        <v>7.7017506445885315</v>
      </c>
      <c r="AX112">
        <v>8.1382071172396042</v>
      </c>
      <c r="AY112">
        <v>928.93360365364742</v>
      </c>
      <c r="AZ112">
        <v>25.654027289918616</v>
      </c>
      <c r="BA112">
        <v>11.259347928848859</v>
      </c>
      <c r="BB112">
        <v>19.179895760802655</v>
      </c>
      <c r="BC112">
        <v>8.1114367887233119</v>
      </c>
      <c r="BD112">
        <v>8.7013340885286503</v>
      </c>
      <c r="BE112">
        <v>1004.6553726668616</v>
      </c>
      <c r="BF112">
        <v>25.907620730183972</v>
      </c>
      <c r="BG112">
        <v>11.189249584150735</v>
      </c>
      <c r="BH112">
        <v>20.427192307563793</v>
      </c>
      <c r="BI112">
        <v>8.6101141503360985</v>
      </c>
      <c r="BJ112">
        <v>9.3310730435690257</v>
      </c>
      <c r="BK112">
        <v>1078.3660541453928</v>
      </c>
      <c r="BL112">
        <v>26.063725782839256</v>
      </c>
      <c r="BM112">
        <v>11.2389272243755</v>
      </c>
      <c r="BN112">
        <v>20.9203131034675</v>
      </c>
      <c r="BO112">
        <v>8.7573420649679523</v>
      </c>
      <c r="BP112">
        <v>9.8742906991828843</v>
      </c>
      <c r="BQ112">
        <v>1187.1005030424799</v>
      </c>
      <c r="BR112">
        <v>24.799932718178329</v>
      </c>
      <c r="BS112">
        <v>10.657152402371041</v>
      </c>
      <c r="BU112">
        <v>116</v>
      </c>
      <c r="BV112">
        <v>16.195520518308609</v>
      </c>
      <c r="BW112">
        <v>6.4573696048470746</v>
      </c>
      <c r="BX112">
        <v>7.5000152703769531</v>
      </c>
      <c r="BY112">
        <v>879.68020959078569</v>
      </c>
      <c r="BZ112">
        <v>24.796728952314318</v>
      </c>
      <c r="CA112">
        <v>10.259206469279244</v>
      </c>
      <c r="CB112">
        <v>16.932630314865225</v>
      </c>
      <c r="CC112">
        <v>6.6657064119445586</v>
      </c>
      <c r="CD112">
        <v>7.8653783327379827</v>
      </c>
      <c r="CE112">
        <v>929.87925290914745</v>
      </c>
      <c r="CF112">
        <v>24.697824460708134</v>
      </c>
      <c r="CG112">
        <v>10.133726915845601</v>
      </c>
      <c r="CH112">
        <v>18.322976594219522</v>
      </c>
      <c r="CI112">
        <v>7.2673437424551697</v>
      </c>
      <c r="CJ112">
        <v>8.3988547185886713</v>
      </c>
      <c r="CK112">
        <v>1005.6437828625724</v>
      </c>
      <c r="CL112">
        <v>25.030047042463917</v>
      </c>
      <c r="CM112">
        <v>10.338896179483655</v>
      </c>
      <c r="CN112">
        <v>19.533824420756684</v>
      </c>
      <c r="CO112">
        <v>7.6188552434621331</v>
      </c>
      <c r="CP112">
        <v>9.0382984475836032</v>
      </c>
      <c r="CQ112">
        <v>1079.7976503043931</v>
      </c>
      <c r="CR112">
        <v>25.201822984417067</v>
      </c>
      <c r="CS112">
        <v>10.306022330911714</v>
      </c>
      <c r="CT112">
        <v>19.85488957733952</v>
      </c>
      <c r="CU112">
        <v>7.6459036531603184</v>
      </c>
      <c r="CV112">
        <v>9.4212243552239254</v>
      </c>
      <c r="CW112">
        <v>1188.9803098186446</v>
      </c>
      <c r="CX112">
        <v>23.864641697362636</v>
      </c>
      <c r="CY112">
        <v>9.7055203275885606</v>
      </c>
      <c r="DA112">
        <v>116</v>
      </c>
      <c r="DB112">
        <v>13.437726216437587</v>
      </c>
      <c r="DC112">
        <v>5.8871330337566974</v>
      </c>
      <c r="DD112">
        <v>7.1174054859616307</v>
      </c>
      <c r="DE112">
        <v>914.88205273460903</v>
      </c>
      <c r="DF112">
        <v>20.828255798777125</v>
      </c>
      <c r="DG112">
        <v>9.241174095359435</v>
      </c>
      <c r="DH112">
        <v>14.051310290053296</v>
      </c>
      <c r="DI112">
        <v>6.4526724685199683</v>
      </c>
      <c r="DJ112">
        <v>7.4990341612662892</v>
      </c>
      <c r="DK112">
        <v>961.30269444806549</v>
      </c>
      <c r="DL112">
        <v>20.893184476846066</v>
      </c>
      <c r="DM112">
        <v>9.5808620151171482</v>
      </c>
      <c r="DN112">
        <v>15.618851331698355</v>
      </c>
      <c r="DO112">
        <v>6.6341162588242995</v>
      </c>
      <c r="DP112">
        <v>8.0550784516489742</v>
      </c>
      <c r="DQ112">
        <v>1038.3252245004778</v>
      </c>
      <c r="DR112">
        <v>21.63790823949115</v>
      </c>
      <c r="DS112">
        <v>9.4036232102767094</v>
      </c>
      <c r="DT112">
        <v>16.785478446374917</v>
      </c>
      <c r="DU112">
        <v>7.2173341944964982</v>
      </c>
      <c r="DV112">
        <v>8.7874826743225789</v>
      </c>
      <c r="DW112">
        <v>1132.2515203106232</v>
      </c>
      <c r="DX112">
        <v>21.606968795120189</v>
      </c>
      <c r="DY112">
        <v>9.4739529649689604</v>
      </c>
      <c r="DZ112">
        <v>17.071106978735219</v>
      </c>
      <c r="EA112">
        <v>7.4046672405358178</v>
      </c>
      <c r="EB112">
        <v>9.1867521062920332</v>
      </c>
      <c r="EC112">
        <v>1245.8266068767803</v>
      </c>
      <c r="ED112">
        <v>20.541226475000109</v>
      </c>
      <c r="EE112">
        <v>9.0690278174002632</v>
      </c>
      <c r="EG112">
        <v>116</v>
      </c>
      <c r="EH112">
        <v>12.608885517820566</v>
      </c>
      <c r="EI112">
        <v>5.4211515662074277</v>
      </c>
      <c r="EJ112">
        <v>6.5462800453587962</v>
      </c>
      <c r="EK112">
        <v>927.60958100193125</v>
      </c>
      <c r="EL112">
        <v>19.648952635615103</v>
      </c>
      <c r="EM112">
        <v>8.6120314215193847</v>
      </c>
      <c r="EN112">
        <v>13.204827044811752</v>
      </c>
      <c r="EO112">
        <v>5.8109476755174949</v>
      </c>
      <c r="EP112">
        <v>6.935101637710714</v>
      </c>
      <c r="EQ112">
        <v>974.67344282056035</v>
      </c>
      <c r="ER112">
        <v>19.738089130938668</v>
      </c>
      <c r="ES112">
        <v>8.791030206454721</v>
      </c>
      <c r="ET112">
        <v>14.402380757988876</v>
      </c>
      <c r="EU112">
        <v>6.0042262446411883</v>
      </c>
      <c r="EV112">
        <v>7.4437391116595935</v>
      </c>
      <c r="EW112">
        <v>1009.1858861781327</v>
      </c>
      <c r="EX112">
        <v>21.057285528693885</v>
      </c>
      <c r="EY112">
        <v>9.0509878228054017</v>
      </c>
      <c r="EZ112">
        <v>15.152831333726944</v>
      </c>
      <c r="FA112">
        <v>6.6005324829996725</v>
      </c>
      <c r="FB112">
        <v>8.1202017642727089</v>
      </c>
      <c r="FC112">
        <v>1119.0508335557888</v>
      </c>
      <c r="FD112">
        <v>20.402894551610913</v>
      </c>
      <c r="FE112">
        <v>9.034527863507094</v>
      </c>
      <c r="FF112">
        <v>15.320870150818738</v>
      </c>
      <c r="FG112">
        <v>6.7284446270129754</v>
      </c>
      <c r="FH112">
        <v>8.4935821549011354</v>
      </c>
      <c r="FI112">
        <v>1242.1323135554139</v>
      </c>
      <c r="FJ112">
        <v>19.193260969341022</v>
      </c>
      <c r="FK112">
        <v>8.5515958517298341</v>
      </c>
    </row>
    <row r="113" spans="2:167" x14ac:dyDescent="0.25">
      <c r="B113">
        <v>601.20625038839387</v>
      </c>
      <c r="C113">
        <v>1.6633226939240497</v>
      </c>
      <c r="D113">
        <v>645.69394725378049</v>
      </c>
      <c r="E113">
        <v>1.5487213474017045</v>
      </c>
      <c r="F113">
        <v>732.9125212748321</v>
      </c>
      <c r="G113">
        <v>1.3644193146824597</v>
      </c>
      <c r="H113">
        <v>821.81558446105635</v>
      </c>
      <c r="I113">
        <v>1.2168180050464683</v>
      </c>
      <c r="J113">
        <v>911.78290900060495</v>
      </c>
      <c r="K113">
        <v>1.0967522972064576</v>
      </c>
      <c r="L113">
        <v>690.73753805648187</v>
      </c>
      <c r="M113">
        <v>1.4477278921508818</v>
      </c>
      <c r="N113">
        <v>688.72549731865342</v>
      </c>
      <c r="O113">
        <v>1.4519572803579956</v>
      </c>
      <c r="Q113">
        <v>0.22428769278873353</v>
      </c>
      <c r="R113">
        <v>0.22485903445896599</v>
      </c>
      <c r="S113">
        <v>0.22464251508094407</v>
      </c>
      <c r="T113">
        <v>0.22560578551610141</v>
      </c>
      <c r="U113">
        <v>0.22595454924980116</v>
      </c>
      <c r="V113">
        <v>0.22477755196811752</v>
      </c>
      <c r="W113">
        <v>0.22464064688184171</v>
      </c>
      <c r="Y113">
        <v>2.1478538101915015</v>
      </c>
      <c r="Z113">
        <v>2.2065577053811301</v>
      </c>
      <c r="AA113">
        <v>2.234133780666002</v>
      </c>
      <c r="AB113">
        <v>2.3827331312248705</v>
      </c>
      <c r="AC113">
        <v>2.4483108740272961</v>
      </c>
      <c r="AD113">
        <v>2.2216074271870125</v>
      </c>
      <c r="AE113">
        <v>2.2171917690982887</v>
      </c>
      <c r="AG113">
        <v>0.86576771256102381</v>
      </c>
      <c r="AH113">
        <v>0.89920113762108056</v>
      </c>
      <c r="AI113">
        <v>0.90622832773697537</v>
      </c>
      <c r="AJ113">
        <v>0.97375836606187893</v>
      </c>
      <c r="AK113">
        <v>1.005567069701</v>
      </c>
      <c r="AL113">
        <v>0.90432236902957741</v>
      </c>
      <c r="AM113">
        <v>0.90023465911755041</v>
      </c>
      <c r="AO113">
        <v>117</v>
      </c>
      <c r="AP113">
        <v>16.921699249430528</v>
      </c>
      <c r="AQ113">
        <v>7.4261772078582871</v>
      </c>
      <c r="AR113">
        <v>7.7395305624900557</v>
      </c>
      <c r="AS113">
        <v>880.60651925332661</v>
      </c>
      <c r="AT113">
        <v>25.595280026056358</v>
      </c>
      <c r="AU113">
        <v>11.348574285613514</v>
      </c>
      <c r="AV113">
        <v>17.809368016053138</v>
      </c>
      <c r="AW113">
        <v>7.7112657315208937</v>
      </c>
      <c r="AX113">
        <v>8.1382071172396042</v>
      </c>
      <c r="AY113">
        <v>930.11811755292683</v>
      </c>
      <c r="AZ113">
        <v>25.634090777546575</v>
      </c>
      <c r="BA113">
        <v>11.255239023631272</v>
      </c>
      <c r="BB113">
        <v>19.179895760802655</v>
      </c>
      <c r="BC113">
        <v>8.1194194655513954</v>
      </c>
      <c r="BD113">
        <v>8.7013340885286503</v>
      </c>
      <c r="BE113">
        <v>1005.4263028690455</v>
      </c>
      <c r="BF113">
        <v>25.887755557340743</v>
      </c>
      <c r="BG113">
        <v>11.188609603264739</v>
      </c>
      <c r="BH113">
        <v>20.427192307563793</v>
      </c>
      <c r="BI113">
        <v>8.621511324520494</v>
      </c>
      <c r="BJ113">
        <v>9.3310730435690257</v>
      </c>
      <c r="BK113">
        <v>1079.1988518506714</v>
      </c>
      <c r="BL113">
        <v>26.043612889848553</v>
      </c>
      <c r="BM113">
        <v>11.24081512610802</v>
      </c>
      <c r="BN113">
        <v>20.9203131034675</v>
      </c>
      <c r="BO113">
        <v>8.7698055127786052</v>
      </c>
      <c r="BP113">
        <v>9.8742906991828843</v>
      </c>
      <c r="BQ113">
        <v>1187.9728209848863</v>
      </c>
      <c r="BR113">
        <v>24.781722346780604</v>
      </c>
      <c r="BS113">
        <v>10.659818307263107</v>
      </c>
      <c r="BU113">
        <v>117</v>
      </c>
      <c r="BV113">
        <v>16.196522227113306</v>
      </c>
      <c r="BW113">
        <v>6.4694256223552813</v>
      </c>
      <c r="BX113">
        <v>7.5000152703769531</v>
      </c>
      <c r="BY113">
        <v>880.43276596780379</v>
      </c>
      <c r="BZ113">
        <v>24.776671511950717</v>
      </c>
      <c r="CA113">
        <v>10.264130622972957</v>
      </c>
      <c r="CB113">
        <v>16.938924222881397</v>
      </c>
      <c r="CC113">
        <v>6.6818779452485622</v>
      </c>
      <c r="CD113">
        <v>7.8653783327379827</v>
      </c>
      <c r="CE113">
        <v>930.88333537736457</v>
      </c>
      <c r="CF113">
        <v>24.677945767186969</v>
      </c>
      <c r="CG113">
        <v>10.140168577804964</v>
      </c>
      <c r="CH113">
        <v>18.322976594219522</v>
      </c>
      <c r="CI113">
        <v>7.279831241543369</v>
      </c>
      <c r="CJ113">
        <v>8.3988547185886713</v>
      </c>
      <c r="CK113">
        <v>1006.4456529317411</v>
      </c>
      <c r="CL113">
        <v>25.010104738083378</v>
      </c>
      <c r="CM113">
        <v>10.343066347720162</v>
      </c>
      <c r="CN113">
        <v>19.533824420756684</v>
      </c>
      <c r="CO113">
        <v>7.6351155543132512</v>
      </c>
      <c r="CP113">
        <v>9.0382984475836032</v>
      </c>
      <c r="CQ113">
        <v>1080.6647551573217</v>
      </c>
      <c r="CR113">
        <v>25.181601520815015</v>
      </c>
      <c r="CS113">
        <v>10.312799556539407</v>
      </c>
      <c r="CT113">
        <v>19.85488957733952</v>
      </c>
      <c r="CU113">
        <v>7.6639098852372394</v>
      </c>
      <c r="CV113">
        <v>9.4212243552239254</v>
      </c>
      <c r="CW113">
        <v>1189.8844314557834</v>
      </c>
      <c r="CX113">
        <v>23.846508391008882</v>
      </c>
      <c r="CY113">
        <v>9.7132784433391492</v>
      </c>
      <c r="DA113">
        <v>117</v>
      </c>
      <c r="DB113">
        <v>13.437726216437587</v>
      </c>
      <c r="DC113">
        <v>5.9005844793982414</v>
      </c>
      <c r="DD113">
        <v>7.1174054859616307</v>
      </c>
      <c r="DE113">
        <v>915.76232945803736</v>
      </c>
      <c r="DF113">
        <v>20.808234633700238</v>
      </c>
      <c r="DG113">
        <v>9.246979810463916</v>
      </c>
      <c r="DH113">
        <v>14.051310290053296</v>
      </c>
      <c r="DI113">
        <v>6.4721192601846509</v>
      </c>
      <c r="DJ113">
        <v>7.4990341612662892</v>
      </c>
      <c r="DK113">
        <v>962.23051931046302</v>
      </c>
      <c r="DL113">
        <v>20.873038352166745</v>
      </c>
      <c r="DM113">
        <v>9.5918338451225225</v>
      </c>
      <c r="DN113">
        <v>15.618851331698355</v>
      </c>
      <c r="DO113">
        <v>6.6523667725639104</v>
      </c>
      <c r="DP113">
        <v>8.0550784516489742</v>
      </c>
      <c r="DQ113">
        <v>1039.2923022526834</v>
      </c>
      <c r="DR113">
        <v>21.617773827240313</v>
      </c>
      <c r="DS113">
        <v>9.4124335121744362</v>
      </c>
      <c r="DT113">
        <v>16.785478446374917</v>
      </c>
      <c r="DU113">
        <v>7.252274754428166</v>
      </c>
      <c r="DV113">
        <v>8.7874826743225789</v>
      </c>
      <c r="DW113">
        <v>1133.3129460074335</v>
      </c>
      <c r="DX113">
        <v>21.586732379406318</v>
      </c>
      <c r="DY113">
        <v>9.4959104153730536</v>
      </c>
      <c r="DZ113">
        <v>17.071106978735219</v>
      </c>
      <c r="EA113">
        <v>7.4422919820892108</v>
      </c>
      <c r="EB113">
        <v>9.1867521062920332</v>
      </c>
      <c r="EC113">
        <v>1246.9368978603136</v>
      </c>
      <c r="ED113">
        <v>20.52293626433665</v>
      </c>
      <c r="EE113">
        <v>9.0911263548528023</v>
      </c>
      <c r="EG113">
        <v>117</v>
      </c>
      <c r="EH113">
        <v>12.608885517820566</v>
      </c>
      <c r="EI113">
        <v>5.4328852759278741</v>
      </c>
      <c r="EJ113">
        <v>6.5462800453587962</v>
      </c>
      <c r="EK113">
        <v>928.55897298931131</v>
      </c>
      <c r="EL113">
        <v>19.628862841929074</v>
      </c>
      <c r="EM113">
        <v>8.6158626440881978</v>
      </c>
      <c r="EN113">
        <v>13.204827044811752</v>
      </c>
      <c r="EO113">
        <v>5.8286449246107104</v>
      </c>
      <c r="EP113">
        <v>6.935101637710714</v>
      </c>
      <c r="EQ113">
        <v>975.66584871923703</v>
      </c>
      <c r="ER113">
        <v>19.718012384265755</v>
      </c>
      <c r="ES113">
        <v>8.8002269810191507</v>
      </c>
      <c r="ET113">
        <v>14.402380757988876</v>
      </c>
      <c r="EU113">
        <v>6.0207452230017129</v>
      </c>
      <c r="EV113">
        <v>7.4437391116595935</v>
      </c>
      <c r="EW113">
        <v>1010.1442805365056</v>
      </c>
      <c r="EX113">
        <v>21.03730701271137</v>
      </c>
      <c r="EY113">
        <v>9.0587536072033306</v>
      </c>
      <c r="EZ113">
        <v>15.152831333726944</v>
      </c>
      <c r="FA113">
        <v>6.6321137823707401</v>
      </c>
      <c r="FB113">
        <v>8.1202017642727089</v>
      </c>
      <c r="FC113">
        <v>1120.1510124643821</v>
      </c>
      <c r="FD113">
        <v>20.382855437232443</v>
      </c>
      <c r="FE113">
        <v>9.0538482070373156</v>
      </c>
      <c r="FF113">
        <v>15.320870150818738</v>
      </c>
      <c r="FG113">
        <v>6.7624922352831423</v>
      </c>
      <c r="FH113">
        <v>8.4935821549011354</v>
      </c>
      <c r="FI113">
        <v>1243.1845089746093</v>
      </c>
      <c r="FJ113">
        <v>19.177016348268626</v>
      </c>
      <c r="FK113">
        <v>8.5717454418408199</v>
      </c>
    </row>
    <row r="114" spans="2:167" x14ac:dyDescent="0.25">
      <c r="B114">
        <v>601.20625038839387</v>
      </c>
      <c r="C114">
        <v>1.6633226939240497</v>
      </c>
      <c r="D114">
        <v>645.69394725378049</v>
      </c>
      <c r="E114">
        <v>1.5487213474017045</v>
      </c>
      <c r="F114">
        <v>732.9125212748321</v>
      </c>
      <c r="G114">
        <v>1.3644193146824597</v>
      </c>
      <c r="H114">
        <v>821.81558446105635</v>
      </c>
      <c r="I114">
        <v>1.2168180050464683</v>
      </c>
      <c r="J114">
        <v>911.78290900060495</v>
      </c>
      <c r="K114">
        <v>1.0967522972064576</v>
      </c>
      <c r="L114">
        <v>690.73753805648187</v>
      </c>
      <c r="M114">
        <v>1.4477278921508818</v>
      </c>
      <c r="N114">
        <v>688.72549731865342</v>
      </c>
      <c r="O114">
        <v>1.4519572803579956</v>
      </c>
      <c r="Q114">
        <v>0.22616064821408574</v>
      </c>
      <c r="R114">
        <v>0.226733469356726</v>
      </c>
      <c r="S114">
        <v>0.22651204333784383</v>
      </c>
      <c r="T114">
        <v>0.22747776987390625</v>
      </c>
      <c r="U114">
        <v>0.22782655955589465</v>
      </c>
      <c r="V114">
        <v>0.2266484495512627</v>
      </c>
      <c r="W114">
        <v>0.22651344487952252</v>
      </c>
      <c r="Y114">
        <v>2.1478538101915015</v>
      </c>
      <c r="Z114">
        <v>2.2065577053811301</v>
      </c>
      <c r="AA114">
        <v>2.234133780666002</v>
      </c>
      <c r="AB114">
        <v>2.3827331312248705</v>
      </c>
      <c r="AC114">
        <v>2.4483108740272961</v>
      </c>
      <c r="AD114">
        <v>2.2216074271870125</v>
      </c>
      <c r="AE114">
        <v>2.2171917690982887</v>
      </c>
      <c r="AG114">
        <v>0.86576771256102381</v>
      </c>
      <c r="AH114">
        <v>0.89947721110004786</v>
      </c>
      <c r="AI114">
        <v>0.90622832773697537</v>
      </c>
      <c r="AJ114">
        <v>0.97459560423149849</v>
      </c>
      <c r="AK114">
        <v>1.0066011235095891</v>
      </c>
      <c r="AL114">
        <v>0.90432236902957741</v>
      </c>
      <c r="AM114">
        <v>0.90023465911755041</v>
      </c>
      <c r="AO114">
        <v>118</v>
      </c>
      <c r="AP114">
        <v>16.927192437989536</v>
      </c>
      <c r="AQ114">
        <v>7.4302369620989976</v>
      </c>
      <c r="AR114">
        <v>7.7395305624900557</v>
      </c>
      <c r="AS114">
        <v>881.50565485094637</v>
      </c>
      <c r="AT114">
        <v>25.57540444301608</v>
      </c>
      <c r="AU114">
        <v>11.341604219286761</v>
      </c>
      <c r="AV114">
        <v>17.818739981018037</v>
      </c>
      <c r="AW114">
        <v>7.7197624102629083</v>
      </c>
      <c r="AX114">
        <v>8.1382071172396042</v>
      </c>
      <c r="AY114">
        <v>931.2080751253028</v>
      </c>
      <c r="AZ114">
        <v>25.614150973667012</v>
      </c>
      <c r="BA114">
        <v>11.251189387076968</v>
      </c>
      <c r="BB114">
        <v>19.179895760802655</v>
      </c>
      <c r="BC114">
        <v>8.1262682371454797</v>
      </c>
      <c r="BD114">
        <v>8.7013340885286503</v>
      </c>
      <c r="BE114">
        <v>1006.1984211545811</v>
      </c>
      <c r="BF114">
        <v>25.867890281251</v>
      </c>
      <c r="BG114">
        <v>11.186830472595602</v>
      </c>
      <c r="BH114">
        <v>20.427192307563793</v>
      </c>
      <c r="BI114">
        <v>8.6317358632458916</v>
      </c>
      <c r="BJ114">
        <v>9.3310730435690257</v>
      </c>
      <c r="BK114">
        <v>1080.0329332297108</v>
      </c>
      <c r="BL114">
        <v>26.023500084131257</v>
      </c>
      <c r="BM114">
        <v>11.241601013387355</v>
      </c>
      <c r="BN114">
        <v>20.9203131034675</v>
      </c>
      <c r="BO114">
        <v>8.7810973467909488</v>
      </c>
      <c r="BP114">
        <v>9.8742906991828843</v>
      </c>
      <c r="BQ114">
        <v>1188.8464835175178</v>
      </c>
      <c r="BR114">
        <v>24.763510691526008</v>
      </c>
      <c r="BS114">
        <v>10.661482735917321</v>
      </c>
      <c r="BU114">
        <v>118</v>
      </c>
      <c r="BV114">
        <v>16.196522227113306</v>
      </c>
      <c r="BW114">
        <v>6.4807465396828947</v>
      </c>
      <c r="BX114">
        <v>7.5000152703769531</v>
      </c>
      <c r="BY114">
        <v>881.14602131124377</v>
      </c>
      <c r="BZ114">
        <v>24.756615706305407</v>
      </c>
      <c r="CA114">
        <v>10.268670133131623</v>
      </c>
      <c r="CB114">
        <v>16.942750197767776</v>
      </c>
      <c r="CC114">
        <v>6.6973533478644107</v>
      </c>
      <c r="CD114">
        <v>7.8653783327379827</v>
      </c>
      <c r="CE114">
        <v>931.78921568372084</v>
      </c>
      <c r="CF114">
        <v>24.658060057121254</v>
      </c>
      <c r="CG114">
        <v>10.14691862759328</v>
      </c>
      <c r="CH114">
        <v>18.322976594219522</v>
      </c>
      <c r="CI114">
        <v>7.2914276748486575</v>
      </c>
      <c r="CJ114">
        <v>8.3988547185886713</v>
      </c>
      <c r="CK114">
        <v>1007.2488046476561</v>
      </c>
      <c r="CL114">
        <v>24.990162387749553</v>
      </c>
      <c r="CM114">
        <v>10.34633205705148</v>
      </c>
      <c r="CN114">
        <v>19.533824420756684</v>
      </c>
      <c r="CO114">
        <v>7.6504831336609014</v>
      </c>
      <c r="CP114">
        <v>9.0382984475836032</v>
      </c>
      <c r="CQ114">
        <v>1081.5332460815505</v>
      </c>
      <c r="CR114">
        <v>25.161380235470702</v>
      </c>
      <c r="CS114">
        <v>10.31872725830228</v>
      </c>
      <c r="CT114">
        <v>19.85488957733952</v>
      </c>
      <c r="CU114">
        <v>7.6810603347687403</v>
      </c>
      <c r="CV114">
        <v>9.4212243552239254</v>
      </c>
      <c r="CW114">
        <v>1190.7899983357315</v>
      </c>
      <c r="CX114">
        <v>23.828373700398881</v>
      </c>
      <c r="CY114">
        <v>9.7202943120390692</v>
      </c>
      <c r="DA114">
        <v>118</v>
      </c>
      <c r="DB114">
        <v>13.437726216437587</v>
      </c>
      <c r="DC114">
        <v>5.9134080897100043</v>
      </c>
      <c r="DD114">
        <v>7.1174054859616307</v>
      </c>
      <c r="DE114">
        <v>916.64430087583116</v>
      </c>
      <c r="DF114">
        <v>20.78821348898343</v>
      </c>
      <c r="DG114">
        <v>9.2520723402637053</v>
      </c>
      <c r="DH114">
        <v>14.051310290053296</v>
      </c>
      <c r="DI114">
        <v>6.4909490227148554</v>
      </c>
      <c r="DJ114">
        <v>7.4990341612662892</v>
      </c>
      <c r="DK114">
        <v>963.1601304061262</v>
      </c>
      <c r="DL114">
        <v>20.852892368711018</v>
      </c>
      <c r="DM114">
        <v>9.602126097726293</v>
      </c>
      <c r="DN114">
        <v>15.618851331698355</v>
      </c>
      <c r="DO114">
        <v>6.6699331262514479</v>
      </c>
      <c r="DP114">
        <v>8.0550784516489742</v>
      </c>
      <c r="DQ114">
        <v>1040.2611770854555</v>
      </c>
      <c r="DR114">
        <v>21.597639540329354</v>
      </c>
      <c r="DS114">
        <v>9.4205534765915608</v>
      </c>
      <c r="DT114">
        <v>16.785478446374917</v>
      </c>
      <c r="DU114">
        <v>7.286746109631606</v>
      </c>
      <c r="DV114">
        <v>8.7874826743225789</v>
      </c>
      <c r="DW114">
        <v>1134.3763519460199</v>
      </c>
      <c r="DX114">
        <v>21.566496185864768</v>
      </c>
      <c r="DY114">
        <v>9.5173965364770741</v>
      </c>
      <c r="DZ114">
        <v>17.071106978735219</v>
      </c>
      <c r="EA114">
        <v>7.4794700002954322</v>
      </c>
      <c r="EB114">
        <v>9.1867521062920332</v>
      </c>
      <c r="EC114">
        <v>1248.0492602508195</v>
      </c>
      <c r="ED114">
        <v>20.504644564505334</v>
      </c>
      <c r="EE114">
        <v>9.1128125110196727</v>
      </c>
      <c r="EG114">
        <v>118</v>
      </c>
      <c r="EH114">
        <v>12.608885517820566</v>
      </c>
      <c r="EI114">
        <v>5.4440240121416741</v>
      </c>
      <c r="EJ114">
        <v>6.5462800453587962</v>
      </c>
      <c r="EK114">
        <v>929.51030598047032</v>
      </c>
      <c r="EL114">
        <v>19.608773140200846</v>
      </c>
      <c r="EM114">
        <v>8.6190279471668791</v>
      </c>
      <c r="EN114">
        <v>13.204827044811752</v>
      </c>
      <c r="EO114">
        <v>5.8457912637638429</v>
      </c>
      <c r="EP114">
        <v>6.935101637710714</v>
      </c>
      <c r="EQ114">
        <v>976.66027372343285</v>
      </c>
      <c r="ER114">
        <v>19.697935715770573</v>
      </c>
      <c r="ES114">
        <v>8.8088227779676664</v>
      </c>
      <c r="ET114">
        <v>14.402380757988876</v>
      </c>
      <c r="EU114">
        <v>6.0366450338692932</v>
      </c>
      <c r="EV114">
        <v>7.4437391116595935</v>
      </c>
      <c r="EW114">
        <v>1011.1044979242901</v>
      </c>
      <c r="EX114">
        <v>21.017328476341252</v>
      </c>
      <c r="EY114">
        <v>9.0658759552465558</v>
      </c>
      <c r="EZ114">
        <v>15.152831333726944</v>
      </c>
      <c r="FA114">
        <v>6.6632562572097429</v>
      </c>
      <c r="FB114">
        <v>8.1202017642727089</v>
      </c>
      <c r="FC114">
        <v>1121.253354634872</v>
      </c>
      <c r="FD114">
        <v>20.362816361308539</v>
      </c>
      <c r="FE114">
        <v>9.0727217614108167</v>
      </c>
      <c r="FF114">
        <v>15.320870150818738</v>
      </c>
      <c r="FG114">
        <v>6.796130241096578</v>
      </c>
      <c r="FH114">
        <v>8.4935821549011354</v>
      </c>
      <c r="FI114">
        <v>1244.2386842958947</v>
      </c>
      <c r="FJ114">
        <v>19.160768712163609</v>
      </c>
      <c r="FK114">
        <v>8.591518081623537</v>
      </c>
    </row>
    <row r="115" spans="2:167" x14ac:dyDescent="0.25">
      <c r="B115">
        <v>601.20625038839387</v>
      </c>
      <c r="C115">
        <v>1.6633226939240497</v>
      </c>
      <c r="D115">
        <v>645.69394725378049</v>
      </c>
      <c r="E115">
        <v>1.5487213474017045</v>
      </c>
      <c r="F115">
        <v>732.9125212748321</v>
      </c>
      <c r="G115">
        <v>1.3644193146824597</v>
      </c>
      <c r="H115">
        <v>821.81558446105635</v>
      </c>
      <c r="I115">
        <v>1.2168180050464683</v>
      </c>
      <c r="J115">
        <v>911.78290900060495</v>
      </c>
      <c r="K115">
        <v>1.0967522972064576</v>
      </c>
      <c r="L115">
        <v>690.73753805648187</v>
      </c>
      <c r="M115">
        <v>1.4477278921508818</v>
      </c>
      <c r="N115">
        <v>688.72549731865342</v>
      </c>
      <c r="O115">
        <v>1.4519572803579956</v>
      </c>
      <c r="Q115">
        <v>0.22803360363943795</v>
      </c>
      <c r="R115">
        <v>0.22860790425448602</v>
      </c>
      <c r="S115">
        <v>0.22838157159474359</v>
      </c>
      <c r="T115">
        <v>0.22934975423171106</v>
      </c>
      <c r="U115">
        <v>0.22969856986198817</v>
      </c>
      <c r="V115">
        <v>0.22851934713440789</v>
      </c>
      <c r="W115">
        <v>0.22838624287720333</v>
      </c>
      <c r="Y115">
        <v>2.1478538101915015</v>
      </c>
      <c r="Z115">
        <v>2.2065577053811301</v>
      </c>
      <c r="AA115">
        <v>2.234133780666002</v>
      </c>
      <c r="AB115">
        <v>2.3827331312248705</v>
      </c>
      <c r="AC115">
        <v>2.4483108740272961</v>
      </c>
      <c r="AD115">
        <v>2.2216074271870125</v>
      </c>
      <c r="AE115">
        <v>2.2171917690982887</v>
      </c>
      <c r="AG115">
        <v>0.86576771256102381</v>
      </c>
      <c r="AH115">
        <v>0.89964475469592942</v>
      </c>
      <c r="AI115">
        <v>0.90622832773697537</v>
      </c>
      <c r="AJ115">
        <v>0.97531984520297987</v>
      </c>
      <c r="AK115">
        <v>1.0075208796770403</v>
      </c>
      <c r="AL115">
        <v>0.90432236902957741</v>
      </c>
      <c r="AM115">
        <v>0.90023465911755041</v>
      </c>
      <c r="AO115">
        <v>119</v>
      </c>
      <c r="AP115">
        <v>16.930313933839816</v>
      </c>
      <c r="AQ115">
        <v>7.4332489861479072</v>
      </c>
      <c r="AR115">
        <v>7.7395305624900557</v>
      </c>
      <c r="AS115">
        <v>882.31363818924831</v>
      </c>
      <c r="AT115">
        <v>25.555521485243812</v>
      </c>
      <c r="AU115">
        <v>11.334631865099293</v>
      </c>
      <c r="AV115">
        <v>17.825639670408489</v>
      </c>
      <c r="AW115">
        <v>7.7272406808145702</v>
      </c>
      <c r="AX115">
        <v>8.1382071172396042</v>
      </c>
      <c r="AY115">
        <v>932.20325497041392</v>
      </c>
      <c r="AZ115">
        <v>25.594207900834935</v>
      </c>
      <c r="BA115">
        <v>11.247200250222898</v>
      </c>
      <c r="BB115">
        <v>19.179895760802655</v>
      </c>
      <c r="BC115">
        <v>8.1319831035055561</v>
      </c>
      <c r="BD115">
        <v>8.7013340885286503</v>
      </c>
      <c r="BE115">
        <v>1006.9717302720258</v>
      </c>
      <c r="BF115">
        <v>25.848024901913938</v>
      </c>
      <c r="BG115">
        <v>11.183914788320237</v>
      </c>
      <c r="BH115">
        <v>20.427192307563793</v>
      </c>
      <c r="BI115">
        <v>8.6407877665122861</v>
      </c>
      <c r="BJ115">
        <v>9.3310730435690257</v>
      </c>
      <c r="BK115">
        <v>1080.8683012527806</v>
      </c>
      <c r="BL115">
        <v>26.003387365686795</v>
      </c>
      <c r="BM115">
        <v>11.241287403720102</v>
      </c>
      <c r="BN115">
        <v>20.9203131034675</v>
      </c>
      <c r="BO115">
        <v>8.7912175670049866</v>
      </c>
      <c r="BP115">
        <v>9.8742906991828843</v>
      </c>
      <c r="BQ115">
        <v>1189.7214937515969</v>
      </c>
      <c r="BR115">
        <v>24.745297752278788</v>
      </c>
      <c r="BS115">
        <v>10.662147861086369</v>
      </c>
      <c r="BU115">
        <v>119</v>
      </c>
      <c r="BV115">
        <v>16.196522227113306</v>
      </c>
      <c r="BW115">
        <v>6.4913323568299148</v>
      </c>
      <c r="BX115">
        <v>7.5000152703769531</v>
      </c>
      <c r="BY115">
        <v>881.86043162293447</v>
      </c>
      <c r="BZ115">
        <v>24.736559945882412</v>
      </c>
      <c r="CA115">
        <v>10.272355266515577</v>
      </c>
      <c r="CB115">
        <v>16.944108239524365</v>
      </c>
      <c r="CC115">
        <v>6.7121326197921061</v>
      </c>
      <c r="CD115">
        <v>7.8653783327379827</v>
      </c>
      <c r="CE115">
        <v>932.59665530134055</v>
      </c>
      <c r="CF115">
        <v>24.638167370693829</v>
      </c>
      <c r="CG115">
        <v>10.153980895931445</v>
      </c>
      <c r="CH115">
        <v>18.322976594219522</v>
      </c>
      <c r="CI115">
        <v>7.3021330423710369</v>
      </c>
      <c r="CJ115">
        <v>8.3988547185886713</v>
      </c>
      <c r="CK115">
        <v>1008.0532410855019</v>
      </c>
      <c r="CL115">
        <v>24.97021999146229</v>
      </c>
      <c r="CM115">
        <v>10.348695425294876</v>
      </c>
      <c r="CN115">
        <v>19.533824420756684</v>
      </c>
      <c r="CO115">
        <v>7.6649579815050766</v>
      </c>
      <c r="CP115">
        <v>9.0382984475836032</v>
      </c>
      <c r="CQ115">
        <v>1082.4031264032008</v>
      </c>
      <c r="CR115">
        <v>25.141159128381766</v>
      </c>
      <c r="CS115">
        <v>10.323807426608864</v>
      </c>
      <c r="CT115">
        <v>19.85488957733952</v>
      </c>
      <c r="CU115">
        <v>7.6973550017548158</v>
      </c>
      <c r="CV115">
        <v>9.4212243552239254</v>
      </c>
      <c r="CW115">
        <v>1191.6970139266016</v>
      </c>
      <c r="CX115">
        <v>23.810237625374132</v>
      </c>
      <c r="CY115">
        <v>9.7265695719497813</v>
      </c>
      <c r="DA115">
        <v>119</v>
      </c>
      <c r="DB115">
        <v>13.437726216437587</v>
      </c>
      <c r="DC115">
        <v>5.9256038646919826</v>
      </c>
      <c r="DD115">
        <v>7.1174054859616307</v>
      </c>
      <c r="DE115">
        <v>917.52797188660236</v>
      </c>
      <c r="DF115">
        <v>20.768192364626682</v>
      </c>
      <c r="DG115">
        <v>9.256453663763919</v>
      </c>
      <c r="DH115">
        <v>14.051310290053296</v>
      </c>
      <c r="DI115">
        <v>6.509161756110573</v>
      </c>
      <c r="DJ115">
        <v>7.4990341612662892</v>
      </c>
      <c r="DK115">
        <v>964.09153289826565</v>
      </c>
      <c r="DL115">
        <v>20.832746526477404</v>
      </c>
      <c r="DM115">
        <v>9.6117406300628563</v>
      </c>
      <c r="DN115">
        <v>15.618851331698355</v>
      </c>
      <c r="DO115">
        <v>6.6868153198869118</v>
      </c>
      <c r="DP115">
        <v>8.0550784516489742</v>
      </c>
      <c r="DQ115">
        <v>1041.2318540126139</v>
      </c>
      <c r="DR115">
        <v>21.577505378757085</v>
      </c>
      <c r="DS115">
        <v>9.4279849431807321</v>
      </c>
      <c r="DT115">
        <v>16.785478446374917</v>
      </c>
      <c r="DU115">
        <v>7.3207482601068161</v>
      </c>
      <c r="DV115">
        <v>8.7874826743225789</v>
      </c>
      <c r="DW115">
        <v>1135.441743673194</v>
      </c>
      <c r="DX115">
        <v>21.546260214491884</v>
      </c>
      <c r="DY115">
        <v>9.5384124935475061</v>
      </c>
      <c r="DZ115">
        <v>17.071106978735219</v>
      </c>
      <c r="EA115">
        <v>7.5162012951544792</v>
      </c>
      <c r="EB115">
        <v>9.1867521062920332</v>
      </c>
      <c r="EC115">
        <v>1249.1636998504705</v>
      </c>
      <c r="ED115">
        <v>20.486351375324297</v>
      </c>
      <c r="EE115">
        <v>9.1340872372511122</v>
      </c>
      <c r="EG115">
        <v>119</v>
      </c>
      <c r="EH115">
        <v>12.608885517820566</v>
      </c>
      <c r="EI115">
        <v>5.4545677748488224</v>
      </c>
      <c r="EJ115">
        <v>6.5462800453587962</v>
      </c>
      <c r="EK115">
        <v>930.46358593398645</v>
      </c>
      <c r="EL115">
        <v>19.588683530429783</v>
      </c>
      <c r="EM115">
        <v>8.6215292983014127</v>
      </c>
      <c r="EN115">
        <v>13.204827044811752</v>
      </c>
      <c r="EO115">
        <v>5.8623866929768909</v>
      </c>
      <c r="EP115">
        <v>6.935101637710714</v>
      </c>
      <c r="EQ115">
        <v>977.65672400139783</v>
      </c>
      <c r="ER115">
        <v>19.677859125452674</v>
      </c>
      <c r="ES115">
        <v>8.8168193222714812</v>
      </c>
      <c r="ET115">
        <v>14.402380757988876</v>
      </c>
      <c r="EU115">
        <v>6.0519256772439292</v>
      </c>
      <c r="EV115">
        <v>7.4437391116595935</v>
      </c>
      <c r="EW115">
        <v>1012.066543548007</v>
      </c>
      <c r="EX115">
        <v>20.997349919583513</v>
      </c>
      <c r="EY115">
        <v>9.0723566131919675</v>
      </c>
      <c r="EZ115">
        <v>15.152831333726944</v>
      </c>
      <c r="FA115">
        <v>6.6939599075166853</v>
      </c>
      <c r="FB115">
        <v>8.1202017642727089</v>
      </c>
      <c r="FC115">
        <v>1122.3578664539116</v>
      </c>
      <c r="FD115">
        <v>20.342777323839091</v>
      </c>
      <c r="FE115">
        <v>9.0911496822271562</v>
      </c>
      <c r="FF115">
        <v>15.320870150818738</v>
      </c>
      <c r="FG115">
        <v>6.8293586444532854</v>
      </c>
      <c r="FH115">
        <v>8.4935821549011354</v>
      </c>
      <c r="FI115">
        <v>1245.2948451128657</v>
      </c>
      <c r="FJ115">
        <v>19.144518060186488</v>
      </c>
      <c r="FK115">
        <v>8.6109145953852337</v>
      </c>
    </row>
    <row r="116" spans="2:167" x14ac:dyDescent="0.25">
      <c r="B116">
        <v>601.20625038839387</v>
      </c>
      <c r="C116">
        <v>1.6633226939240497</v>
      </c>
      <c r="D116">
        <v>645.69394725378049</v>
      </c>
      <c r="E116">
        <v>1.5487213474017045</v>
      </c>
      <c r="F116">
        <v>732.9125212748321</v>
      </c>
      <c r="G116">
        <v>1.3644193146824597</v>
      </c>
      <c r="H116">
        <v>821.81558446105635</v>
      </c>
      <c r="I116">
        <v>1.2168180050464683</v>
      </c>
      <c r="J116">
        <v>911.78290900060495</v>
      </c>
      <c r="K116">
        <v>1.0967522972064576</v>
      </c>
      <c r="L116">
        <v>690.73753805648187</v>
      </c>
      <c r="M116">
        <v>1.4477278921508818</v>
      </c>
      <c r="N116">
        <v>688.72549731865342</v>
      </c>
      <c r="O116">
        <v>1.4519572803579956</v>
      </c>
      <c r="Q116">
        <v>0.22990655906479018</v>
      </c>
      <c r="R116">
        <v>0.23048233915224603</v>
      </c>
      <c r="S116">
        <v>0.23025109985164335</v>
      </c>
      <c r="T116">
        <v>0.23122173858951589</v>
      </c>
      <c r="U116">
        <v>0.23157058016808169</v>
      </c>
      <c r="V116">
        <v>0.23039024471755304</v>
      </c>
      <c r="W116">
        <v>0.23025904087488416</v>
      </c>
      <c r="Y116">
        <v>2.1478538101915015</v>
      </c>
      <c r="Z116">
        <v>2.2065577053811301</v>
      </c>
      <c r="AA116">
        <v>2.234133780666002</v>
      </c>
      <c r="AB116">
        <v>2.3827331312248705</v>
      </c>
      <c r="AC116">
        <v>2.4483108740272961</v>
      </c>
      <c r="AD116">
        <v>2.2216074271870125</v>
      </c>
      <c r="AE116">
        <v>2.2171917690982887</v>
      </c>
      <c r="AG116">
        <v>0.86576771256102381</v>
      </c>
      <c r="AH116">
        <v>0.89970376840872512</v>
      </c>
      <c r="AI116">
        <v>0.90622832773697537</v>
      </c>
      <c r="AJ116">
        <v>0.97593108897632319</v>
      </c>
      <c r="AK116">
        <v>1.0083263382033543</v>
      </c>
      <c r="AL116">
        <v>0.90432236902957741</v>
      </c>
      <c r="AM116">
        <v>0.90023465911755041</v>
      </c>
      <c r="AO116">
        <v>120</v>
      </c>
      <c r="AP116">
        <v>16.931063736981372</v>
      </c>
      <c r="AQ116">
        <v>7.4352132800050175</v>
      </c>
      <c r="AR116">
        <v>7.7395305624900557</v>
      </c>
      <c r="AS116">
        <v>883.03025566732526</v>
      </c>
      <c r="AT116">
        <v>25.535631192580091</v>
      </c>
      <c r="AU116">
        <v>11.327657810240511</v>
      </c>
      <c r="AV116">
        <v>17.830067084224478</v>
      </c>
      <c r="AW116">
        <v>7.7337005431758845</v>
      </c>
      <c r="AX116">
        <v>8.1382071172396042</v>
      </c>
      <c r="AY116">
        <v>933.10343499615647</v>
      </c>
      <c r="AZ116">
        <v>25.574261579545141</v>
      </c>
      <c r="BA116">
        <v>11.243272879995741</v>
      </c>
      <c r="BB116">
        <v>19.179895760802655</v>
      </c>
      <c r="BC116">
        <v>8.1365640646316368</v>
      </c>
      <c r="BD116">
        <v>8.7013340885286503</v>
      </c>
      <c r="BE116">
        <v>1007.7462329784213</v>
      </c>
      <c r="BF116">
        <v>25.82815941932876</v>
      </c>
      <c r="BG116">
        <v>11.179865146642582</v>
      </c>
      <c r="BH116">
        <v>20.427192307563793</v>
      </c>
      <c r="BI116">
        <v>8.6486670343196828</v>
      </c>
      <c r="BJ116">
        <v>9.3310730435690257</v>
      </c>
      <c r="BK116">
        <v>1081.7049588993216</v>
      </c>
      <c r="BL116">
        <v>25.983274734514609</v>
      </c>
      <c r="BM116">
        <v>11.239876814591028</v>
      </c>
      <c r="BN116">
        <v>20.9203131034675</v>
      </c>
      <c r="BO116">
        <v>8.8001661734207186</v>
      </c>
      <c r="BP116">
        <v>9.8742906991828843</v>
      </c>
      <c r="BQ116">
        <v>1190.5978548079536</v>
      </c>
      <c r="BR116">
        <v>24.727083528903133</v>
      </c>
      <c r="BS116">
        <v>10.66181585582931</v>
      </c>
      <c r="BU116">
        <v>120</v>
      </c>
      <c r="BV116">
        <v>16.196522227113306</v>
      </c>
      <c r="BW116">
        <v>6.5011830737963434</v>
      </c>
      <c r="BX116">
        <v>7.5000152703769531</v>
      </c>
      <c r="BY116">
        <v>882.57599971049444</v>
      </c>
      <c r="BZ116">
        <v>24.716504230681576</v>
      </c>
      <c r="CA116">
        <v>10.275188050722775</v>
      </c>
      <c r="CB116">
        <v>16.944108239524365</v>
      </c>
      <c r="CC116">
        <v>6.7262157610316464</v>
      </c>
      <c r="CD116">
        <v>7.8653783327379827</v>
      </c>
      <c r="CE116">
        <v>933.35038227701716</v>
      </c>
      <c r="CF116">
        <v>24.618270821947341</v>
      </c>
      <c r="CG116">
        <v>10.160869854301062</v>
      </c>
      <c r="CH116">
        <v>18.322976594219522</v>
      </c>
      <c r="CI116">
        <v>7.3119473441105054</v>
      </c>
      <c r="CJ116">
        <v>8.3988547185886713</v>
      </c>
      <c r="CK116">
        <v>1008.8589653303085</v>
      </c>
      <c r="CL116">
        <v>24.950277549221429</v>
      </c>
      <c r="CM116">
        <v>10.350158570277394</v>
      </c>
      <c r="CN116">
        <v>19.533824420756684</v>
      </c>
      <c r="CO116">
        <v>7.6785400978457821</v>
      </c>
      <c r="CP116">
        <v>9.0382984475836032</v>
      </c>
      <c r="CQ116">
        <v>1083.2743994590442</v>
      </c>
      <c r="CR116">
        <v>25.120938199545854</v>
      </c>
      <c r="CS116">
        <v>10.328042051832609</v>
      </c>
      <c r="CT116">
        <v>19.85488957733952</v>
      </c>
      <c r="CU116">
        <v>7.7127938861954712</v>
      </c>
      <c r="CV116">
        <v>9.4212243552239254</v>
      </c>
      <c r="CW116">
        <v>1192.6054817076129</v>
      </c>
      <c r="CX116">
        <v>23.792100165776091</v>
      </c>
      <c r="CY116">
        <v>9.7321058615828964</v>
      </c>
      <c r="DA116">
        <v>120</v>
      </c>
      <c r="DB116">
        <v>13.437726216437587</v>
      </c>
      <c r="DC116">
        <v>5.9371718043441826</v>
      </c>
      <c r="DD116">
        <v>7.1174054859616307</v>
      </c>
      <c r="DE116">
        <v>918.41334740786135</v>
      </c>
      <c r="DF116">
        <v>20.748171260629952</v>
      </c>
      <c r="DG116">
        <v>9.2601257599656481</v>
      </c>
      <c r="DH116">
        <v>14.051310290053296</v>
      </c>
      <c r="DI116">
        <v>6.526757460371809</v>
      </c>
      <c r="DJ116">
        <v>7.4990341612662892</v>
      </c>
      <c r="DK116">
        <v>965.02473197001086</v>
      </c>
      <c r="DL116">
        <v>20.812600825464408</v>
      </c>
      <c r="DM116">
        <v>9.6206792992405852</v>
      </c>
      <c r="DN116">
        <v>15.618851331698355</v>
      </c>
      <c r="DO116">
        <v>6.703013353470304</v>
      </c>
      <c r="DP116">
        <v>8.0550784516489742</v>
      </c>
      <c r="DQ116">
        <v>1042.2043380666457</v>
      </c>
      <c r="DR116">
        <v>21.557371342522352</v>
      </c>
      <c r="DS116">
        <v>9.4347297515716999</v>
      </c>
      <c r="DT116">
        <v>16.785478446374917</v>
      </c>
      <c r="DU116">
        <v>7.3542812058537983</v>
      </c>
      <c r="DV116">
        <v>8.7874826743225789</v>
      </c>
      <c r="DW116">
        <v>1136.5091267565024</v>
      </c>
      <c r="DX116">
        <v>21.526024465284003</v>
      </c>
      <c r="DY116">
        <v>9.5589594518252579</v>
      </c>
      <c r="DZ116">
        <v>17.071106978735219</v>
      </c>
      <c r="EA116">
        <v>7.5524858666663555</v>
      </c>
      <c r="EB116">
        <v>9.1867521062920332</v>
      </c>
      <c r="EC116">
        <v>1250.2802224831282</v>
      </c>
      <c r="ED116">
        <v>20.468056696611633</v>
      </c>
      <c r="EE116">
        <v>9.1549514850523028</v>
      </c>
      <c r="EG116">
        <v>120</v>
      </c>
      <c r="EH116">
        <v>12.608885517820566</v>
      </c>
      <c r="EI116">
        <v>5.4645165640493234</v>
      </c>
      <c r="EJ116">
        <v>6.5462800453587962</v>
      </c>
      <c r="EK116">
        <v>931.41881883285191</v>
      </c>
      <c r="EL116">
        <v>19.568594012615254</v>
      </c>
      <c r="EM116">
        <v>8.6233686650197878</v>
      </c>
      <c r="EN116">
        <v>13.204827044811752</v>
      </c>
      <c r="EO116">
        <v>5.8784312122498523</v>
      </c>
      <c r="EP116">
        <v>6.935101637710714</v>
      </c>
      <c r="EQ116">
        <v>978.65520574653272</v>
      </c>
      <c r="ER116">
        <v>19.6577826133116</v>
      </c>
      <c r="ES116">
        <v>8.8242183388883664</v>
      </c>
      <c r="ET116">
        <v>14.402380757988876</v>
      </c>
      <c r="EU116">
        <v>6.0665871531256217</v>
      </c>
      <c r="EV116">
        <v>7.4437391116595935</v>
      </c>
      <c r="EW116">
        <v>1013.0304226340222</v>
      </c>
      <c r="EX116">
        <v>20.977371342438115</v>
      </c>
      <c r="EY116">
        <v>9.0781973273000194</v>
      </c>
      <c r="EZ116">
        <v>15.152831333726944</v>
      </c>
      <c r="FA116">
        <v>6.724224733291563</v>
      </c>
      <c r="FB116">
        <v>8.1202017642727089</v>
      </c>
      <c r="FC116">
        <v>1123.4645543333193</v>
      </c>
      <c r="FD116">
        <v>20.322738324823995</v>
      </c>
      <c r="FE116">
        <v>9.1091331250814473</v>
      </c>
      <c r="FF116">
        <v>15.320870150818738</v>
      </c>
      <c r="FG116">
        <v>6.8621774453532636</v>
      </c>
      <c r="FH116">
        <v>8.4935821549011354</v>
      </c>
      <c r="FI116">
        <v>1246.3529970402083</v>
      </c>
      <c r="FJ116">
        <v>19.128264391497488</v>
      </c>
      <c r="FK116">
        <v>8.6299358077391872</v>
      </c>
    </row>
    <row r="117" spans="2:167" x14ac:dyDescent="0.25">
      <c r="B117">
        <v>601.20625038839387</v>
      </c>
      <c r="C117">
        <v>1.6633226939240497</v>
      </c>
      <c r="D117">
        <v>645.69394725378049</v>
      </c>
      <c r="E117">
        <v>1.5487213474017045</v>
      </c>
      <c r="F117">
        <v>732.9125212748321</v>
      </c>
      <c r="G117">
        <v>1.3644193146824597</v>
      </c>
      <c r="H117">
        <v>821.81558446105635</v>
      </c>
      <c r="I117">
        <v>1.2168180050464683</v>
      </c>
      <c r="J117">
        <v>911.78290900060495</v>
      </c>
      <c r="K117">
        <v>1.0967522972064576</v>
      </c>
      <c r="L117">
        <v>690.73753805648187</v>
      </c>
      <c r="M117">
        <v>1.4477278921508818</v>
      </c>
      <c r="N117">
        <v>688.72549731865342</v>
      </c>
      <c r="O117">
        <v>1.4519572803579956</v>
      </c>
      <c r="Q117">
        <v>0.23177951449014239</v>
      </c>
      <c r="R117">
        <v>0.23235677405000604</v>
      </c>
      <c r="S117">
        <v>0.23212062810854311</v>
      </c>
      <c r="T117">
        <v>0.2330937229473207</v>
      </c>
      <c r="U117">
        <v>0.23344259047417518</v>
      </c>
      <c r="V117">
        <v>0.23226114230069822</v>
      </c>
      <c r="W117">
        <v>0.23213183887256497</v>
      </c>
      <c r="Y117">
        <v>2.1478538101915015</v>
      </c>
      <c r="Z117">
        <v>2.2065577053811301</v>
      </c>
      <c r="AA117">
        <v>2.234133780666002</v>
      </c>
      <c r="AB117">
        <v>2.3827331312248705</v>
      </c>
      <c r="AC117">
        <v>2.4483108740272961</v>
      </c>
      <c r="AD117">
        <v>2.2216074271870125</v>
      </c>
      <c r="AE117">
        <v>2.2171917690982887</v>
      </c>
      <c r="AG117">
        <v>0.86576771256102381</v>
      </c>
      <c r="AH117">
        <v>0.89970376840872512</v>
      </c>
      <c r="AI117">
        <v>0.90622832773697537</v>
      </c>
      <c r="AJ117">
        <v>0.97642933555152844</v>
      </c>
      <c r="AK117">
        <v>1.0090174990885303</v>
      </c>
      <c r="AL117">
        <v>0.90432236902957741</v>
      </c>
      <c r="AM117">
        <v>0.90023465911755041</v>
      </c>
      <c r="AO117">
        <v>121</v>
      </c>
      <c r="AP117">
        <v>16.931063736981372</v>
      </c>
      <c r="AQ117">
        <v>7.4361298436703311</v>
      </c>
      <c r="AR117">
        <v>7.7395305624900557</v>
      </c>
      <c r="AS117">
        <v>883.71868656319202</v>
      </c>
      <c r="AT117">
        <v>25.515738530213973</v>
      </c>
      <c r="AU117">
        <v>11.31987055163243</v>
      </c>
      <c r="AV117">
        <v>17.832022222466019</v>
      </c>
      <c r="AW117">
        <v>7.7391419973468514</v>
      </c>
      <c r="AX117">
        <v>8.1382071172396042</v>
      </c>
      <c r="AY117">
        <v>933.90839241598269</v>
      </c>
      <c r="AZ117">
        <v>25.554312028256401</v>
      </c>
      <c r="BA117">
        <v>11.23940858047105</v>
      </c>
      <c r="BB117">
        <v>19.179895760802655</v>
      </c>
      <c r="BC117">
        <v>8.1400111205237131</v>
      </c>
      <c r="BD117">
        <v>8.7013340885286503</v>
      </c>
      <c r="BE117">
        <v>1008.5219320393275</v>
      </c>
      <c r="BF117">
        <v>25.808293833494652</v>
      </c>
      <c r="BG117">
        <v>11.174684143793524</v>
      </c>
      <c r="BH117">
        <v>20.427192307563793</v>
      </c>
      <c r="BI117">
        <v>8.6553736666680763</v>
      </c>
      <c r="BJ117">
        <v>9.3310730435690257</v>
      </c>
      <c r="BK117">
        <v>1082.5429091579811</v>
      </c>
      <c r="BL117">
        <v>25.963162190614117</v>
      </c>
      <c r="BM117">
        <v>11.237371763463029</v>
      </c>
      <c r="BN117">
        <v>20.9203131034675</v>
      </c>
      <c r="BO117">
        <v>8.8079431660381449</v>
      </c>
      <c r="BP117">
        <v>9.8742906991828843</v>
      </c>
      <c r="BQ117">
        <v>1191.4755698170607</v>
      </c>
      <c r="BR117">
        <v>24.708868021263225</v>
      </c>
      <c r="BS117">
        <v>10.660488893511641</v>
      </c>
      <c r="BU117">
        <v>121</v>
      </c>
      <c r="BV117">
        <v>16.196522227113306</v>
      </c>
      <c r="BW117">
        <v>6.5102986905821787</v>
      </c>
      <c r="BX117">
        <v>7.5000152703769531</v>
      </c>
      <c r="BY117">
        <v>883.29272839064936</v>
      </c>
      <c r="BZ117">
        <v>24.696448560702748</v>
      </c>
      <c r="CA117">
        <v>10.277170513342032</v>
      </c>
      <c r="CB117">
        <v>16.944108239524365</v>
      </c>
      <c r="CC117">
        <v>6.7396027715830336</v>
      </c>
      <c r="CD117">
        <v>7.8653783327379827</v>
      </c>
      <c r="CE117">
        <v>934.10533173586759</v>
      </c>
      <c r="CF117">
        <v>24.598374189733153</v>
      </c>
      <c r="CG117">
        <v>10.16698915065794</v>
      </c>
      <c r="CH117">
        <v>18.322976594219522</v>
      </c>
      <c r="CI117">
        <v>7.3208705800670621</v>
      </c>
      <c r="CJ117">
        <v>8.3988547185886713</v>
      </c>
      <c r="CK117">
        <v>1009.6659804769916</v>
      </c>
      <c r="CL117">
        <v>24.93033506102681</v>
      </c>
      <c r="CM117">
        <v>10.350723609835821</v>
      </c>
      <c r="CN117">
        <v>19.533824420756684</v>
      </c>
      <c r="CO117">
        <v>7.6912294826830143</v>
      </c>
      <c r="CP117">
        <v>9.0382984475836032</v>
      </c>
      <c r="CQ117">
        <v>1084.1470685965453</v>
      </c>
      <c r="CR117">
        <v>25.100717448960605</v>
      </c>
      <c r="CS117">
        <v>10.331433124311864</v>
      </c>
      <c r="CT117">
        <v>19.85488957733952</v>
      </c>
      <c r="CU117">
        <v>7.7273769880907031</v>
      </c>
      <c r="CV117">
        <v>9.4212243552239254</v>
      </c>
      <c r="CW117">
        <v>1193.5154051691336</v>
      </c>
      <c r="CX117">
        <v>23.773961321446198</v>
      </c>
      <c r="CY117">
        <v>9.7369048197002108</v>
      </c>
      <c r="DA117">
        <v>121</v>
      </c>
      <c r="DB117">
        <v>13.437726216437587</v>
      </c>
      <c r="DC117">
        <v>5.948111908666597</v>
      </c>
      <c r="DD117">
        <v>7.1174054859616307</v>
      </c>
      <c r="DE117">
        <v>919.30043237610698</v>
      </c>
      <c r="DF117">
        <v>20.728150176993214</v>
      </c>
      <c r="DG117">
        <v>9.2630906078659603</v>
      </c>
      <c r="DH117">
        <v>14.051310290053296</v>
      </c>
      <c r="DI117">
        <v>6.5437361354985635</v>
      </c>
      <c r="DJ117">
        <v>7.4990341612662892</v>
      </c>
      <c r="DK117">
        <v>965.95973282450575</v>
      </c>
      <c r="DL117">
        <v>20.792455265670558</v>
      </c>
      <c r="DM117">
        <v>9.6289439623418094</v>
      </c>
      <c r="DN117">
        <v>15.618851331698355</v>
      </c>
      <c r="DO117">
        <v>6.7185272270016219</v>
      </c>
      <c r="DP117">
        <v>8.0550784516489742</v>
      </c>
      <c r="DQ117">
        <v>1043.1786342987948</v>
      </c>
      <c r="DR117">
        <v>21.537237431623982</v>
      </c>
      <c r="DS117">
        <v>9.4407897413713062</v>
      </c>
      <c r="DT117">
        <v>16.785478446374917</v>
      </c>
      <c r="DU117">
        <v>7.3873449468725543</v>
      </c>
      <c r="DV117">
        <v>8.7874826743225789</v>
      </c>
      <c r="DW117">
        <v>1137.5785067843244</v>
      </c>
      <c r="DX117">
        <v>21.505788938237476</v>
      </c>
      <c r="DY117">
        <v>9.5790385765256545</v>
      </c>
      <c r="DZ117">
        <v>17.071106978735219</v>
      </c>
      <c r="EA117">
        <v>7.5883237148310574</v>
      </c>
      <c r="EB117">
        <v>9.1867521062920332</v>
      </c>
      <c r="EC117">
        <v>1251.3988339944472</v>
      </c>
      <c r="ED117">
        <v>20.449760528185394</v>
      </c>
      <c r="EE117">
        <v>9.1754062060833679</v>
      </c>
      <c r="EG117">
        <v>121</v>
      </c>
      <c r="EH117">
        <v>12.608885517820566</v>
      </c>
      <c r="EI117">
        <v>5.4738703797431736</v>
      </c>
      <c r="EJ117">
        <v>6.5462800453587962</v>
      </c>
      <c r="EK117">
        <v>932.37601068459855</v>
      </c>
      <c r="EL117">
        <v>19.548504586756625</v>
      </c>
      <c r="EM117">
        <v>8.6245480148319729</v>
      </c>
      <c r="EN117">
        <v>13.204827044811752</v>
      </c>
      <c r="EO117">
        <v>5.8939248215827291</v>
      </c>
      <c r="EP117">
        <v>6.935101637710714</v>
      </c>
      <c r="EQ117">
        <v>979.65572517751673</v>
      </c>
      <c r="ER117">
        <v>19.637706179346885</v>
      </c>
      <c r="ES117">
        <v>8.8310215527626763</v>
      </c>
      <c r="ET117">
        <v>14.402380757988876</v>
      </c>
      <c r="EU117">
        <v>6.0806294615143699</v>
      </c>
      <c r="EV117">
        <v>7.4437391116595935</v>
      </c>
      <c r="EW117">
        <v>1013.9961404286415</v>
      </c>
      <c r="EX117">
        <v>20.957392744905025</v>
      </c>
      <c r="EY117">
        <v>9.0833998438347265</v>
      </c>
      <c r="EZ117">
        <v>15.152831333726944</v>
      </c>
      <c r="FA117">
        <v>6.7540507345343803</v>
      </c>
      <c r="FB117">
        <v>8.1202017642727089</v>
      </c>
      <c r="FC117">
        <v>1124.573424710203</v>
      </c>
      <c r="FD117">
        <v>20.302699364263137</v>
      </c>
      <c r="FE117">
        <v>9.1266732455643833</v>
      </c>
      <c r="FF117">
        <v>15.320870150818738</v>
      </c>
      <c r="FG117">
        <v>6.8945866437965106</v>
      </c>
      <c r="FH117">
        <v>8.4935821549011354</v>
      </c>
      <c r="FI117">
        <v>1247.4131457137985</v>
      </c>
      <c r="FJ117">
        <v>19.11200770525652</v>
      </c>
      <c r="FK117">
        <v>8.6485825436048689</v>
      </c>
    </row>
    <row r="118" spans="2:167" x14ac:dyDescent="0.25">
      <c r="B118">
        <v>601.20625038839387</v>
      </c>
      <c r="C118">
        <v>1.6633226939240497</v>
      </c>
      <c r="D118">
        <v>645.69394725378049</v>
      </c>
      <c r="E118">
        <v>1.5487213474017045</v>
      </c>
      <c r="F118">
        <v>732.9125212748321</v>
      </c>
      <c r="G118">
        <v>1.3644193146824597</v>
      </c>
      <c r="H118">
        <v>821.81558446105635</v>
      </c>
      <c r="I118">
        <v>1.2168180050464683</v>
      </c>
      <c r="J118">
        <v>911.78290900060495</v>
      </c>
      <c r="K118">
        <v>1.0967522972064576</v>
      </c>
      <c r="L118">
        <v>690.73753805648187</v>
      </c>
      <c r="M118">
        <v>1.4477278921508818</v>
      </c>
      <c r="N118">
        <v>688.72549731865342</v>
      </c>
      <c r="O118">
        <v>1.4519572803579956</v>
      </c>
      <c r="Q118">
        <v>0.2336524699154946</v>
      </c>
      <c r="R118">
        <v>0.23423120894776603</v>
      </c>
      <c r="S118">
        <v>0.23399015636544285</v>
      </c>
      <c r="T118">
        <v>0.23496570730512553</v>
      </c>
      <c r="U118">
        <v>0.2353146007802687</v>
      </c>
      <c r="V118">
        <v>0.2341320398838434</v>
      </c>
      <c r="W118">
        <v>0.23400463687024581</v>
      </c>
      <c r="Y118">
        <v>2.1478538101915015</v>
      </c>
      <c r="Z118">
        <v>2.2065577053811301</v>
      </c>
      <c r="AA118">
        <v>2.234133780666002</v>
      </c>
      <c r="AB118">
        <v>2.3827331312248705</v>
      </c>
      <c r="AC118">
        <v>2.4483108740272961</v>
      </c>
      <c r="AD118">
        <v>2.2216074271870125</v>
      </c>
      <c r="AE118">
        <v>2.2171917690982887</v>
      </c>
      <c r="AG118">
        <v>0.86576771256102381</v>
      </c>
      <c r="AH118">
        <v>0.89970376840872512</v>
      </c>
      <c r="AI118">
        <v>0.90622832773697537</v>
      </c>
      <c r="AJ118">
        <v>0.97681458492859541</v>
      </c>
      <c r="AK118">
        <v>1.0095943623325689</v>
      </c>
      <c r="AL118">
        <v>0.90432236902957741</v>
      </c>
      <c r="AM118">
        <v>0.90023465911755041</v>
      </c>
      <c r="AO118">
        <v>122</v>
      </c>
      <c r="AP118">
        <v>16.931063736981372</v>
      </c>
      <c r="AQ118">
        <v>7.4361298436703311</v>
      </c>
      <c r="AR118">
        <v>7.7395305624900557</v>
      </c>
      <c r="AS118">
        <v>884.40819462781042</v>
      </c>
      <c r="AT118">
        <v>25.495845784309825</v>
      </c>
      <c r="AU118">
        <v>11.31104528058316</v>
      </c>
      <c r="AV118">
        <v>17.832022222466019</v>
      </c>
      <c r="AW118">
        <v>7.7435650433274672</v>
      </c>
      <c r="AX118">
        <v>8.1382071172396042</v>
      </c>
      <c r="AY118">
        <v>934.63813209578359</v>
      </c>
      <c r="AZ118">
        <v>25.534359926114774</v>
      </c>
      <c r="BA118">
        <v>11.235365522191827</v>
      </c>
      <c r="BB118">
        <v>19.179895760802655</v>
      </c>
      <c r="BC118">
        <v>8.1423242711817903</v>
      </c>
      <c r="BD118">
        <v>8.7013340885286503</v>
      </c>
      <c r="BE118">
        <v>1009.2988302288538</v>
      </c>
      <c r="BF118">
        <v>25.788428144410815</v>
      </c>
      <c r="BG118">
        <v>11.168374376030966</v>
      </c>
      <c r="BH118">
        <v>20.427192307563793</v>
      </c>
      <c r="BI118">
        <v>8.6609076635574702</v>
      </c>
      <c r="BJ118">
        <v>9.3310730435690257</v>
      </c>
      <c r="BK118">
        <v>1083.3821550266475</v>
      </c>
      <c r="BL118">
        <v>25.943049733984761</v>
      </c>
      <c r="BM118">
        <v>11.233774767777174</v>
      </c>
      <c r="BN118">
        <v>20.9203131034675</v>
      </c>
      <c r="BO118">
        <v>8.8145485448572689</v>
      </c>
      <c r="BP118">
        <v>9.8742906991828843</v>
      </c>
      <c r="BQ118">
        <v>1192.3546419190707</v>
      </c>
      <c r="BR118">
        <v>24.690651229223253</v>
      </c>
      <c r="BS118">
        <v>10.658169147805364</v>
      </c>
      <c r="BU118">
        <v>122</v>
      </c>
      <c r="BV118">
        <v>16.196522227113306</v>
      </c>
      <c r="BW118">
        <v>6.5186792071874233</v>
      </c>
      <c r="BX118">
        <v>7.5000152703769531</v>
      </c>
      <c r="BY118">
        <v>884.01062048926963</v>
      </c>
      <c r="BZ118">
        <v>24.676392935945778</v>
      </c>
      <c r="CA118">
        <v>10.278304681953026</v>
      </c>
      <c r="CB118">
        <v>16.944108239524365</v>
      </c>
      <c r="CC118">
        <v>6.7522936514462675</v>
      </c>
      <c r="CD118">
        <v>7.8653783327379827</v>
      </c>
      <c r="CE118">
        <v>934.86150665445621</v>
      </c>
      <c r="CF118">
        <v>24.578477474050739</v>
      </c>
      <c r="CG118">
        <v>10.17234059323455</v>
      </c>
      <c r="CH118">
        <v>18.322976594219522</v>
      </c>
      <c r="CI118">
        <v>7.3289027502407107</v>
      </c>
      <c r="CJ118">
        <v>8.3988547185886713</v>
      </c>
      <c r="CK118">
        <v>1010.4742896303924</v>
      </c>
      <c r="CL118">
        <v>24.910392526878269</v>
      </c>
      <c r="CM118">
        <v>10.350392661816725</v>
      </c>
      <c r="CN118">
        <v>19.533824420756684</v>
      </c>
      <c r="CO118">
        <v>7.7030261360167751</v>
      </c>
      <c r="CP118">
        <v>9.0382984475836032</v>
      </c>
      <c r="CQ118">
        <v>1085.0211371739053</v>
      </c>
      <c r="CR118">
        <v>25.08049687662367</v>
      </c>
      <c r="CS118">
        <v>10.333982634349898</v>
      </c>
      <c r="CT118">
        <v>19.85488957733952</v>
      </c>
      <c r="CU118">
        <v>7.7411043074405113</v>
      </c>
      <c r="CV118">
        <v>9.4212243552239254</v>
      </c>
      <c r="CW118">
        <v>1194.4267878127268</v>
      </c>
      <c r="CX118">
        <v>23.755821092225872</v>
      </c>
      <c r="CY118">
        <v>9.740968085313753</v>
      </c>
      <c r="DA118">
        <v>122</v>
      </c>
      <c r="DB118">
        <v>13.437726216437587</v>
      </c>
      <c r="DC118">
        <v>5.9584241776592313</v>
      </c>
      <c r="DD118">
        <v>7.1174054859616307</v>
      </c>
      <c r="DE118">
        <v>920.18923174691929</v>
      </c>
      <c r="DF118">
        <v>20.708129113716435</v>
      </c>
      <c r="DG118">
        <v>9.2653501864578978</v>
      </c>
      <c r="DH118">
        <v>14.051310290053296</v>
      </c>
      <c r="DI118">
        <v>6.5600977814908363</v>
      </c>
      <c r="DJ118">
        <v>7.4990341612662892</v>
      </c>
      <c r="DK118">
        <v>966.8965406850059</v>
      </c>
      <c r="DL118">
        <v>20.772309847094359</v>
      </c>
      <c r="DM118">
        <v>9.6365364764228243</v>
      </c>
      <c r="DN118">
        <v>15.618851331698355</v>
      </c>
      <c r="DO118">
        <v>6.7333569404808689</v>
      </c>
      <c r="DP118">
        <v>8.0550784516489742</v>
      </c>
      <c r="DQ118">
        <v>1044.1547477791473</v>
      </c>
      <c r="DR118">
        <v>21.5171036460608</v>
      </c>
      <c r="DS118">
        <v>9.446166752163494</v>
      </c>
      <c r="DT118">
        <v>16.785478446374917</v>
      </c>
      <c r="DU118">
        <v>7.4199394831630787</v>
      </c>
      <c r="DV118">
        <v>8.7874826743225789</v>
      </c>
      <c r="DW118">
        <v>1138.6498893659698</v>
      </c>
      <c r="DX118">
        <v>21.48555363334863</v>
      </c>
      <c r="DY118">
        <v>9.5986510328384202</v>
      </c>
      <c r="DZ118">
        <v>17.071106978735219</v>
      </c>
      <c r="EA118">
        <v>7.6237148396485885</v>
      </c>
      <c r="EB118">
        <v>9.1867521062920332</v>
      </c>
      <c r="EC118">
        <v>1252.5195402519741</v>
      </c>
      <c r="ED118">
        <v>20.431462869863626</v>
      </c>
      <c r="EE118">
        <v>9.1954523521594371</v>
      </c>
      <c r="EG118">
        <v>122</v>
      </c>
      <c r="EH118">
        <v>12.608885517820566</v>
      </c>
      <c r="EI118">
        <v>5.4826292219303747</v>
      </c>
      <c r="EJ118">
        <v>6.5462800453587962</v>
      </c>
      <c r="EK118">
        <v>933.33516752142316</v>
      </c>
      <c r="EL118">
        <v>19.528415252853268</v>
      </c>
      <c r="EM118">
        <v>8.6250693152299256</v>
      </c>
      <c r="EN118">
        <v>13.204827044811752</v>
      </c>
      <c r="EO118">
        <v>5.9088675209755195</v>
      </c>
      <c r="EP118">
        <v>6.935101637710714</v>
      </c>
      <c r="EQ118">
        <v>980.6582885384372</v>
      </c>
      <c r="ER118">
        <v>19.617629823558083</v>
      </c>
      <c r="ES118">
        <v>8.8372306888253167</v>
      </c>
      <c r="ET118">
        <v>14.402380757988876</v>
      </c>
      <c r="EU118">
        <v>6.094052602410172</v>
      </c>
      <c r="EV118">
        <v>7.4437391116595935</v>
      </c>
      <c r="EW118">
        <v>1014.9637021982056</v>
      </c>
      <c r="EX118">
        <v>20.937414126984212</v>
      </c>
      <c r="EY118">
        <v>9.0879659090636675</v>
      </c>
      <c r="EZ118">
        <v>15.152831333726944</v>
      </c>
      <c r="FA118">
        <v>6.7834379112451328</v>
      </c>
      <c r="FB118">
        <v>8.1202017642727089</v>
      </c>
      <c r="FC118">
        <v>1125.6844840470853</v>
      </c>
      <c r="FD118">
        <v>20.282660442156399</v>
      </c>
      <c r="FE118">
        <v>9.1437711992622042</v>
      </c>
      <c r="FF118">
        <v>15.320870150818738</v>
      </c>
      <c r="FG118">
        <v>6.9265862397830293</v>
      </c>
      <c r="FH118">
        <v>8.4935821549011354</v>
      </c>
      <c r="FI118">
        <v>1248.4752967908032</v>
      </c>
      <c r="FJ118">
        <v>19.095748000623164</v>
      </c>
      <c r="FK118">
        <v>8.6668556282080687</v>
      </c>
    </row>
    <row r="119" spans="2:167" x14ac:dyDescent="0.25">
      <c r="B119">
        <v>601.20625038839387</v>
      </c>
      <c r="C119">
        <v>1.6633226939240497</v>
      </c>
      <c r="D119">
        <v>645.69394725378049</v>
      </c>
      <c r="E119">
        <v>1.5487213474017045</v>
      </c>
      <c r="F119">
        <v>732.9125212748321</v>
      </c>
      <c r="G119">
        <v>1.3644193146824597</v>
      </c>
      <c r="H119">
        <v>821.81558446105635</v>
      </c>
      <c r="I119">
        <v>1.2168180050464683</v>
      </c>
      <c r="J119">
        <v>911.78290900060495</v>
      </c>
      <c r="K119">
        <v>1.0967522972064576</v>
      </c>
      <c r="L119">
        <v>690.73753805648187</v>
      </c>
      <c r="M119">
        <v>1.4477278921508818</v>
      </c>
      <c r="N119">
        <v>688.72549731865342</v>
      </c>
      <c r="O119">
        <v>1.4519572803579956</v>
      </c>
      <c r="Q119">
        <v>0.23552542534084681</v>
      </c>
      <c r="R119">
        <v>0.23610564384552604</v>
      </c>
      <c r="S119">
        <v>0.23585968462234261</v>
      </c>
      <c r="T119">
        <v>0.23683769166293034</v>
      </c>
      <c r="U119">
        <v>0.23718661108636221</v>
      </c>
      <c r="V119">
        <v>0.23600293746698855</v>
      </c>
      <c r="W119">
        <v>0.23587743486792662</v>
      </c>
      <c r="Y119">
        <v>2.1478538101915015</v>
      </c>
      <c r="Z119">
        <v>2.2065577053811301</v>
      </c>
      <c r="AA119">
        <v>2.234133780666002</v>
      </c>
      <c r="AB119">
        <v>2.3827331312248705</v>
      </c>
      <c r="AC119">
        <v>2.4483108740272961</v>
      </c>
      <c r="AD119">
        <v>2.2216074271870125</v>
      </c>
      <c r="AE119">
        <v>2.2171917690982887</v>
      </c>
      <c r="AG119">
        <v>0.86576771256102381</v>
      </c>
      <c r="AH119">
        <v>0.89970376840872512</v>
      </c>
      <c r="AI119">
        <v>0.90622832773697537</v>
      </c>
      <c r="AJ119">
        <v>0.97708683710752431</v>
      </c>
      <c r="AK119">
        <v>1.0100569279354694</v>
      </c>
      <c r="AL119">
        <v>0.90432236902957741</v>
      </c>
      <c r="AM119">
        <v>0.90023465911755041</v>
      </c>
      <c r="AO119">
        <v>123</v>
      </c>
      <c r="AP119">
        <v>16.931063736981372</v>
      </c>
      <c r="AQ119">
        <v>7.4361298436703311</v>
      </c>
      <c r="AR119">
        <v>7.7395305624900557</v>
      </c>
      <c r="AS119">
        <v>885.09878239128409</v>
      </c>
      <c r="AT119">
        <v>25.475952954867118</v>
      </c>
      <c r="AU119">
        <v>11.302219972472619</v>
      </c>
      <c r="AV119">
        <v>17.832022222466019</v>
      </c>
      <c r="AW119">
        <v>7.746969681117732</v>
      </c>
      <c r="AX119">
        <v>8.1382071172396042</v>
      </c>
      <c r="AY119">
        <v>935.36901444973523</v>
      </c>
      <c r="AZ119">
        <v>25.51440778658359</v>
      </c>
      <c r="BA119">
        <v>11.230226274968709</v>
      </c>
      <c r="BB119">
        <v>19.179895760802655</v>
      </c>
      <c r="BC119">
        <v>8.1435035166058629</v>
      </c>
      <c r="BD119">
        <v>8.7013340885286503</v>
      </c>
      <c r="BE119">
        <v>1010.0769303296939</v>
      </c>
      <c r="BF119">
        <v>25.76856235207644</v>
      </c>
      <c r="BG119">
        <v>11.16093843963978</v>
      </c>
      <c r="BH119">
        <v>20.427192307563793</v>
      </c>
      <c r="BI119">
        <v>8.665269024987861</v>
      </c>
      <c r="BJ119">
        <v>9.3310730435690257</v>
      </c>
      <c r="BK119">
        <v>1084.2226995124879</v>
      </c>
      <c r="BL119">
        <v>25.92293736462597</v>
      </c>
      <c r="BM119">
        <v>11.229088344952673</v>
      </c>
      <c r="BN119">
        <v>20.9203131034675</v>
      </c>
      <c r="BO119">
        <v>8.8199823098780801</v>
      </c>
      <c r="BP119">
        <v>9.8742906991828843</v>
      </c>
      <c r="BQ119">
        <v>1193.235074263855</v>
      </c>
      <c r="BR119">
        <v>24.672433152647343</v>
      </c>
      <c r="BS119">
        <v>10.654858792689014</v>
      </c>
      <c r="BU119">
        <v>123</v>
      </c>
      <c r="BV119">
        <v>16.196522227113306</v>
      </c>
      <c r="BW119">
        <v>6.526324623612072</v>
      </c>
      <c r="BX119">
        <v>7.5000152703769531</v>
      </c>
      <c r="BY119">
        <v>884.72967884140701</v>
      </c>
      <c r="BZ119">
        <v>24.656337356410511</v>
      </c>
      <c r="CA119">
        <v>10.278592584126276</v>
      </c>
      <c r="CB119">
        <v>16.944108239524365</v>
      </c>
      <c r="CC119">
        <v>6.7642884006213464</v>
      </c>
      <c r="CD119">
        <v>7.8653783327379827</v>
      </c>
      <c r="CE119">
        <v>935.61891001901893</v>
      </c>
      <c r="CF119">
        <v>24.558580674899581</v>
      </c>
      <c r="CG119">
        <v>10.176925990278523</v>
      </c>
      <c r="CH119">
        <v>18.322976594219522</v>
      </c>
      <c r="CI119">
        <v>7.3360438546314475</v>
      </c>
      <c r="CJ119">
        <v>8.3988547185886713</v>
      </c>
      <c r="CK119">
        <v>1011.2838959053162</v>
      </c>
      <c r="CL119">
        <v>24.890449946775657</v>
      </c>
      <c r="CM119">
        <v>10.349167844076414</v>
      </c>
      <c r="CN119">
        <v>19.533824420756684</v>
      </c>
      <c r="CO119">
        <v>7.7139300578470644</v>
      </c>
      <c r="CP119">
        <v>9.0382984475836032</v>
      </c>
      <c r="CQ119">
        <v>1085.8966085601048</v>
      </c>
      <c r="CR119">
        <v>25.060276482532686</v>
      </c>
      <c r="CS119">
        <v>10.33569257221488</v>
      </c>
      <c r="CT119">
        <v>19.85488957733952</v>
      </c>
      <c r="CU119">
        <v>7.7539758442448994</v>
      </c>
      <c r="CV119">
        <v>9.4212243552239254</v>
      </c>
      <c r="CW119">
        <v>1195.3396331511949</v>
      </c>
      <c r="CX119">
        <v>23.737679477956501</v>
      </c>
      <c r="CY119">
        <v>9.7442972976858471</v>
      </c>
      <c r="DA119">
        <v>123</v>
      </c>
      <c r="DB119">
        <v>13.437726216437587</v>
      </c>
      <c r="DC119">
        <v>5.9681086113220809</v>
      </c>
      <c r="DD119">
        <v>7.1174054859616307</v>
      </c>
      <c r="DE119">
        <v>921.07975049505137</v>
      </c>
      <c r="DF119">
        <v>20.688108070799586</v>
      </c>
      <c r="DG119">
        <v>9.2669064747304688</v>
      </c>
      <c r="DH119">
        <v>14.051310290053296</v>
      </c>
      <c r="DI119">
        <v>6.5758423983486276</v>
      </c>
      <c r="DJ119">
        <v>7.4990341612662892</v>
      </c>
      <c r="DK119">
        <v>967.83516079497542</v>
      </c>
      <c r="DL119">
        <v>20.752164569734333</v>
      </c>
      <c r="DM119">
        <v>9.643458698513891</v>
      </c>
      <c r="DN119">
        <v>15.618851331698355</v>
      </c>
      <c r="DO119">
        <v>6.7475024939080424</v>
      </c>
      <c r="DP119">
        <v>8.0550784516489742</v>
      </c>
      <c r="DQ119">
        <v>1045.1326835967211</v>
      </c>
      <c r="DR119">
        <v>21.49696998583164</v>
      </c>
      <c r="DS119">
        <v>9.4508626235092894</v>
      </c>
      <c r="DT119">
        <v>16.785478446374917</v>
      </c>
      <c r="DU119">
        <v>7.4520648147253752</v>
      </c>
      <c r="DV119">
        <v>8.7874826743225789</v>
      </c>
      <c r="DW119">
        <v>1139.7232801317753</v>
      </c>
      <c r="DX119">
        <v>21.465318550613823</v>
      </c>
      <c r="DY119">
        <v>9.6177979859277158</v>
      </c>
      <c r="DZ119">
        <v>17.071106978735219</v>
      </c>
      <c r="EA119">
        <v>7.6586592411189454</v>
      </c>
      <c r="EB119">
        <v>9.1867521062920332</v>
      </c>
      <c r="EC119">
        <v>1253.6423471452531</v>
      </c>
      <c r="ED119">
        <v>20.413163721464329</v>
      </c>
      <c r="EE119">
        <v>9.2150908752506488</v>
      </c>
      <c r="EG119">
        <v>123</v>
      </c>
      <c r="EH119">
        <v>12.608885517820566</v>
      </c>
      <c r="EI119">
        <v>5.4907930906109286</v>
      </c>
      <c r="EJ119">
        <v>6.5462800453587962</v>
      </c>
      <c r="EK119">
        <v>934.29629540031476</v>
      </c>
      <c r="EL119">
        <v>19.508326010904547</v>
      </c>
      <c r="EM119">
        <v>8.6249345336875987</v>
      </c>
      <c r="EN119">
        <v>13.204827044811752</v>
      </c>
      <c r="EO119">
        <v>5.9232593104282287</v>
      </c>
      <c r="EP119">
        <v>6.935101637710714</v>
      </c>
      <c r="EQ119">
        <v>981.66290209891929</v>
      </c>
      <c r="ER119">
        <v>19.597553545944734</v>
      </c>
      <c r="ES119">
        <v>8.8428474719937711</v>
      </c>
      <c r="ET119">
        <v>14.402380757988876</v>
      </c>
      <c r="EU119">
        <v>6.1068565758130315</v>
      </c>
      <c r="EV119">
        <v>7.4437391116595935</v>
      </c>
      <c r="EW119">
        <v>1015.9331132291859</v>
      </c>
      <c r="EX119">
        <v>20.917435488675647</v>
      </c>
      <c r="EY119">
        <v>9.0918972692579896</v>
      </c>
      <c r="EZ119">
        <v>15.152831333726944</v>
      </c>
      <c r="FA119">
        <v>6.8123862634238259</v>
      </c>
      <c r="FB119">
        <v>8.1202017642727089</v>
      </c>
      <c r="FC119">
        <v>1126.797738832028</v>
      </c>
      <c r="FD119">
        <v>20.262621558503685</v>
      </c>
      <c r="FE119">
        <v>9.1604281417567357</v>
      </c>
      <c r="FF119">
        <v>15.320870150818738</v>
      </c>
      <c r="FG119">
        <v>6.9581762333128188</v>
      </c>
      <c r="FH119">
        <v>8.4935821549011354</v>
      </c>
      <c r="FI119">
        <v>1249.5394559497786</v>
      </c>
      <c r="FJ119">
        <v>19.07948527675671</v>
      </c>
      <c r="FK119">
        <v>8.6847558870810584</v>
      </c>
    </row>
    <row r="120" spans="2:167" x14ac:dyDescent="0.25">
      <c r="B120">
        <v>601.20625038839387</v>
      </c>
      <c r="C120">
        <v>1.6633226939240497</v>
      </c>
      <c r="D120">
        <v>645.69394725378049</v>
      </c>
      <c r="E120">
        <v>1.5487213474017045</v>
      </c>
      <c r="F120">
        <v>732.9125212748321</v>
      </c>
      <c r="G120">
        <v>1.3644193146824597</v>
      </c>
      <c r="H120">
        <v>821.81558446105635</v>
      </c>
      <c r="I120">
        <v>1.2168180050464683</v>
      </c>
      <c r="J120">
        <v>911.78290900060495</v>
      </c>
      <c r="K120">
        <v>1.0967522972064576</v>
      </c>
      <c r="L120">
        <v>690.73753805648187</v>
      </c>
      <c r="M120">
        <v>1.4477278921508818</v>
      </c>
      <c r="N120">
        <v>688.72549731865342</v>
      </c>
      <c r="O120">
        <v>1.4519572803579956</v>
      </c>
      <c r="Q120">
        <v>0.23739838076619901</v>
      </c>
      <c r="R120">
        <v>0.23798007874328606</v>
      </c>
      <c r="S120">
        <v>0.23772921287924237</v>
      </c>
      <c r="T120">
        <v>0.23870967602073515</v>
      </c>
      <c r="U120">
        <v>0.23905862139245571</v>
      </c>
      <c r="V120">
        <v>0.23787383505013374</v>
      </c>
      <c r="W120">
        <v>0.23775023286560742</v>
      </c>
      <c r="Y120">
        <v>2.1478538101915015</v>
      </c>
      <c r="Z120">
        <v>2.2065577053811301</v>
      </c>
      <c r="AA120">
        <v>2.234133780666002</v>
      </c>
      <c r="AB120">
        <v>2.3827331312248705</v>
      </c>
      <c r="AC120">
        <v>2.4483108740272961</v>
      </c>
      <c r="AD120">
        <v>2.2216074271870125</v>
      </c>
      <c r="AE120">
        <v>2.2171917690982887</v>
      </c>
      <c r="AG120">
        <v>0.86576771256102381</v>
      </c>
      <c r="AH120">
        <v>0.89970376840872512</v>
      </c>
      <c r="AI120">
        <v>0.90622832773697537</v>
      </c>
      <c r="AJ120">
        <v>0.97724609208831492</v>
      </c>
      <c r="AK120">
        <v>1.0104051958972322</v>
      </c>
      <c r="AL120">
        <v>0.90432236902957741</v>
      </c>
      <c r="AM120">
        <v>0.90023465911755041</v>
      </c>
      <c r="AO120">
        <v>124</v>
      </c>
      <c r="AP120">
        <v>16.931063736981372</v>
      </c>
      <c r="AQ120">
        <v>7.4361298436703311</v>
      </c>
      <c r="AR120">
        <v>7.7395305624900557</v>
      </c>
      <c r="AS120">
        <v>885.79045239164634</v>
      </c>
      <c r="AT120">
        <v>25.456060041885333</v>
      </c>
      <c r="AU120">
        <v>11.293394627300577</v>
      </c>
      <c r="AV120">
        <v>17.832022222466019</v>
      </c>
      <c r="AW120">
        <v>7.7493559107176493</v>
      </c>
      <c r="AX120">
        <v>8.1382071172396042</v>
      </c>
      <c r="AY120">
        <v>936.1010421638515</v>
      </c>
      <c r="AZ120">
        <v>25.494455609662744</v>
      </c>
      <c r="BA120">
        <v>11.223993393039992</v>
      </c>
      <c r="BB120">
        <v>19.179895760802655</v>
      </c>
      <c r="BC120">
        <v>8.14354885679594</v>
      </c>
      <c r="BD120">
        <v>8.7013340885286503</v>
      </c>
      <c r="BE120">
        <v>1010.8562351331576</v>
      </c>
      <c r="BF120">
        <v>25.748696456490723</v>
      </c>
      <c r="BG120">
        <v>11.152378930931841</v>
      </c>
      <c r="BH120">
        <v>20.427192307563793</v>
      </c>
      <c r="BI120">
        <v>8.6684577509592522</v>
      </c>
      <c r="BJ120">
        <v>9.3310730435690257</v>
      </c>
      <c r="BK120">
        <v>1085.0645456319821</v>
      </c>
      <c r="BL120">
        <v>25.90282508253717</v>
      </c>
      <c r="BM120">
        <v>11.223315012386898</v>
      </c>
      <c r="BN120">
        <v>20.9203131034675</v>
      </c>
      <c r="BO120">
        <v>8.8242444611005855</v>
      </c>
      <c r="BP120">
        <v>9.8742906991828843</v>
      </c>
      <c r="BQ120">
        <v>1194.1168700110402</v>
      </c>
      <c r="BR120">
        <v>24.654213791399634</v>
      </c>
      <c r="BS120">
        <v>10.650560002447737</v>
      </c>
      <c r="BU120">
        <v>124</v>
      </c>
      <c r="BV120">
        <v>16.196522227113306</v>
      </c>
      <c r="BW120">
        <v>6.5332349398561309</v>
      </c>
      <c r="BX120">
        <v>7.5000152703769531</v>
      </c>
      <c r="BY120">
        <v>885.44990629133235</v>
      </c>
      <c r="BZ120">
        <v>24.636281822096791</v>
      </c>
      <c r="CA120">
        <v>10.278036247423175</v>
      </c>
      <c r="CB120">
        <v>16.944108239524365</v>
      </c>
      <c r="CC120">
        <v>6.7755870191082712</v>
      </c>
      <c r="CD120">
        <v>7.8653783327379827</v>
      </c>
      <c r="CE120">
        <v>936.37754482550213</v>
      </c>
      <c r="CF120">
        <v>24.538683792279148</v>
      </c>
      <c r="CG120">
        <v>10.180747150052664</v>
      </c>
      <c r="CH120">
        <v>18.322976594219522</v>
      </c>
      <c r="CI120">
        <v>7.3422938932392743</v>
      </c>
      <c r="CJ120">
        <v>8.3988547185886713</v>
      </c>
      <c r="CK120">
        <v>1012.0948024265736</v>
      </c>
      <c r="CL120">
        <v>24.870507320718808</v>
      </c>
      <c r="CM120">
        <v>10.34705127448097</v>
      </c>
      <c r="CN120">
        <v>19.533824420756684</v>
      </c>
      <c r="CO120">
        <v>7.7239412481738841</v>
      </c>
      <c r="CP120">
        <v>9.0382984475836032</v>
      </c>
      <c r="CQ120">
        <v>1086.7734861349466</v>
      </c>
      <c r="CR120">
        <v>25.040056266685298</v>
      </c>
      <c r="CS120">
        <v>10.336564928139904</v>
      </c>
      <c r="CT120">
        <v>19.85488957733952</v>
      </c>
      <c r="CU120">
        <v>7.7659915985038621</v>
      </c>
      <c r="CV120">
        <v>9.4212243552239254</v>
      </c>
      <c r="CW120">
        <v>1196.2539447086253</v>
      </c>
      <c r="CX120">
        <v>23.719536478479448</v>
      </c>
      <c r="CY120">
        <v>9.7468940963291395</v>
      </c>
      <c r="DA120">
        <v>124</v>
      </c>
      <c r="DB120">
        <v>13.437726216437587</v>
      </c>
      <c r="DC120">
        <v>5.9771652096551522</v>
      </c>
      <c r="DD120">
        <v>7.1174054859616307</v>
      </c>
      <c r="DE120">
        <v>921.97199361452192</v>
      </c>
      <c r="DF120">
        <v>20.668087048242633</v>
      </c>
      <c r="DG120">
        <v>9.2677614516686777</v>
      </c>
      <c r="DH120">
        <v>14.051310290053296</v>
      </c>
      <c r="DI120">
        <v>6.5909699860719355</v>
      </c>
      <c r="DJ120">
        <v>7.4990341612662892</v>
      </c>
      <c r="DK120">
        <v>968.77559841818527</v>
      </c>
      <c r="DL120">
        <v>20.732019433588988</v>
      </c>
      <c r="DM120">
        <v>9.6497124856192311</v>
      </c>
      <c r="DN120">
        <v>15.618851331698355</v>
      </c>
      <c r="DO120">
        <v>6.7609638872831423</v>
      </c>
      <c r="DP120">
        <v>8.0550784516489742</v>
      </c>
      <c r="DQ120">
        <v>1046.1124468595528</v>
      </c>
      <c r="DR120">
        <v>21.476836450935327</v>
      </c>
      <c r="DS120">
        <v>9.4548791949468338</v>
      </c>
      <c r="DT120">
        <v>16.785478446374917</v>
      </c>
      <c r="DU120">
        <v>7.4837209415594446</v>
      </c>
      <c r="DV120">
        <v>8.7874826743225789</v>
      </c>
      <c r="DW120">
        <v>1140.7986847332052</v>
      </c>
      <c r="DX120">
        <v>21.445083690029382</v>
      </c>
      <c r="DY120">
        <v>9.6364806009320993</v>
      </c>
      <c r="DZ120">
        <v>17.071106978735219</v>
      </c>
      <c r="EA120">
        <v>7.6931569192421314</v>
      </c>
      <c r="EB120">
        <v>9.1867521062920332</v>
      </c>
      <c r="EC120">
        <v>1254.7672605859264</v>
      </c>
      <c r="ED120">
        <v>20.394863082805479</v>
      </c>
      <c r="EE120">
        <v>9.2343227274822119</v>
      </c>
      <c r="EG120">
        <v>124</v>
      </c>
      <c r="EH120">
        <v>12.608885517820566</v>
      </c>
      <c r="EI120">
        <v>5.4983619857848316</v>
      </c>
      <c r="EJ120">
        <v>6.5462800453587962</v>
      </c>
      <c r="EK120">
        <v>935.25940040318187</v>
      </c>
      <c r="EL120">
        <v>19.488236860909833</v>
      </c>
      <c r="EM120">
        <v>8.62414563766092</v>
      </c>
      <c r="EN120">
        <v>13.204827044811752</v>
      </c>
      <c r="EO120">
        <v>5.9371001899408515</v>
      </c>
      <c r="EP120">
        <v>6.935101637710714</v>
      </c>
      <c r="EQ120">
        <v>982.66957215425657</v>
      </c>
      <c r="ER120">
        <v>19.577477346506381</v>
      </c>
      <c r="ES120">
        <v>8.847873627172083</v>
      </c>
      <c r="ET120">
        <v>14.402380757988876</v>
      </c>
      <c r="EU120">
        <v>6.119041381722945</v>
      </c>
      <c r="EV120">
        <v>7.4437391116595935</v>
      </c>
      <c r="EW120">
        <v>1016.9043788282805</v>
      </c>
      <c r="EX120">
        <v>20.897456829979298</v>
      </c>
      <c r="EY120">
        <v>9.0951956706923927</v>
      </c>
      <c r="EZ120">
        <v>15.152831333726944</v>
      </c>
      <c r="FA120">
        <v>6.8408957910704533</v>
      </c>
      <c r="FB120">
        <v>8.1202017642727089</v>
      </c>
      <c r="FC120">
        <v>1127.9131955787593</v>
      </c>
      <c r="FD120">
        <v>20.242582713304877</v>
      </c>
      <c r="FE120">
        <v>9.1766452286253521</v>
      </c>
      <c r="FF120">
        <v>15.320870150818738</v>
      </c>
      <c r="FG120">
        <v>6.989356624385878</v>
      </c>
      <c r="FH120">
        <v>8.4935821549011354</v>
      </c>
      <c r="FI120">
        <v>1250.6056288907739</v>
      </c>
      <c r="FJ120">
        <v>19.06321953281612</v>
      </c>
      <c r="FK120">
        <v>8.7022841460627038</v>
      </c>
    </row>
    <row r="121" spans="2:167" x14ac:dyDescent="0.25">
      <c r="B121">
        <v>601.20625038839387</v>
      </c>
      <c r="C121">
        <v>1.6633226939240497</v>
      </c>
      <c r="D121">
        <v>645.69394725378049</v>
      </c>
      <c r="E121">
        <v>1.5487213474017045</v>
      </c>
      <c r="F121">
        <v>732.9125212748321</v>
      </c>
      <c r="G121">
        <v>1.3644193146824597</v>
      </c>
      <c r="H121">
        <v>821.81558446105635</v>
      </c>
      <c r="I121">
        <v>1.2168180050464683</v>
      </c>
      <c r="J121">
        <v>911.78290900060495</v>
      </c>
      <c r="K121">
        <v>1.0967522972064576</v>
      </c>
      <c r="L121">
        <v>690.73753805648187</v>
      </c>
      <c r="M121">
        <v>1.4477278921508818</v>
      </c>
      <c r="N121">
        <v>688.72549731865342</v>
      </c>
      <c r="O121">
        <v>1.4519572803579956</v>
      </c>
      <c r="Q121">
        <v>0.23927133619155122</v>
      </c>
      <c r="R121">
        <v>0.23985451364104607</v>
      </c>
      <c r="S121">
        <v>0.23959874113614213</v>
      </c>
      <c r="T121">
        <v>0.24058166037853998</v>
      </c>
      <c r="U121">
        <v>0.24093063169854922</v>
      </c>
      <c r="V121">
        <v>0.23974473263327892</v>
      </c>
      <c r="W121">
        <v>0.23962303086328826</v>
      </c>
      <c r="Y121">
        <v>2.1478538101915015</v>
      </c>
      <c r="Z121">
        <v>2.2065577053811301</v>
      </c>
      <c r="AA121">
        <v>2.234133780666002</v>
      </c>
      <c r="AB121">
        <v>2.3827331312248705</v>
      </c>
      <c r="AC121">
        <v>2.4483108740272961</v>
      </c>
      <c r="AD121">
        <v>2.2216074271870125</v>
      </c>
      <c r="AE121">
        <v>2.2171917690982887</v>
      </c>
      <c r="AG121">
        <v>0.86576771256102381</v>
      </c>
      <c r="AH121">
        <v>0.89970376840872512</v>
      </c>
      <c r="AI121">
        <v>0.90622832773697537</v>
      </c>
      <c r="AJ121">
        <v>0.97729234987096747</v>
      </c>
      <c r="AK121">
        <v>1.0106391662178578</v>
      </c>
      <c r="AL121">
        <v>0.90432236902957741</v>
      </c>
      <c r="AM121">
        <v>0.90023465911755041</v>
      </c>
      <c r="AO121">
        <v>125</v>
      </c>
      <c r="AP121">
        <v>16.931063736981372</v>
      </c>
      <c r="AQ121">
        <v>7.4361298436703311</v>
      </c>
      <c r="AR121">
        <v>7.7395305624900557</v>
      </c>
      <c r="AS121">
        <v>886.48320717489207</v>
      </c>
      <c r="AT121">
        <v>25.436167045363938</v>
      </c>
      <c r="AU121">
        <v>11.2845692450668</v>
      </c>
      <c r="AV121">
        <v>17.832022222466019</v>
      </c>
      <c r="AW121">
        <v>7.7507237321272155</v>
      </c>
      <c r="AX121">
        <v>8.1382071172396042</v>
      </c>
      <c r="AY121">
        <v>936.83421793257128</v>
      </c>
      <c r="AZ121">
        <v>25.47450339535213</v>
      </c>
      <c r="BA121">
        <v>11.216669430653537</v>
      </c>
      <c r="BB121">
        <v>19.179895760802655</v>
      </c>
      <c r="BC121">
        <v>8.14354885679594</v>
      </c>
      <c r="BD121">
        <v>8.7013340885286503</v>
      </c>
      <c r="BE121">
        <v>1011.6367474392048</v>
      </c>
      <c r="BF121">
        <v>25.728830457652862</v>
      </c>
      <c r="BG121">
        <v>11.143774489644661</v>
      </c>
      <c r="BH121">
        <v>20.427192307563793</v>
      </c>
      <c r="BI121">
        <v>8.6704738414716438</v>
      </c>
      <c r="BJ121">
        <v>9.3310730435690257</v>
      </c>
      <c r="BK121">
        <v>1085.9076964109602</v>
      </c>
      <c r="BL121">
        <v>25.882712887717798</v>
      </c>
      <c r="BM121">
        <v>11.216457287455368</v>
      </c>
      <c r="BN121">
        <v>20.9203131034675</v>
      </c>
      <c r="BO121">
        <v>8.8273349985247851</v>
      </c>
      <c r="BP121">
        <v>9.8742906991828843</v>
      </c>
      <c r="BQ121">
        <v>1195.0000323300458</v>
      </c>
      <c r="BR121">
        <v>24.635993145344237</v>
      </c>
      <c r="BS121">
        <v>10.64527495167334</v>
      </c>
      <c r="BU121">
        <v>125</v>
      </c>
      <c r="BV121">
        <v>16.196522227113306</v>
      </c>
      <c r="BW121">
        <v>6.5394101559195956</v>
      </c>
      <c r="BX121">
        <v>7.5000152703769531</v>
      </c>
      <c r="BY121">
        <v>886.17130569257267</v>
      </c>
      <c r="BZ121">
        <v>24.616226333004466</v>
      </c>
      <c r="CA121">
        <v>10.276637699395957</v>
      </c>
      <c r="CB121">
        <v>16.944108239524365</v>
      </c>
      <c r="CC121">
        <v>6.7861895069070446</v>
      </c>
      <c r="CD121">
        <v>7.8653783327379827</v>
      </c>
      <c r="CE121">
        <v>937.13741407960208</v>
      </c>
      <c r="CF121">
        <v>24.518786826188908</v>
      </c>
      <c r="CG121">
        <v>10.183805880834955</v>
      </c>
      <c r="CH121">
        <v>18.322976594219522</v>
      </c>
      <c r="CI121">
        <v>7.3476528660641893</v>
      </c>
      <c r="CJ121">
        <v>8.3988547185886713</v>
      </c>
      <c r="CK121">
        <v>1012.9070123290204</v>
      </c>
      <c r="CL121">
        <v>24.850564648707568</v>
      </c>
      <c r="CM121">
        <v>10.34404507090623</v>
      </c>
      <c r="CN121">
        <v>19.533824420756684</v>
      </c>
      <c r="CO121">
        <v>7.7330597069972287</v>
      </c>
      <c r="CP121">
        <v>9.0382984475836032</v>
      </c>
      <c r="CQ121">
        <v>1087.6517732890998</v>
      </c>
      <c r="CR121">
        <v>25.019836229079143</v>
      </c>
      <c r="CS121">
        <v>10.336601692322953</v>
      </c>
      <c r="CT121">
        <v>19.85488957733952</v>
      </c>
      <c r="CU121">
        <v>7.777151570217403</v>
      </c>
      <c r="CV121">
        <v>9.4212243552239254</v>
      </c>
      <c r="CW121">
        <v>1197.1697260204346</v>
      </c>
      <c r="CX121">
        <v>23.701392093636056</v>
      </c>
      <c r="CY121">
        <v>9.7487601210066614</v>
      </c>
      <c r="DA121">
        <v>125</v>
      </c>
      <c r="DB121">
        <v>13.437726216437587</v>
      </c>
      <c r="DC121">
        <v>5.985593972658438</v>
      </c>
      <c r="DD121">
        <v>7.1174054859616307</v>
      </c>
      <c r="DE121">
        <v>922.86596611870914</v>
      </c>
      <c r="DF121">
        <v>20.64806604604555</v>
      </c>
      <c r="DG121">
        <v>9.267917096253484</v>
      </c>
      <c r="DH121">
        <v>14.051310290053296</v>
      </c>
      <c r="DI121">
        <v>6.6054805446607601</v>
      </c>
      <c r="DJ121">
        <v>7.4990341612662892</v>
      </c>
      <c r="DK121">
        <v>969.71785883881114</v>
      </c>
      <c r="DL121">
        <v>20.711874438656846</v>
      </c>
      <c r="DM121">
        <v>9.6552996947170353</v>
      </c>
      <c r="DN121">
        <v>15.618851331698355</v>
      </c>
      <c r="DO121">
        <v>6.7737411206061697</v>
      </c>
      <c r="DP121">
        <v>8.0550784516489742</v>
      </c>
      <c r="DQ121">
        <v>1047.094042694788</v>
      </c>
      <c r="DR121">
        <v>21.456703041370687</v>
      </c>
      <c r="DS121">
        <v>9.4582183059913589</v>
      </c>
      <c r="DT121">
        <v>16.785478446374917</v>
      </c>
      <c r="DU121">
        <v>7.5149078636652842</v>
      </c>
      <c r="DV121">
        <v>8.7874826743225789</v>
      </c>
      <c r="DW121">
        <v>1141.876108842949</v>
      </c>
      <c r="DX121">
        <v>21.424849051591661</v>
      </c>
      <c r="DY121">
        <v>9.6547000429645617</v>
      </c>
      <c r="DZ121">
        <v>17.071106978735219</v>
      </c>
      <c r="EA121">
        <v>7.7272078740181449</v>
      </c>
      <c r="EB121">
        <v>9.1867521062920332</v>
      </c>
      <c r="EC121">
        <v>1255.8942865078395</v>
      </c>
      <c r="ED121">
        <v>20.376560953705024</v>
      </c>
      <c r="EE121">
        <v>9.2531488611344095</v>
      </c>
      <c r="EG121">
        <v>125</v>
      </c>
      <c r="EH121">
        <v>12.608885517820566</v>
      </c>
      <c r="EI121">
        <v>5.5053359074520873</v>
      </c>
      <c r="EJ121">
        <v>6.5462800453587962</v>
      </c>
      <c r="EK121">
        <v>936.2244886369806</v>
      </c>
      <c r="EL121">
        <v>19.468147802868501</v>
      </c>
      <c r="EM121">
        <v>8.6227045945878178</v>
      </c>
      <c r="EN121">
        <v>13.204827044811752</v>
      </c>
      <c r="EO121">
        <v>5.9503901595133879</v>
      </c>
      <c r="EP121">
        <v>6.935101637710714</v>
      </c>
      <c r="EQ121">
        <v>983.67830502554239</v>
      </c>
      <c r="ER121">
        <v>19.557401225242565</v>
      </c>
      <c r="ES121">
        <v>8.8523108792508616</v>
      </c>
      <c r="ET121">
        <v>14.402380757988876</v>
      </c>
      <c r="EU121">
        <v>6.1306070201399159</v>
      </c>
      <c r="EV121">
        <v>7.4437391116595935</v>
      </c>
      <c r="EW121">
        <v>1017.8775043225118</v>
      </c>
      <c r="EX121">
        <v>20.877478150895136</v>
      </c>
      <c r="EY121">
        <v>9.0978628596451596</v>
      </c>
      <c r="EZ121">
        <v>15.152831333726944</v>
      </c>
      <c r="FA121">
        <v>6.8689664941850204</v>
      </c>
      <c r="FB121">
        <v>8.1202017642727089</v>
      </c>
      <c r="FC121">
        <v>1129.030860826801</v>
      </c>
      <c r="FD121">
        <v>20.222543906559856</v>
      </c>
      <c r="FE121">
        <v>9.1924236154409975</v>
      </c>
      <c r="FF121">
        <v>15.320870150818738</v>
      </c>
      <c r="FG121">
        <v>7.0201274130022089</v>
      </c>
      <c r="FH121">
        <v>8.4935821549011354</v>
      </c>
      <c r="FI121">
        <v>1251.6738213354313</v>
      </c>
      <c r="FJ121">
        <v>19.046950767960055</v>
      </c>
      <c r="FK121">
        <v>8.7194412312986422</v>
      </c>
    </row>
    <row r="122" spans="2:167" x14ac:dyDescent="0.25">
      <c r="B122">
        <v>601.20625038839387</v>
      </c>
      <c r="C122">
        <v>1.6633226939240497</v>
      </c>
      <c r="D122">
        <v>645.69394725378049</v>
      </c>
      <c r="E122">
        <v>1.5487213474017045</v>
      </c>
      <c r="F122">
        <v>732.9125212748321</v>
      </c>
      <c r="G122">
        <v>1.3644193146824597</v>
      </c>
      <c r="H122">
        <v>821.81558446105635</v>
      </c>
      <c r="I122">
        <v>1.2168180050464683</v>
      </c>
      <c r="J122">
        <v>911.78290900060495</v>
      </c>
      <c r="K122">
        <v>1.0967522972064576</v>
      </c>
      <c r="L122">
        <v>690.73753805648187</v>
      </c>
      <c r="M122">
        <v>1.4477278921508818</v>
      </c>
      <c r="N122">
        <v>688.72549731865342</v>
      </c>
      <c r="O122">
        <v>1.4519572803579956</v>
      </c>
      <c r="Q122">
        <v>0.24114429161690346</v>
      </c>
      <c r="R122">
        <v>0.24172894853880608</v>
      </c>
      <c r="S122">
        <v>0.24146826939304186</v>
      </c>
      <c r="T122">
        <v>0.24245364473634479</v>
      </c>
      <c r="U122">
        <v>0.24280264200464274</v>
      </c>
      <c r="V122">
        <v>0.2416156302164241</v>
      </c>
      <c r="W122">
        <v>0.24149582886096907</v>
      </c>
      <c r="Y122">
        <v>2.1478538101915015</v>
      </c>
      <c r="Z122">
        <v>2.2065577053811301</v>
      </c>
      <c r="AA122">
        <v>2.234133780666002</v>
      </c>
      <c r="AB122">
        <v>2.3827331312248705</v>
      </c>
      <c r="AC122">
        <v>2.4483108740272961</v>
      </c>
      <c r="AD122">
        <v>2.2216074271870125</v>
      </c>
      <c r="AE122">
        <v>2.2171917690982887</v>
      </c>
      <c r="AG122">
        <v>0.86576771256102381</v>
      </c>
      <c r="AH122">
        <v>0.89970376840872512</v>
      </c>
      <c r="AI122">
        <v>0.90622832773697537</v>
      </c>
      <c r="AJ122">
        <v>0.97729234987096747</v>
      </c>
      <c r="AK122">
        <v>1.0107588388973452</v>
      </c>
      <c r="AL122">
        <v>0.90432236902957741</v>
      </c>
      <c r="AM122">
        <v>0.90023465911755041</v>
      </c>
      <c r="AO122">
        <v>126</v>
      </c>
      <c r="AP122">
        <v>16.931063736981372</v>
      </c>
      <c r="AQ122">
        <v>7.4361298436703311</v>
      </c>
      <c r="AR122">
        <v>7.7395305624900557</v>
      </c>
      <c r="AS122">
        <v>887.17704929500792</v>
      </c>
      <c r="AT122">
        <v>25.416273965302409</v>
      </c>
      <c r="AU122">
        <v>11.275743825771054</v>
      </c>
      <c r="AV122">
        <v>17.832022222466019</v>
      </c>
      <c r="AW122">
        <v>7.7510731453464325</v>
      </c>
      <c r="AX122">
        <v>8.1382071172396042</v>
      </c>
      <c r="AY122">
        <v>937.56854445879185</v>
      </c>
      <c r="AZ122">
        <v>25.454551143651642</v>
      </c>
      <c r="BA122">
        <v>11.208256942066781</v>
      </c>
      <c r="BB122">
        <v>19.179895760802655</v>
      </c>
      <c r="BC122">
        <v>8.14354885679594</v>
      </c>
      <c r="BD122">
        <v>8.7013340885286503</v>
      </c>
      <c r="BE122">
        <v>1012.4184700564792</v>
      </c>
      <c r="BF122">
        <v>25.708964355562049</v>
      </c>
      <c r="BG122">
        <v>11.135170003636148</v>
      </c>
      <c r="BH122">
        <v>20.427192307563793</v>
      </c>
      <c r="BI122">
        <v>8.6713172965250322</v>
      </c>
      <c r="BJ122">
        <v>9.3310730435690257</v>
      </c>
      <c r="BK122">
        <v>1086.7521548846373</v>
      </c>
      <c r="BL122">
        <v>25.862600780167291</v>
      </c>
      <c r="BM122">
        <v>11.208517687511756</v>
      </c>
      <c r="BN122">
        <v>20.9203131034675</v>
      </c>
      <c r="BO122">
        <v>8.8292539221506861</v>
      </c>
      <c r="BP122">
        <v>9.8742906991828843</v>
      </c>
      <c r="BQ122">
        <v>1195.8845644001233</v>
      </c>
      <c r="BR122">
        <v>24.61777121434524</v>
      </c>
      <c r="BS122">
        <v>10.639005815264335</v>
      </c>
      <c r="BU122">
        <v>126</v>
      </c>
      <c r="BV122">
        <v>16.196522227113306</v>
      </c>
      <c r="BW122">
        <v>6.5448502718024688</v>
      </c>
      <c r="BX122">
        <v>7.5000152703769531</v>
      </c>
      <c r="BY122">
        <v>886.89387990794899</v>
      </c>
      <c r="BZ122">
        <v>24.596170889133386</v>
      </c>
      <c r="CA122">
        <v>10.274398967587727</v>
      </c>
      <c r="CB122">
        <v>16.944108239524365</v>
      </c>
      <c r="CC122">
        <v>6.7960958640176621</v>
      </c>
      <c r="CD122">
        <v>7.8653783327379827</v>
      </c>
      <c r="CE122">
        <v>937.89852079680452</v>
      </c>
      <c r="CF122">
        <v>24.498889776628356</v>
      </c>
      <c r="CG122">
        <v>10.186103990918545</v>
      </c>
      <c r="CH122">
        <v>18.322976594219522</v>
      </c>
      <c r="CI122">
        <v>7.352120773106197</v>
      </c>
      <c r="CJ122">
        <v>8.3988547185886713</v>
      </c>
      <c r="CK122">
        <v>1013.7205287575979</v>
      </c>
      <c r="CL122">
        <v>24.830621930741774</v>
      </c>
      <c r="CM122">
        <v>10.340151351237793</v>
      </c>
      <c r="CN122">
        <v>19.533824420756684</v>
      </c>
      <c r="CO122">
        <v>7.7412854343171054</v>
      </c>
      <c r="CP122">
        <v>9.0382984475836032</v>
      </c>
      <c r="CQ122">
        <v>1088.5314734241431</v>
      </c>
      <c r="CR122">
        <v>24.999616369711877</v>
      </c>
      <c r="CS122">
        <v>10.33580485492695</v>
      </c>
      <c r="CT122">
        <v>19.85488957733952</v>
      </c>
      <c r="CU122">
        <v>7.7874557593855203</v>
      </c>
      <c r="CV122">
        <v>9.4212243552239254</v>
      </c>
      <c r="CW122">
        <v>1198.0869806334154</v>
      </c>
      <c r="CX122">
        <v>23.683246323267646</v>
      </c>
      <c r="CY122">
        <v>9.7498970117318766</v>
      </c>
      <c r="DA122">
        <v>126</v>
      </c>
      <c r="DB122">
        <v>13.437726216437587</v>
      </c>
      <c r="DC122">
        <v>5.9933949003319436</v>
      </c>
      <c r="DD122">
        <v>7.1174054859616307</v>
      </c>
      <c r="DE122">
        <v>923.76167304044441</v>
      </c>
      <c r="DF122">
        <v>20.628045064208301</v>
      </c>
      <c r="DG122">
        <v>9.267375387461831</v>
      </c>
      <c r="DH122">
        <v>14.051310290053296</v>
      </c>
      <c r="DI122">
        <v>6.6193740741151066</v>
      </c>
      <c r="DJ122">
        <v>7.4990341612662892</v>
      </c>
      <c r="DK122">
        <v>970.6619473615325</v>
      </c>
      <c r="DL122">
        <v>20.691729584936418</v>
      </c>
      <c r="DM122">
        <v>9.6602221827594654</v>
      </c>
      <c r="DN122">
        <v>15.618851331698355</v>
      </c>
      <c r="DO122">
        <v>6.7858341938771263</v>
      </c>
      <c r="DP122">
        <v>8.0550784516489742</v>
      </c>
      <c r="DQ122">
        <v>1048.0774762487695</v>
      </c>
      <c r="DR122">
        <v>21.436569757136564</v>
      </c>
      <c r="DS122">
        <v>9.4608817961351903</v>
      </c>
      <c r="DT122">
        <v>16.785478446374917</v>
      </c>
      <c r="DU122">
        <v>7.5456255810428967</v>
      </c>
      <c r="DV122">
        <v>8.7874826743225789</v>
      </c>
      <c r="DW122">
        <v>1142.9555581550223</v>
      </c>
      <c r="DX122">
        <v>21.404614635296987</v>
      </c>
      <c r="DY122">
        <v>9.672457477112502</v>
      </c>
      <c r="DZ122">
        <v>17.071106978735219</v>
      </c>
      <c r="EA122">
        <v>7.7608121054469841</v>
      </c>
      <c r="EB122">
        <v>9.1867521062920332</v>
      </c>
      <c r="EC122">
        <v>1257.0234308671461</v>
      </c>
      <c r="ED122">
        <v>20.35825733398087</v>
      </c>
      <c r="EE122">
        <v>9.2715702286426449</v>
      </c>
      <c r="EG122">
        <v>126</v>
      </c>
      <c r="EH122">
        <v>12.608885517820566</v>
      </c>
      <c r="EI122">
        <v>5.5117148556126914</v>
      </c>
      <c r="EJ122">
        <v>6.5462800453587962</v>
      </c>
      <c r="EK122">
        <v>937.19156623384424</v>
      </c>
      <c r="EL122">
        <v>19.448058836779911</v>
      </c>
      <c r="EM122">
        <v>8.6206133718882043</v>
      </c>
      <c r="EN122">
        <v>13.204827044811752</v>
      </c>
      <c r="EO122">
        <v>5.9631292191458414</v>
      </c>
      <c r="EP122">
        <v>6.935101637710714</v>
      </c>
      <c r="EQ122">
        <v>984.68910705980272</v>
      </c>
      <c r="ER122">
        <v>19.537325182152834</v>
      </c>
      <c r="ES122">
        <v>8.8561609531072918</v>
      </c>
      <c r="ET122">
        <v>14.402380757988876</v>
      </c>
      <c r="EU122">
        <v>6.1415534910639407</v>
      </c>
      <c r="EV122">
        <v>7.4437391116595935</v>
      </c>
      <c r="EW122">
        <v>1018.8524950593228</v>
      </c>
      <c r="EX122">
        <v>20.857499451423127</v>
      </c>
      <c r="EY122">
        <v>9.0999005823981207</v>
      </c>
      <c r="EZ122">
        <v>15.152831333726944</v>
      </c>
      <c r="FA122">
        <v>6.8965983727675235</v>
      </c>
      <c r="FB122">
        <v>8.1202017642727089</v>
      </c>
      <c r="FC122">
        <v>1130.1507411415948</v>
      </c>
      <c r="FD122">
        <v>20.202505138268528</v>
      </c>
      <c r="FE122">
        <v>9.2077644577721802</v>
      </c>
      <c r="FF122">
        <v>15.320870150818738</v>
      </c>
      <c r="FG122">
        <v>7.0504885991618105</v>
      </c>
      <c r="FH122">
        <v>8.4935821549011354</v>
      </c>
      <c r="FI122">
        <v>1252.7440390270888</v>
      </c>
      <c r="FJ122">
        <v>19.03067898134686</v>
      </c>
      <c r="FK122">
        <v>8.7362279692413995</v>
      </c>
    </row>
    <row r="123" spans="2:167" x14ac:dyDescent="0.25">
      <c r="B123">
        <v>601.20625038839387</v>
      </c>
      <c r="C123">
        <v>1.6633226939240497</v>
      </c>
      <c r="D123">
        <v>645.69394725378049</v>
      </c>
      <c r="E123">
        <v>1.5487213474017045</v>
      </c>
      <c r="F123">
        <v>732.9125212748321</v>
      </c>
      <c r="G123">
        <v>1.3644193146824597</v>
      </c>
      <c r="H123">
        <v>821.81558446105635</v>
      </c>
      <c r="I123">
        <v>1.2168180050464683</v>
      </c>
      <c r="J123">
        <v>911.78290900060495</v>
      </c>
      <c r="K123">
        <v>1.0967522972064576</v>
      </c>
      <c r="L123">
        <v>690.73753805648187</v>
      </c>
      <c r="M123">
        <v>1.4477278921508818</v>
      </c>
      <c r="N123">
        <v>688.72549731865342</v>
      </c>
      <c r="O123">
        <v>1.4519572803579956</v>
      </c>
      <c r="Q123">
        <v>0.24301724704225566</v>
      </c>
      <c r="R123">
        <v>0.2436033834365661</v>
      </c>
      <c r="S123">
        <v>0.24333779764994162</v>
      </c>
      <c r="T123">
        <v>0.24432562909414962</v>
      </c>
      <c r="U123">
        <v>0.24467465231073623</v>
      </c>
      <c r="V123">
        <v>0.24348652779956925</v>
      </c>
      <c r="W123">
        <v>0.24336862685864991</v>
      </c>
      <c r="Y123">
        <v>2.1478538101915015</v>
      </c>
      <c r="Z123">
        <v>2.2065577053811301</v>
      </c>
      <c r="AA123">
        <v>2.234133780666002</v>
      </c>
      <c r="AB123">
        <v>2.3827331312248705</v>
      </c>
      <c r="AC123">
        <v>2.4483108740272961</v>
      </c>
      <c r="AD123">
        <v>2.2216074271870125</v>
      </c>
      <c r="AE123">
        <v>2.2171917690982887</v>
      </c>
      <c r="AG123">
        <v>0.86576771256102381</v>
      </c>
      <c r="AH123">
        <v>0.89970376840872512</v>
      </c>
      <c r="AI123">
        <v>0.90622832773697537</v>
      </c>
      <c r="AJ123">
        <v>0.97729234987096747</v>
      </c>
      <c r="AK123">
        <v>1.0107642139356952</v>
      </c>
      <c r="AL123">
        <v>0.90432236902957741</v>
      </c>
      <c r="AM123">
        <v>0.90023465911755041</v>
      </c>
      <c r="AO123">
        <v>127</v>
      </c>
      <c r="AP123">
        <v>16.931063736981372</v>
      </c>
      <c r="AQ123">
        <v>7.4361298436703311</v>
      </c>
      <c r="AR123">
        <v>7.7395305624900557</v>
      </c>
      <c r="AS123">
        <v>887.87198131400464</v>
      </c>
      <c r="AT123">
        <v>25.396380801700221</v>
      </c>
      <c r="AU123">
        <v>11.266918369413103</v>
      </c>
      <c r="AV123">
        <v>17.832022222466019</v>
      </c>
      <c r="AW123">
        <v>7.7510731453464325</v>
      </c>
      <c r="AX123">
        <v>8.1382071172396042</v>
      </c>
      <c r="AY123">
        <v>938.30402445390155</v>
      </c>
      <c r="AZ123">
        <v>25.434598854561173</v>
      </c>
      <c r="BA123">
        <v>11.199471464709655</v>
      </c>
      <c r="BB123">
        <v>19.179895760802655</v>
      </c>
      <c r="BC123">
        <v>8.14354885679594</v>
      </c>
      <c r="BD123">
        <v>8.7013340885286503</v>
      </c>
      <c r="BE123">
        <v>1013.2014058023418</v>
      </c>
      <c r="BF123">
        <v>25.689098150217479</v>
      </c>
      <c r="BG123">
        <v>11.126565472905954</v>
      </c>
      <c r="BH123">
        <v>20.427192307563793</v>
      </c>
      <c r="BI123">
        <v>8.6713172965250322</v>
      </c>
      <c r="BJ123">
        <v>9.3310730435690257</v>
      </c>
      <c r="BK123">
        <v>1087.5979240976517</v>
      </c>
      <c r="BL123">
        <v>25.842488759885075</v>
      </c>
      <c r="BM123">
        <v>11.199801397260018</v>
      </c>
      <c r="BN123">
        <v>20.9203131034675</v>
      </c>
      <c r="BO123">
        <v>8.8300012319782741</v>
      </c>
      <c r="BP123">
        <v>9.8742906991828843</v>
      </c>
      <c r="BQ123">
        <v>1196.7704694103932</v>
      </c>
      <c r="BR123">
        <v>24.599547998266711</v>
      </c>
      <c r="BS123">
        <v>10.63175476842599</v>
      </c>
      <c r="BU123">
        <v>127</v>
      </c>
      <c r="BV123">
        <v>16.196522227113306</v>
      </c>
      <c r="BW123">
        <v>6.5495552875047478</v>
      </c>
      <c r="BX123">
        <v>7.5000152703769531</v>
      </c>
      <c r="BY123">
        <v>887.61763180961464</v>
      </c>
      <c r="BZ123">
        <v>24.576115490483396</v>
      </c>
      <c r="CA123">
        <v>10.271322079532432</v>
      </c>
      <c r="CB123">
        <v>16.944108239524365</v>
      </c>
      <c r="CC123">
        <v>6.8053060904401272</v>
      </c>
      <c r="CD123">
        <v>7.8653783327379827</v>
      </c>
      <c r="CE123">
        <v>938.66086800242533</v>
      </c>
      <c r="CF123">
        <v>24.478992643596943</v>
      </c>
      <c r="CG123">
        <v>10.187643288611758</v>
      </c>
      <c r="CH123">
        <v>18.322976594219522</v>
      </c>
      <c r="CI123">
        <v>7.3556976143652912</v>
      </c>
      <c r="CJ123">
        <v>8.3988547185886713</v>
      </c>
      <c r="CK123">
        <v>1014.5353548673731</v>
      </c>
      <c r="CL123">
        <v>24.810679166821267</v>
      </c>
      <c r="CM123">
        <v>10.335372233371018</v>
      </c>
      <c r="CN123">
        <v>19.533824420756684</v>
      </c>
      <c r="CO123">
        <v>7.748618430133507</v>
      </c>
      <c r="CP123">
        <v>9.0382984475836032</v>
      </c>
      <c r="CQ123">
        <v>1089.4125899526089</v>
      </c>
      <c r="CR123">
        <v>24.979396688581133</v>
      </c>
      <c r="CS123">
        <v>10.334176406079717</v>
      </c>
      <c r="CT123">
        <v>19.85488957733952</v>
      </c>
      <c r="CU123">
        <v>7.7969041660082157</v>
      </c>
      <c r="CV123">
        <v>9.4212243552239254</v>
      </c>
      <c r="CW123">
        <v>1199.0057121057814</v>
      </c>
      <c r="CX123">
        <v>23.665099167215516</v>
      </c>
      <c r="CY123">
        <v>9.750306408768715</v>
      </c>
      <c r="DA123">
        <v>127</v>
      </c>
      <c r="DB123">
        <v>13.437726216437587</v>
      </c>
      <c r="DC123">
        <v>6.0005679926756663</v>
      </c>
      <c r="DD123">
        <v>7.1174054859616307</v>
      </c>
      <c r="DE123">
        <v>924.65911943210654</v>
      </c>
      <c r="DF123">
        <v>20.608024102730855</v>
      </c>
      <c r="DG123">
        <v>9.2661383042666383</v>
      </c>
      <c r="DH123">
        <v>14.051310290053296</v>
      </c>
      <c r="DI123">
        <v>6.6326505744349662</v>
      </c>
      <c r="DJ123">
        <v>7.4990341612662892</v>
      </c>
      <c r="DK123">
        <v>971.60786931163261</v>
      </c>
      <c r="DL123">
        <v>20.671584872426223</v>
      </c>
      <c r="DM123">
        <v>9.664481806672633</v>
      </c>
      <c r="DN123">
        <v>15.618851331698355</v>
      </c>
      <c r="DO123">
        <v>6.7972431070960075</v>
      </c>
      <c r="DP123">
        <v>8.0550784516489742</v>
      </c>
      <c r="DQ123">
        <v>1049.0627526871283</v>
      </c>
      <c r="DR123">
        <v>21.416436598231776</v>
      </c>
      <c r="DS123">
        <v>9.4628715048477581</v>
      </c>
      <c r="DT123">
        <v>16.785478446374917</v>
      </c>
      <c r="DU123">
        <v>7.5758740936922804</v>
      </c>
      <c r="DV123">
        <v>8.7874826743225789</v>
      </c>
      <c r="DW123">
        <v>1144.0370383848663</v>
      </c>
      <c r="DX123">
        <v>21.384380441141715</v>
      </c>
      <c r="DY123">
        <v>9.6897540684377397</v>
      </c>
      <c r="DZ123">
        <v>17.071106978735219</v>
      </c>
      <c r="EA123">
        <v>7.7939696135286525</v>
      </c>
      <c r="EB123">
        <v>9.1867521062920332</v>
      </c>
      <c r="EC123">
        <v>1258.1546996424108</v>
      </c>
      <c r="ED123">
        <v>20.339952223450915</v>
      </c>
      <c r="EE123">
        <v>9.2895877825974758</v>
      </c>
      <c r="EG123">
        <v>127</v>
      </c>
      <c r="EH123">
        <v>12.608885517820566</v>
      </c>
      <c r="EI123">
        <v>5.517498830266649</v>
      </c>
      <c r="EJ123">
        <v>6.5462800453587962</v>
      </c>
      <c r="EK123">
        <v>938.16063935121269</v>
      </c>
      <c r="EL123">
        <v>19.427969962643434</v>
      </c>
      <c r="EM123">
        <v>8.617873936963985</v>
      </c>
      <c r="EN123">
        <v>13.204827044811752</v>
      </c>
      <c r="EO123">
        <v>5.9753173688382066</v>
      </c>
      <c r="EP123">
        <v>6.935101637710714</v>
      </c>
      <c r="EQ123">
        <v>985.70198463012889</v>
      </c>
      <c r="ER123">
        <v>19.517249217236728</v>
      </c>
      <c r="ES123">
        <v>8.85942557360511</v>
      </c>
      <c r="ET123">
        <v>14.402380757988876</v>
      </c>
      <c r="EU123">
        <v>6.1518807944950229</v>
      </c>
      <c r="EV123">
        <v>7.4437391116595935</v>
      </c>
      <c r="EW123">
        <v>1019.8293564066761</v>
      </c>
      <c r="EX123">
        <v>20.837520731563238</v>
      </c>
      <c r="EY123">
        <v>9.101310585236682</v>
      </c>
      <c r="EZ123">
        <v>15.152831333726944</v>
      </c>
      <c r="FA123">
        <v>6.9237914268179654</v>
      </c>
      <c r="FB123">
        <v>8.1202017642727089</v>
      </c>
      <c r="FC123">
        <v>1131.2728431146331</v>
      </c>
      <c r="FD123">
        <v>20.18246640843077</v>
      </c>
      <c r="FE123">
        <v>9.2226689111829803</v>
      </c>
      <c r="FF123">
        <v>15.320870150818738</v>
      </c>
      <c r="FG123">
        <v>7.0804401828646801</v>
      </c>
      <c r="FH123">
        <v>8.4935821549011354</v>
      </c>
      <c r="FI123">
        <v>1253.8162877308839</v>
      </c>
      <c r="FJ123">
        <v>19.014404172134565</v>
      </c>
      <c r="FK123">
        <v>8.7526451866505344</v>
      </c>
    </row>
    <row r="124" spans="2:167" x14ac:dyDescent="0.25">
      <c r="B124">
        <v>601.20625038839387</v>
      </c>
      <c r="C124">
        <v>1.6633226939240497</v>
      </c>
      <c r="D124">
        <v>645.69394725378049</v>
      </c>
      <c r="E124">
        <v>1.5487213474017045</v>
      </c>
      <c r="F124">
        <v>732.9125212748321</v>
      </c>
      <c r="G124">
        <v>1.3644193146824597</v>
      </c>
      <c r="H124">
        <v>821.81558446105635</v>
      </c>
      <c r="I124">
        <v>1.2168180050464683</v>
      </c>
      <c r="J124">
        <v>911.78290900060495</v>
      </c>
      <c r="K124">
        <v>1.0967522972064576</v>
      </c>
      <c r="L124">
        <v>690.73753805648187</v>
      </c>
      <c r="M124">
        <v>1.4477278921508818</v>
      </c>
      <c r="N124">
        <v>688.72549731865342</v>
      </c>
      <c r="O124">
        <v>1.4519572803579956</v>
      </c>
      <c r="Q124">
        <v>0.24489020246760787</v>
      </c>
      <c r="R124">
        <v>0.24547781833432611</v>
      </c>
      <c r="S124">
        <v>0.24520732590684138</v>
      </c>
      <c r="T124">
        <v>0.24619761345195443</v>
      </c>
      <c r="U124">
        <v>0.24654666261682975</v>
      </c>
      <c r="V124">
        <v>0.24535742538271443</v>
      </c>
      <c r="W124">
        <v>0.24524142485633071</v>
      </c>
      <c r="Y124">
        <v>2.1478538101915015</v>
      </c>
      <c r="Z124">
        <v>2.2065577053811301</v>
      </c>
      <c r="AA124">
        <v>2.234133780666002</v>
      </c>
      <c r="AB124">
        <v>2.3827331312248705</v>
      </c>
      <c r="AC124">
        <v>2.4483108740272961</v>
      </c>
      <c r="AD124">
        <v>2.2216074271870125</v>
      </c>
      <c r="AE124">
        <v>2.2171917690982887</v>
      </c>
      <c r="AG124">
        <v>0.86576771256102381</v>
      </c>
      <c r="AH124">
        <v>0.89970376840872512</v>
      </c>
      <c r="AI124">
        <v>0.90622832773697537</v>
      </c>
      <c r="AJ124">
        <v>0.97729234987096747</v>
      </c>
      <c r="AK124">
        <v>1.0107642139356952</v>
      </c>
      <c r="AL124">
        <v>0.90432236902957741</v>
      </c>
      <c r="AM124">
        <v>0.90023465911755041</v>
      </c>
      <c r="AO124">
        <v>128</v>
      </c>
      <c r="AP124">
        <v>16.931063736981372</v>
      </c>
      <c r="AQ124">
        <v>7.4361298436703311</v>
      </c>
      <c r="AR124">
        <v>7.7395305624900557</v>
      </c>
      <c r="AS124">
        <v>888.56800580194795</v>
      </c>
      <c r="AT124">
        <v>25.376487554556842</v>
      </c>
      <c r="AU124">
        <v>11.258092875992718</v>
      </c>
      <c r="AV124">
        <v>17.832022222466019</v>
      </c>
      <c r="AW124">
        <v>7.7510731453464325</v>
      </c>
      <c r="AX124">
        <v>8.1382071172396042</v>
      </c>
      <c r="AY124">
        <v>939.04066063781363</v>
      </c>
      <c r="AZ124">
        <v>25.414646528080624</v>
      </c>
      <c r="BA124">
        <v>11.190685970888767</v>
      </c>
      <c r="BB124">
        <v>19.179895760802655</v>
      </c>
      <c r="BC124">
        <v>8.14354885679594</v>
      </c>
      <c r="BD124">
        <v>8.7013340885286503</v>
      </c>
      <c r="BE124">
        <v>1013.9855575029045</v>
      </c>
      <c r="BF124">
        <v>25.669231841618345</v>
      </c>
      <c r="BG124">
        <v>11.117960897453727</v>
      </c>
      <c r="BH124">
        <v>20.427192307563793</v>
      </c>
      <c r="BI124">
        <v>8.6713172965250322</v>
      </c>
      <c r="BJ124">
        <v>9.3310730435690257</v>
      </c>
      <c r="BK124">
        <v>1088.4450071041003</v>
      </c>
      <c r="BL124">
        <v>25.822376826870581</v>
      </c>
      <c r="BM124">
        <v>11.191085144828982</v>
      </c>
      <c r="BN124">
        <v>20.9203131034675</v>
      </c>
      <c r="BO124">
        <v>8.8300012319782741</v>
      </c>
      <c r="BP124">
        <v>9.8742906991828843</v>
      </c>
      <c r="BQ124">
        <v>1197.6577505598839</v>
      </c>
      <c r="BR124">
        <v>24.581323496972708</v>
      </c>
      <c r="BS124">
        <v>10.62387826481916</v>
      </c>
      <c r="BU124">
        <v>128</v>
      </c>
      <c r="BV124">
        <v>16.196522227113306</v>
      </c>
      <c r="BW124">
        <v>6.5535252030264353</v>
      </c>
      <c r="BX124">
        <v>7.5000152703769531</v>
      </c>
      <c r="BY124">
        <v>888.34256427909236</v>
      </c>
      <c r="BZ124">
        <v>24.556060137054345</v>
      </c>
      <c r="CA124">
        <v>10.26740906275489</v>
      </c>
      <c r="CB124">
        <v>16.944108239524365</v>
      </c>
      <c r="CC124">
        <v>6.8138201861744374</v>
      </c>
      <c r="CD124">
        <v>7.8653783327379827</v>
      </c>
      <c r="CE124">
        <v>939.42445873164934</v>
      </c>
      <c r="CF124">
        <v>24.459095427094159</v>
      </c>
      <c r="CG124">
        <v>10.188425582238091</v>
      </c>
      <c r="CH124">
        <v>18.322976594219522</v>
      </c>
      <c r="CI124">
        <v>7.3583833898414772</v>
      </c>
      <c r="CJ124">
        <v>8.3988547185886713</v>
      </c>
      <c r="CK124">
        <v>1015.3514938235804</v>
      </c>
      <c r="CL124">
        <v>24.790736356945889</v>
      </c>
      <c r="CM124">
        <v>10.329709835211027</v>
      </c>
      <c r="CN124">
        <v>19.533824420756684</v>
      </c>
      <c r="CO124">
        <v>7.7550586944464373</v>
      </c>
      <c r="CP124">
        <v>9.0382984475836032</v>
      </c>
      <c r="CQ124">
        <v>1090.2951262980278</v>
      </c>
      <c r="CR124">
        <v>24.959177185684556</v>
      </c>
      <c r="CS124">
        <v>10.331718335873987</v>
      </c>
      <c r="CT124">
        <v>19.85488957733952</v>
      </c>
      <c r="CU124">
        <v>7.8054967900854892</v>
      </c>
      <c r="CV124">
        <v>9.4212243552239254</v>
      </c>
      <c r="CW124">
        <v>1199.9259240072138</v>
      </c>
      <c r="CX124">
        <v>23.646950625320923</v>
      </c>
      <c r="CY124">
        <v>9.7499899526316405</v>
      </c>
      <c r="DA124">
        <v>128</v>
      </c>
      <c r="DB124">
        <v>13.437726216437587</v>
      </c>
      <c r="DC124">
        <v>6.0071132496896071</v>
      </c>
      <c r="DD124">
        <v>7.1174054859616307</v>
      </c>
      <c r="DE124">
        <v>925.55831036571715</v>
      </c>
      <c r="DF124">
        <v>20.58800316161318</v>
      </c>
      <c r="DG124">
        <v>9.2642078256367899</v>
      </c>
      <c r="DH124">
        <v>14.051310290053296</v>
      </c>
      <c r="DI124">
        <v>6.645310045620346</v>
      </c>
      <c r="DJ124">
        <v>7.4990341612662892</v>
      </c>
      <c r="DK124">
        <v>972.55563003509815</v>
      </c>
      <c r="DL124">
        <v>20.651440301124772</v>
      </c>
      <c r="DM124">
        <v>9.6680804233566384</v>
      </c>
      <c r="DN124">
        <v>15.618851331698355</v>
      </c>
      <c r="DO124">
        <v>6.8079678602628171</v>
      </c>
      <c r="DP124">
        <v>8.0550784516489742</v>
      </c>
      <c r="DQ124">
        <v>1050.0498771948735</v>
      </c>
      <c r="DR124">
        <v>21.396303564655163</v>
      </c>
      <c r="DS124">
        <v>9.464189271575588</v>
      </c>
      <c r="DT124">
        <v>16.785478446374917</v>
      </c>
      <c r="DU124">
        <v>7.6056534016134343</v>
      </c>
      <c r="DV124">
        <v>8.7874826743225789</v>
      </c>
      <c r="DW124">
        <v>1145.1205552694487</v>
      </c>
      <c r="DX124">
        <v>21.364146469122186</v>
      </c>
      <c r="DY124">
        <v>9.7065909819765199</v>
      </c>
      <c r="DZ124">
        <v>17.071106978735219</v>
      </c>
      <c r="EA124">
        <v>7.8266803982631465</v>
      </c>
      <c r="EB124">
        <v>9.1867521062920332</v>
      </c>
      <c r="EC124">
        <v>1259.2880988347174</v>
      </c>
      <c r="ED124">
        <v>20.321645621933005</v>
      </c>
      <c r="EE124">
        <v>9.3072024757446297</v>
      </c>
      <c r="EG124">
        <v>128</v>
      </c>
      <c r="EH124">
        <v>12.608885517820566</v>
      </c>
      <c r="EI124">
        <v>5.5226878314139558</v>
      </c>
      <c r="EJ124">
        <v>6.5462800453587962</v>
      </c>
      <c r="EK124">
        <v>939.13171417196327</v>
      </c>
      <c r="EL124">
        <v>19.407881180458439</v>
      </c>
      <c r="EM124">
        <v>8.6144882571990493</v>
      </c>
      <c r="EN124">
        <v>13.204827044811752</v>
      </c>
      <c r="EO124">
        <v>5.9869546085904908</v>
      </c>
      <c r="EP124">
        <v>6.935101637710714</v>
      </c>
      <c r="EQ124">
        <v>986.71694413581122</v>
      </c>
      <c r="ER124">
        <v>19.497173330493794</v>
      </c>
      <c r="ES124">
        <v>8.8621064655946427</v>
      </c>
      <c r="ET124">
        <v>14.402380757988876</v>
      </c>
      <c r="EU124">
        <v>6.161588930433159</v>
      </c>
      <c r="EV124">
        <v>7.4437391116595935</v>
      </c>
      <c r="EW124">
        <v>1020.8080937531518</v>
      </c>
      <c r="EX124">
        <v>20.817541991315444</v>
      </c>
      <c r="EY124">
        <v>9.1020946144498005</v>
      </c>
      <c r="EZ124">
        <v>15.152831333726944</v>
      </c>
      <c r="FA124">
        <v>6.9505456563363426</v>
      </c>
      <c r="FB124">
        <v>8.1202017642727089</v>
      </c>
      <c r="FC124">
        <v>1132.3971733635865</v>
      </c>
      <c r="FD124">
        <v>20.162427717046469</v>
      </c>
      <c r="FE124">
        <v>9.2371381312330278</v>
      </c>
      <c r="FF124">
        <v>15.320870150818738</v>
      </c>
      <c r="FG124">
        <v>7.1099821641108232</v>
      </c>
      <c r="FH124">
        <v>8.4935821549011354</v>
      </c>
      <c r="FI124">
        <v>1254.8905732338565</v>
      </c>
      <c r="FJ124">
        <v>18.99812633948088</v>
      </c>
      <c r="FK124">
        <v>8.768693710592796</v>
      </c>
    </row>
    <row r="125" spans="2:167" x14ac:dyDescent="0.25">
      <c r="B125">
        <v>601.20625038839387</v>
      </c>
      <c r="C125">
        <v>1.6633226939240497</v>
      </c>
      <c r="D125">
        <v>645.69394725378049</v>
      </c>
      <c r="E125">
        <v>1.5487213474017045</v>
      </c>
      <c r="F125">
        <v>732.9125212748321</v>
      </c>
      <c r="G125">
        <v>1.3644193146824597</v>
      </c>
      <c r="H125">
        <v>821.81558446105635</v>
      </c>
      <c r="I125">
        <v>1.2168180050464683</v>
      </c>
      <c r="J125">
        <v>911.78290900060495</v>
      </c>
      <c r="K125">
        <v>1.0967522972064576</v>
      </c>
      <c r="L125">
        <v>690.73753805648187</v>
      </c>
      <c r="M125">
        <v>1.4477278921508818</v>
      </c>
      <c r="N125">
        <v>688.72549731865342</v>
      </c>
      <c r="O125">
        <v>1.4519572803579956</v>
      </c>
      <c r="Q125">
        <v>0.24676315789296008</v>
      </c>
      <c r="R125">
        <v>0.24735225323208612</v>
      </c>
      <c r="S125">
        <v>0.24707685416374114</v>
      </c>
      <c r="T125">
        <v>0.24806959780975923</v>
      </c>
      <c r="U125">
        <v>0.24841867292292327</v>
      </c>
      <c r="V125">
        <v>0.24722832296585961</v>
      </c>
      <c r="W125">
        <v>0.24711422285401152</v>
      </c>
      <c r="Y125">
        <v>2.1478538101915015</v>
      </c>
      <c r="Z125">
        <v>2.2065577053811301</v>
      </c>
      <c r="AA125">
        <v>2.234133780666002</v>
      </c>
      <c r="AB125">
        <v>2.3827331312248705</v>
      </c>
      <c r="AC125">
        <v>2.4483108740272961</v>
      </c>
      <c r="AD125">
        <v>2.2216074271870125</v>
      </c>
      <c r="AE125">
        <v>2.2171917690982887</v>
      </c>
      <c r="AG125">
        <v>0.86576771256102381</v>
      </c>
      <c r="AH125">
        <v>0.89970376840872512</v>
      </c>
      <c r="AI125">
        <v>0.90622832773697537</v>
      </c>
      <c r="AJ125">
        <v>0.97729234987096747</v>
      </c>
      <c r="AK125">
        <v>1.0107642139356952</v>
      </c>
      <c r="AL125">
        <v>0.90432236902957741</v>
      </c>
      <c r="AM125">
        <v>0.90023465911755041</v>
      </c>
      <c r="AO125">
        <v>129</v>
      </c>
      <c r="AP125">
        <v>16.931063736981372</v>
      </c>
      <c r="AQ125">
        <v>7.4361298436703311</v>
      </c>
      <c r="AR125">
        <v>7.7395305624900557</v>
      </c>
      <c r="AS125">
        <v>889.26512533699065</v>
      </c>
      <c r="AT125">
        <v>25.356594223871745</v>
      </c>
      <c r="AU125">
        <v>11.249267345509663</v>
      </c>
      <c r="AV125">
        <v>17.832022222466019</v>
      </c>
      <c r="AW125">
        <v>7.7510731453464325</v>
      </c>
      <c r="AX125">
        <v>8.1382071172396042</v>
      </c>
      <c r="AY125">
        <v>939.77845573899947</v>
      </c>
      <c r="AZ125">
        <v>25.394694164209881</v>
      </c>
      <c r="BA125">
        <v>11.181900460604071</v>
      </c>
      <c r="BB125">
        <v>19.179895760802655</v>
      </c>
      <c r="BC125">
        <v>8.14354885679594</v>
      </c>
      <c r="BD125">
        <v>8.7013340885286503</v>
      </c>
      <c r="BE125">
        <v>1014.7709279930644</v>
      </c>
      <c r="BF125">
        <v>25.649365429763851</v>
      </c>
      <c r="BG125">
        <v>11.109356277279122</v>
      </c>
      <c r="BH125">
        <v>20.427192307563793</v>
      </c>
      <c r="BI125">
        <v>8.6713172965250322</v>
      </c>
      <c r="BJ125">
        <v>9.3310730435690257</v>
      </c>
      <c r="BK125">
        <v>1089.2934069675755</v>
      </c>
      <c r="BL125">
        <v>25.802264981123248</v>
      </c>
      <c r="BM125">
        <v>11.182368930218409</v>
      </c>
      <c r="BN125">
        <v>20.9203131034675</v>
      </c>
      <c r="BO125">
        <v>8.8300012319782741</v>
      </c>
      <c r="BP125">
        <v>9.8742906991828843</v>
      </c>
      <c r="BQ125">
        <v>1198.5464110575699</v>
      </c>
      <c r="BR125">
        <v>24.563097710327263</v>
      </c>
      <c r="BS125">
        <v>10.616001205692314</v>
      </c>
      <c r="BU125">
        <v>129</v>
      </c>
      <c r="BV125">
        <v>16.196522227113306</v>
      </c>
      <c r="BW125">
        <v>6.5567600183675303</v>
      </c>
      <c r="BX125">
        <v>7.5000152703769531</v>
      </c>
      <c r="BY125">
        <v>889.06868020731372</v>
      </c>
      <c r="BZ125">
        <v>24.536004828846075</v>
      </c>
      <c r="CA125">
        <v>10.262661944770763</v>
      </c>
      <c r="CB125">
        <v>16.944108239524365</v>
      </c>
      <c r="CC125">
        <v>6.8216381512205935</v>
      </c>
      <c r="CD125">
        <v>7.8653783327379827</v>
      </c>
      <c r="CE125">
        <v>940.18929602957189</v>
      </c>
      <c r="CF125">
        <v>24.439198127119475</v>
      </c>
      <c r="CG125">
        <v>10.188452680136203</v>
      </c>
      <c r="CH125">
        <v>18.322976594219522</v>
      </c>
      <c r="CI125">
        <v>7.3601780995347532</v>
      </c>
      <c r="CJ125">
        <v>8.3988547185886713</v>
      </c>
      <c r="CK125">
        <v>1016.1689488016616</v>
      </c>
      <c r="CL125">
        <v>24.770793501115485</v>
      </c>
      <c r="CM125">
        <v>10.323166274672699</v>
      </c>
      <c r="CN125">
        <v>19.533824420756684</v>
      </c>
      <c r="CO125">
        <v>7.7606062272558978</v>
      </c>
      <c r="CP125">
        <v>9.0382984475836032</v>
      </c>
      <c r="CQ125">
        <v>1091.1790858949716</v>
      </c>
      <c r="CR125">
        <v>24.938957861019794</v>
      </c>
      <c r="CS125">
        <v>10.328432634367424</v>
      </c>
      <c r="CT125">
        <v>19.85488957733952</v>
      </c>
      <c r="CU125">
        <v>7.8132336316173392</v>
      </c>
      <c r="CV125">
        <v>9.4212243552239254</v>
      </c>
      <c r="CW125">
        <v>1200.8476199189072</v>
      </c>
      <c r="CX125">
        <v>23.628800697425124</v>
      </c>
      <c r="CY125">
        <v>9.7489492840856808</v>
      </c>
      <c r="DA125">
        <v>129</v>
      </c>
      <c r="DB125">
        <v>13.437726216437587</v>
      </c>
      <c r="DC125">
        <v>6.013030671373766</v>
      </c>
      <c r="DD125">
        <v>7.1174054859616307</v>
      </c>
      <c r="DE125">
        <v>926.45925093303572</v>
      </c>
      <c r="DF125">
        <v>20.567982240855255</v>
      </c>
      <c r="DG125">
        <v>9.2615859305371622</v>
      </c>
      <c r="DH125">
        <v>14.051310290053296</v>
      </c>
      <c r="DI125">
        <v>6.6573524876712424</v>
      </c>
      <c r="DJ125">
        <v>7.4990341612662892</v>
      </c>
      <c r="DK125">
        <v>973.50523489872</v>
      </c>
      <c r="DL125">
        <v>20.631295871030581</v>
      </c>
      <c r="DM125">
        <v>9.6710198896855388</v>
      </c>
      <c r="DN125">
        <v>15.618851331698355</v>
      </c>
      <c r="DO125">
        <v>6.818008453377554</v>
      </c>
      <c r="DP125">
        <v>8.0550784516489742</v>
      </c>
      <c r="DQ125">
        <v>1051.0388549764834</v>
      </c>
      <c r="DR125">
        <v>21.376170656405545</v>
      </c>
      <c r="DS125">
        <v>9.4648369357423068</v>
      </c>
      <c r="DT125">
        <v>16.785478446374917</v>
      </c>
      <c r="DU125">
        <v>7.6349635048063611</v>
      </c>
      <c r="DV125">
        <v>8.7874826743225789</v>
      </c>
      <c r="DW125">
        <v>1146.2061145673658</v>
      </c>
      <c r="DX125">
        <v>21.343912719234737</v>
      </c>
      <c r="DY125">
        <v>9.7229693827395014</v>
      </c>
      <c r="DZ125">
        <v>17.071106978735219</v>
      </c>
      <c r="EA125">
        <v>7.8589444596504698</v>
      </c>
      <c r="EB125">
        <v>9.1867521062920332</v>
      </c>
      <c r="EC125">
        <v>1260.4236344677724</v>
      </c>
      <c r="ED125">
        <v>20.30333752924497</v>
      </c>
      <c r="EE125">
        <v>9.3244152609850612</v>
      </c>
      <c r="EG125">
        <v>129</v>
      </c>
      <c r="EH125">
        <v>12.608885517820566</v>
      </c>
      <c r="EI125">
        <v>5.5272818590546136</v>
      </c>
      <c r="EJ125">
        <v>6.5462800453587962</v>
      </c>
      <c r="EK125">
        <v>940.10479690454213</v>
      </c>
      <c r="EL125">
        <v>19.387792490224296</v>
      </c>
      <c r="EM125">
        <v>8.6104582999592836</v>
      </c>
      <c r="EN125">
        <v>13.204827044811752</v>
      </c>
      <c r="EO125">
        <v>5.9980409384026903</v>
      </c>
      <c r="EP125">
        <v>6.935101637710714</v>
      </c>
      <c r="EQ125">
        <v>987.73399200247445</v>
      </c>
      <c r="ER125">
        <v>19.477097521923575</v>
      </c>
      <c r="ES125">
        <v>8.8642053539127623</v>
      </c>
      <c r="ET125">
        <v>14.402380757988876</v>
      </c>
      <c r="EU125">
        <v>6.1706778988783508</v>
      </c>
      <c r="EV125">
        <v>7.4437391116595935</v>
      </c>
      <c r="EW125">
        <v>1021.7887125080466</v>
      </c>
      <c r="EX125">
        <v>20.797563230679707</v>
      </c>
      <c r="EY125">
        <v>9.102254416330009</v>
      </c>
      <c r="EZ125">
        <v>15.152831333726944</v>
      </c>
      <c r="FA125">
        <v>6.9768610613226585</v>
      </c>
      <c r="FB125">
        <v>8.1202017642727089</v>
      </c>
      <c r="FC125">
        <v>1133.5237385324342</v>
      </c>
      <c r="FD125">
        <v>20.142389064115534</v>
      </c>
      <c r="FE125">
        <v>9.2511732734775407</v>
      </c>
      <c r="FF125">
        <v>15.320870150818738</v>
      </c>
      <c r="FG125">
        <v>7.1391145429002361</v>
      </c>
      <c r="FH125">
        <v>8.4935821549011354</v>
      </c>
      <c r="FI125">
        <v>1255.9669013450525</v>
      </c>
      <c r="FJ125">
        <v>18.981845482543218</v>
      </c>
      <c r="FK125">
        <v>8.7843743684422542</v>
      </c>
    </row>
    <row r="126" spans="2:167" x14ac:dyDescent="0.25">
      <c r="B126">
        <v>601.20625038839387</v>
      </c>
      <c r="C126">
        <v>1.6633226939240497</v>
      </c>
      <c r="D126">
        <v>645.69394725378049</v>
      </c>
      <c r="E126">
        <v>1.5487213474017045</v>
      </c>
      <c r="F126">
        <v>732.9125212748321</v>
      </c>
      <c r="G126">
        <v>1.3644193146824597</v>
      </c>
      <c r="H126">
        <v>821.81558446105635</v>
      </c>
      <c r="I126">
        <v>1.2168180050464683</v>
      </c>
      <c r="J126">
        <v>911.78290900060495</v>
      </c>
      <c r="K126">
        <v>1.0967522972064576</v>
      </c>
      <c r="L126">
        <v>690.73753805648187</v>
      </c>
      <c r="M126">
        <v>1.4477278921508818</v>
      </c>
      <c r="N126">
        <v>688.72549731865342</v>
      </c>
      <c r="O126">
        <v>1.4519572803579956</v>
      </c>
      <c r="Q126">
        <v>0.24863611331831229</v>
      </c>
      <c r="R126">
        <v>0.24922668812984614</v>
      </c>
      <c r="S126">
        <v>0.2489463824206409</v>
      </c>
      <c r="T126">
        <v>0.24994158216756407</v>
      </c>
      <c r="U126">
        <v>0.25029068322901676</v>
      </c>
      <c r="V126">
        <v>0.24909922054900477</v>
      </c>
      <c r="W126">
        <v>0.24898702085169236</v>
      </c>
      <c r="Y126">
        <v>2.1478538101915015</v>
      </c>
      <c r="Z126">
        <v>2.2065577053811301</v>
      </c>
      <c r="AA126">
        <v>2.234133780666002</v>
      </c>
      <c r="AB126">
        <v>2.3827331312248705</v>
      </c>
      <c r="AC126">
        <v>2.4483108740272961</v>
      </c>
      <c r="AD126">
        <v>2.2216074271870125</v>
      </c>
      <c r="AE126">
        <v>2.2171917690982887</v>
      </c>
      <c r="AG126">
        <v>0.86576771256102381</v>
      </c>
      <c r="AH126">
        <v>0.89970376840872512</v>
      </c>
      <c r="AI126">
        <v>0.90622832773697537</v>
      </c>
      <c r="AJ126">
        <v>0.97729234987096747</v>
      </c>
      <c r="AK126">
        <v>1.0107642139356952</v>
      </c>
      <c r="AL126">
        <v>0.90432236902957741</v>
      </c>
      <c r="AM126">
        <v>0.90023465911755041</v>
      </c>
      <c r="AO126">
        <v>130</v>
      </c>
      <c r="AP126">
        <v>16.931063736981372</v>
      </c>
      <c r="AQ126">
        <v>7.4361298436703311</v>
      </c>
      <c r="AR126">
        <v>7.7395305624900557</v>
      </c>
      <c r="AS126">
        <v>889.96334250540406</v>
      </c>
      <c r="AT126">
        <v>25.336700809644416</v>
      </c>
      <c r="AU126">
        <v>11.240441777963706</v>
      </c>
      <c r="AV126">
        <v>17.832022222466019</v>
      </c>
      <c r="AW126">
        <v>7.7510731453464325</v>
      </c>
      <c r="AX126">
        <v>8.1382071172396042</v>
      </c>
      <c r="AY126">
        <v>940.51741249452243</v>
      </c>
      <c r="AZ126">
        <v>25.374741762948847</v>
      </c>
      <c r="BA126">
        <v>11.173114933855521</v>
      </c>
      <c r="BB126">
        <v>19.179895760802655</v>
      </c>
      <c r="BC126">
        <v>8.14354885679594</v>
      </c>
      <c r="BD126">
        <v>8.7013340885286503</v>
      </c>
      <c r="BE126">
        <v>1015.5575201165381</v>
      </c>
      <c r="BF126">
        <v>25.62949891465318</v>
      </c>
      <c r="BG126">
        <v>11.100751612381789</v>
      </c>
      <c r="BH126">
        <v>20.427192307563793</v>
      </c>
      <c r="BI126">
        <v>8.6713172965250322</v>
      </c>
      <c r="BJ126">
        <v>9.3310730435690257</v>
      </c>
      <c r="BK126">
        <v>1090.1431267612024</v>
      </c>
      <c r="BL126">
        <v>25.782153222642496</v>
      </c>
      <c r="BM126">
        <v>11.173652753428049</v>
      </c>
      <c r="BN126">
        <v>20.9203131034675</v>
      </c>
      <c r="BO126">
        <v>8.8300012319782741</v>
      </c>
      <c r="BP126">
        <v>9.8742906991828843</v>
      </c>
      <c r="BQ126">
        <v>1199.4364541224111</v>
      </c>
      <c r="BR126">
        <v>24.544870638194382</v>
      </c>
      <c r="BS126">
        <v>10.608123590986677</v>
      </c>
      <c r="BU126">
        <v>130</v>
      </c>
      <c r="BV126">
        <v>16.196522227113306</v>
      </c>
      <c r="BW126">
        <v>6.5592597335280312</v>
      </c>
      <c r="BX126">
        <v>7.5000152703769531</v>
      </c>
      <c r="BY126">
        <v>889.79598249465653</v>
      </c>
      <c r="BZ126">
        <v>24.515949565858438</v>
      </c>
      <c r="CA126">
        <v>10.257082753086575</v>
      </c>
      <c r="CB126">
        <v>16.944108239524365</v>
      </c>
      <c r="CC126">
        <v>6.8287599855785972</v>
      </c>
      <c r="CD126">
        <v>7.8653783327379827</v>
      </c>
      <c r="CE126">
        <v>940.95538295123845</v>
      </c>
      <c r="CF126">
        <v>24.419300743672363</v>
      </c>
      <c r="CG126">
        <v>10.187726390659943</v>
      </c>
      <c r="CH126">
        <v>18.322976594219522</v>
      </c>
      <c r="CI126">
        <v>7.3610817434451166</v>
      </c>
      <c r="CJ126">
        <v>8.3988547185886713</v>
      </c>
      <c r="CK126">
        <v>1016.987722987308</v>
      </c>
      <c r="CL126">
        <v>24.750850599329894</v>
      </c>
      <c r="CM126">
        <v>10.315743669680675</v>
      </c>
      <c r="CN126">
        <v>19.533824420756684</v>
      </c>
      <c r="CO126">
        <v>7.7652610285618833</v>
      </c>
      <c r="CP126">
        <v>9.0382984475836032</v>
      </c>
      <c r="CQ126">
        <v>1092.0644721891001</v>
      </c>
      <c r="CR126">
        <v>24.918738714584482</v>
      </c>
      <c r="CS126">
        <v>10.324321291582585</v>
      </c>
      <c r="CT126">
        <v>19.85488957733952</v>
      </c>
      <c r="CU126">
        <v>7.8201146906037673</v>
      </c>
      <c r="CV126">
        <v>9.4212243552239254</v>
      </c>
      <c r="CW126">
        <v>1201.770803433616</v>
      </c>
      <c r="CX126">
        <v>23.610649383369331</v>
      </c>
      <c r="CY126">
        <v>9.747186044146483</v>
      </c>
      <c r="DA126">
        <v>130</v>
      </c>
      <c r="DB126">
        <v>13.437726216437587</v>
      </c>
      <c r="DC126">
        <v>6.0183202577281421</v>
      </c>
      <c r="DD126">
        <v>7.1174054859616307</v>
      </c>
      <c r="DE126">
        <v>927.3619462456561</v>
      </c>
      <c r="DF126">
        <v>20.547961340457036</v>
      </c>
      <c r="DG126">
        <v>9.2582745979285903</v>
      </c>
      <c r="DH126">
        <v>14.051310290053296</v>
      </c>
      <c r="DI126">
        <v>6.6687779005876555</v>
      </c>
      <c r="DJ126">
        <v>7.4990341612662892</v>
      </c>
      <c r="DK126">
        <v>974.45668929019484</v>
      </c>
      <c r="DL126">
        <v>20.61115158214217</v>
      </c>
      <c r="DM126">
        <v>9.67330206250735</v>
      </c>
      <c r="DN126">
        <v>15.618851331698355</v>
      </c>
      <c r="DO126">
        <v>6.8273648864402166</v>
      </c>
      <c r="DP126">
        <v>8.0550784516489742</v>
      </c>
      <c r="DQ126">
        <v>1052.0296912559972</v>
      </c>
      <c r="DR126">
        <v>21.356037873481746</v>
      </c>
      <c r="DS126">
        <v>9.4648163367486369</v>
      </c>
      <c r="DT126">
        <v>16.785478446374917</v>
      </c>
      <c r="DU126">
        <v>7.6638044032710582</v>
      </c>
      <c r="DV126">
        <v>8.7874826743225789</v>
      </c>
      <c r="DW126">
        <v>1147.2937220589442</v>
      </c>
      <c r="DX126">
        <v>21.323679191475712</v>
      </c>
      <c r="DY126">
        <v>9.7388904357117614</v>
      </c>
      <c r="DZ126">
        <v>17.071106978735219</v>
      </c>
      <c r="EA126">
        <v>7.8907617976906188</v>
      </c>
      <c r="EB126">
        <v>9.1867521062920332</v>
      </c>
      <c r="EC126">
        <v>1261.5613125880136</v>
      </c>
      <c r="ED126">
        <v>20.285027945204618</v>
      </c>
      <c r="EE126">
        <v>9.3412270913749555</v>
      </c>
      <c r="EG126">
        <v>130</v>
      </c>
      <c r="EH126">
        <v>12.608885517820566</v>
      </c>
      <c r="EI126">
        <v>5.5312809131886231</v>
      </c>
      <c r="EJ126">
        <v>6.5462800453587962</v>
      </c>
      <c r="EK126">
        <v>941.07989378309696</v>
      </c>
      <c r="EL126">
        <v>19.367703891940373</v>
      </c>
      <c r="EM126">
        <v>8.6057860325925546</v>
      </c>
      <c r="EN126">
        <v>13.204827044811752</v>
      </c>
      <c r="EO126">
        <v>6.0085763582748015</v>
      </c>
      <c r="EP126">
        <v>6.935101637710714</v>
      </c>
      <c r="EQ126">
        <v>988.75313468221304</v>
      </c>
      <c r="ER126">
        <v>19.457021791525609</v>
      </c>
      <c r="ES126">
        <v>8.8657239633829139</v>
      </c>
      <c r="ET126">
        <v>14.402380757988876</v>
      </c>
      <c r="EU126">
        <v>6.1791476998306001</v>
      </c>
      <c r="EV126">
        <v>7.4437391116595935</v>
      </c>
      <c r="EW126">
        <v>1022.7712181014738</v>
      </c>
      <c r="EX126">
        <v>20.777584449656</v>
      </c>
      <c r="EY126">
        <v>9.1017917371734018</v>
      </c>
      <c r="EZ126">
        <v>15.152831333726944</v>
      </c>
      <c r="FA126">
        <v>7.0027376417769132</v>
      </c>
      <c r="FB126">
        <v>8.1202017642727089</v>
      </c>
      <c r="FC126">
        <v>1134.652545291596</v>
      </c>
      <c r="FD126">
        <v>20.122350449637832</v>
      </c>
      <c r="FE126">
        <v>9.2647754934672815</v>
      </c>
      <c r="FF126">
        <v>15.320870150818738</v>
      </c>
      <c r="FG126">
        <v>7.1678373192329188</v>
      </c>
      <c r="FH126">
        <v>8.4935821549011354</v>
      </c>
      <c r="FI126">
        <v>1257.0452778956292</v>
      </c>
      <c r="FJ126">
        <v>18.965561600478676</v>
      </c>
      <c r="FK126">
        <v>8.7996879878804446</v>
      </c>
    </row>
    <row r="127" spans="2:167" x14ac:dyDescent="0.25">
      <c r="B127">
        <v>601.20625038839387</v>
      </c>
      <c r="C127">
        <v>1.6633226939240497</v>
      </c>
      <c r="D127">
        <v>645.69394725378049</v>
      </c>
      <c r="E127">
        <v>1.5487213474017045</v>
      </c>
      <c r="F127">
        <v>732.9125212748321</v>
      </c>
      <c r="G127">
        <v>1.3644193146824597</v>
      </c>
      <c r="H127">
        <v>821.81558446105635</v>
      </c>
      <c r="I127">
        <v>1.2168180050464683</v>
      </c>
      <c r="J127">
        <v>911.78290900060495</v>
      </c>
      <c r="K127">
        <v>1.0967522972064576</v>
      </c>
      <c r="L127">
        <v>690.73753805648187</v>
      </c>
      <c r="M127">
        <v>1.4477278921508818</v>
      </c>
      <c r="N127">
        <v>688.72549731865342</v>
      </c>
      <c r="O127">
        <v>1.4519572803579956</v>
      </c>
      <c r="Q127">
        <v>0.25050906874366452</v>
      </c>
      <c r="R127">
        <v>0.25110112302760612</v>
      </c>
      <c r="S127">
        <v>0.25081591067754067</v>
      </c>
      <c r="T127">
        <v>0.25181356652536885</v>
      </c>
      <c r="U127">
        <v>0.25216269353511028</v>
      </c>
      <c r="V127">
        <v>0.25097011813214998</v>
      </c>
      <c r="W127">
        <v>0.2508598188493732</v>
      </c>
      <c r="Y127">
        <v>2.1478538101915015</v>
      </c>
      <c r="Z127">
        <v>2.2065577053811301</v>
      </c>
      <c r="AA127">
        <v>2.234133780666002</v>
      </c>
      <c r="AB127">
        <v>2.3827331312248705</v>
      </c>
      <c r="AC127">
        <v>2.4483108740272961</v>
      </c>
      <c r="AD127">
        <v>2.2216074271870125</v>
      </c>
      <c r="AE127">
        <v>2.2171917690982887</v>
      </c>
      <c r="AG127">
        <v>0.86576771256102381</v>
      </c>
      <c r="AH127">
        <v>0.89970376840872512</v>
      </c>
      <c r="AI127">
        <v>0.90622832773697537</v>
      </c>
      <c r="AJ127">
        <v>0.97729234987096747</v>
      </c>
      <c r="AK127">
        <v>1.0107642139356952</v>
      </c>
      <c r="AL127">
        <v>0.90432236902957741</v>
      </c>
      <c r="AM127">
        <v>0.90023465911755041</v>
      </c>
      <c r="AO127">
        <v>131</v>
      </c>
      <c r="AP127">
        <v>16.931063736981372</v>
      </c>
      <c r="AQ127">
        <v>7.4361298436703311</v>
      </c>
      <c r="AR127">
        <v>7.7395305624900557</v>
      </c>
      <c r="AS127">
        <v>890.6626599016106</v>
      </c>
      <c r="AT127">
        <v>25.316807311874314</v>
      </c>
      <c r="AU127">
        <v>11.23161617335461</v>
      </c>
      <c r="AV127">
        <v>17.832022222466019</v>
      </c>
      <c r="AW127">
        <v>7.7510731453464325</v>
      </c>
      <c r="AX127">
        <v>8.1382071172396042</v>
      </c>
      <c r="AY127">
        <v>941.25753365007142</v>
      </c>
      <c r="AZ127">
        <v>25.354789324297414</v>
      </c>
      <c r="BA127">
        <v>11.16432939064307</v>
      </c>
      <c r="BB127">
        <v>19.179895760802655</v>
      </c>
      <c r="BC127">
        <v>8.14354885679594</v>
      </c>
      <c r="BD127">
        <v>8.7013340885286503</v>
      </c>
      <c r="BE127">
        <v>1016.3453367258953</v>
      </c>
      <c r="BF127">
        <v>25.609632296285536</v>
      </c>
      <c r="BG127">
        <v>11.092146902761378</v>
      </c>
      <c r="BH127">
        <v>20.427192307563793</v>
      </c>
      <c r="BI127">
        <v>8.6713172965250322</v>
      </c>
      <c r="BJ127">
        <v>9.3310730435690257</v>
      </c>
      <c r="BK127">
        <v>1090.994169567676</v>
      </c>
      <c r="BL127">
        <v>25.762041551427771</v>
      </c>
      <c r="BM127">
        <v>11.164936614457661</v>
      </c>
      <c r="BN127">
        <v>20.9203131034675</v>
      </c>
      <c r="BO127">
        <v>8.8300012319782741</v>
      </c>
      <c r="BP127">
        <v>9.8742906991828843</v>
      </c>
      <c r="BQ127">
        <v>1200.3278829833905</v>
      </c>
      <c r="BR127">
        <v>24.526642280438072</v>
      </c>
      <c r="BS127">
        <v>10.600245420643471</v>
      </c>
      <c r="BU127">
        <v>131</v>
      </c>
      <c r="BV127">
        <v>16.196522227113306</v>
      </c>
      <c r="BW127">
        <v>6.5610243485079414</v>
      </c>
      <c r="BX127">
        <v>7.5000152703769531</v>
      </c>
      <c r="BY127">
        <v>890.52447405098383</v>
      </c>
      <c r="BZ127">
        <v>24.495894348091284</v>
      </c>
      <c r="CA127">
        <v>10.250673515199718</v>
      </c>
      <c r="CB127">
        <v>16.944108239524365</v>
      </c>
      <c r="CC127">
        <v>6.8351856892484459</v>
      </c>
      <c r="CD127">
        <v>7.8653783327379827</v>
      </c>
      <c r="CE127">
        <v>941.7227225616856</v>
      </c>
      <c r="CF127">
        <v>24.399403276752302</v>
      </c>
      <c r="CG127">
        <v>10.186248522178321</v>
      </c>
      <c r="CH127">
        <v>18.322976594219522</v>
      </c>
      <c r="CI127">
        <v>7.3610943215725717</v>
      </c>
      <c r="CJ127">
        <v>8.3988547185886713</v>
      </c>
      <c r="CK127">
        <v>1017.8078195765009</v>
      </c>
      <c r="CL127">
        <v>24.730907651588954</v>
      </c>
      <c r="CM127">
        <v>10.307444138169359</v>
      </c>
      <c r="CN127">
        <v>19.533824420756684</v>
      </c>
      <c r="CO127">
        <v>7.7690230983644009</v>
      </c>
      <c r="CP127">
        <v>9.0382984475836032</v>
      </c>
      <c r="CQ127">
        <v>1092.9512886372033</v>
      </c>
      <c r="CR127">
        <v>24.898519746376266</v>
      </c>
      <c r="CS127">
        <v>10.31938629750697</v>
      </c>
      <c r="CT127">
        <v>19.85488957733952</v>
      </c>
      <c r="CU127">
        <v>7.8261399670447718</v>
      </c>
      <c r="CV127">
        <v>9.4212243552239254</v>
      </c>
      <c r="CW127">
        <v>1202.6954781557017</v>
      </c>
      <c r="CX127">
        <v>23.592496682994746</v>
      </c>
      <c r="CY127">
        <v>9.7447018740803699</v>
      </c>
      <c r="DA127">
        <v>131</v>
      </c>
      <c r="DB127">
        <v>13.437726216437587</v>
      </c>
      <c r="DC127">
        <v>6.022982008752737</v>
      </c>
      <c r="DD127">
        <v>7.1174054859616307</v>
      </c>
      <c r="DE127">
        <v>928.26640143510326</v>
      </c>
      <c r="DF127">
        <v>20.527940460418503</v>
      </c>
      <c r="DG127">
        <v>9.2542758067678985</v>
      </c>
      <c r="DH127">
        <v>14.051310290053296</v>
      </c>
      <c r="DI127">
        <v>6.6795862843695906</v>
      </c>
      <c r="DJ127">
        <v>7.4990341612662892</v>
      </c>
      <c r="DK127">
        <v>975.40999861822672</v>
      </c>
      <c r="DL127">
        <v>20.591007434458046</v>
      </c>
      <c r="DM127">
        <v>9.6749287986440766</v>
      </c>
      <c r="DN127">
        <v>15.618851331698355</v>
      </c>
      <c r="DO127">
        <v>6.8360371594508091</v>
      </c>
      <c r="DP127">
        <v>8.0550784516489742</v>
      </c>
      <c r="DQ127">
        <v>1053.022391277106</v>
      </c>
      <c r="DR127">
        <v>21.335905215882612</v>
      </c>
      <c r="DS127">
        <v>9.464129313972407</v>
      </c>
      <c r="DT127">
        <v>16.785478446374917</v>
      </c>
      <c r="DU127">
        <v>7.692176097007529</v>
      </c>
      <c r="DV127">
        <v>8.7874826743225789</v>
      </c>
      <c r="DW127">
        <v>1148.3833835463431</v>
      </c>
      <c r="DX127">
        <v>21.303445885841452</v>
      </c>
      <c r="DY127">
        <v>9.7543553058528065</v>
      </c>
      <c r="DZ127">
        <v>17.071106978735219</v>
      </c>
      <c r="EA127">
        <v>7.922132412383597</v>
      </c>
      <c r="EB127">
        <v>9.1867521062920332</v>
      </c>
      <c r="EC127">
        <v>1262.7011392647166</v>
      </c>
      <c r="ED127">
        <v>20.2667168696297</v>
      </c>
      <c r="EE127">
        <v>9.357638920125785</v>
      </c>
      <c r="EG127">
        <v>131</v>
      </c>
      <c r="EH127">
        <v>12.608885517820566</v>
      </c>
      <c r="EI127">
        <v>5.5346849938159819</v>
      </c>
      <c r="EJ127">
        <v>6.5462800453587962</v>
      </c>
      <c r="EK127">
        <v>942.05701106760944</v>
      </c>
      <c r="EL127">
        <v>19.347615385606037</v>
      </c>
      <c r="EM127">
        <v>8.600473422428724</v>
      </c>
      <c r="EN127">
        <v>13.204827044811752</v>
      </c>
      <c r="EO127">
        <v>6.0185608682068317</v>
      </c>
      <c r="EP127">
        <v>6.935101637710714</v>
      </c>
      <c r="EQ127">
        <v>989.77437865372747</v>
      </c>
      <c r="ER127">
        <v>19.436946139299444</v>
      </c>
      <c r="ES127">
        <v>8.866664018815122</v>
      </c>
      <c r="ET127">
        <v>14.402380757988876</v>
      </c>
      <c r="EU127">
        <v>6.1869983332899032</v>
      </c>
      <c r="EV127">
        <v>7.4437391116595935</v>
      </c>
      <c r="EW127">
        <v>1023.7556159844632</v>
      </c>
      <c r="EX127">
        <v>20.75760564824429</v>
      </c>
      <c r="EY127">
        <v>9.1007083232796333</v>
      </c>
      <c r="EZ127">
        <v>15.152831333726944</v>
      </c>
      <c r="FA127">
        <v>7.028175397699103</v>
      </c>
      <c r="FB127">
        <v>8.1202017642727089</v>
      </c>
      <c r="FC127">
        <v>1135.7836003380628</v>
      </c>
      <c r="FD127">
        <v>20.10231187361326</v>
      </c>
      <c r="FE127">
        <v>9.2779459467485843</v>
      </c>
      <c r="FF127">
        <v>15.320870150818738</v>
      </c>
      <c r="FG127">
        <v>7.1961504931088731</v>
      </c>
      <c r="FH127">
        <v>8.4935821549011354</v>
      </c>
      <c r="FI127">
        <v>1258.1257087389611</v>
      </c>
      <c r="FJ127">
        <v>18.949274692444021</v>
      </c>
      <c r="FK127">
        <v>8.8146353968965112</v>
      </c>
    </row>
    <row r="128" spans="2:167" x14ac:dyDescent="0.25">
      <c r="B128">
        <v>601.20625038839387</v>
      </c>
      <c r="C128">
        <v>1.6633226939240497</v>
      </c>
      <c r="D128">
        <v>645.69394725378049</v>
      </c>
      <c r="E128">
        <v>1.5487213474017045</v>
      </c>
      <c r="F128">
        <v>732.9125212748321</v>
      </c>
      <c r="G128">
        <v>1.3644193146824597</v>
      </c>
      <c r="H128">
        <v>821.81558446105635</v>
      </c>
      <c r="I128">
        <v>1.2168180050464683</v>
      </c>
      <c r="J128">
        <v>911.78290900060495</v>
      </c>
      <c r="K128">
        <v>1.0967522972064576</v>
      </c>
      <c r="L128">
        <v>690.73753805648187</v>
      </c>
      <c r="M128">
        <v>1.4477278921508818</v>
      </c>
      <c r="N128">
        <v>688.72549731865342</v>
      </c>
      <c r="O128">
        <v>1.4519572803579956</v>
      </c>
      <c r="Q128">
        <v>0.25238202416901673</v>
      </c>
      <c r="R128">
        <v>0.25297555792536613</v>
      </c>
      <c r="S128">
        <v>0.2526854389344404</v>
      </c>
      <c r="T128">
        <v>0.25368555088317368</v>
      </c>
      <c r="U128">
        <v>0.2540347038412038</v>
      </c>
      <c r="V128">
        <v>0.25284101571529516</v>
      </c>
      <c r="W128">
        <v>0.252732616847054</v>
      </c>
      <c r="Y128">
        <v>2.1478538101915015</v>
      </c>
      <c r="Z128">
        <v>2.2065577053811301</v>
      </c>
      <c r="AA128">
        <v>2.234133780666002</v>
      </c>
      <c r="AB128">
        <v>2.3827331312248705</v>
      </c>
      <c r="AC128">
        <v>2.4483108740272961</v>
      </c>
      <c r="AD128">
        <v>2.2216074271870125</v>
      </c>
      <c r="AE128">
        <v>2.2171917690982887</v>
      </c>
      <c r="AG128">
        <v>0.86576771256102381</v>
      </c>
      <c r="AH128">
        <v>0.89970376840872512</v>
      </c>
      <c r="AI128">
        <v>0.90622832773697537</v>
      </c>
      <c r="AJ128">
        <v>0.97729234987096747</v>
      </c>
      <c r="AK128">
        <v>1.0107642139356952</v>
      </c>
      <c r="AL128">
        <v>0.90432236902957741</v>
      </c>
      <c r="AM128">
        <v>0.90023465911755041</v>
      </c>
      <c r="AO128">
        <v>132</v>
      </c>
      <c r="AP128">
        <v>16.931063736981372</v>
      </c>
      <c r="AQ128">
        <v>7.4361298436703311</v>
      </c>
      <c r="AR128">
        <v>7.7395305624900557</v>
      </c>
      <c r="AS128">
        <v>891.36308012821507</v>
      </c>
      <c r="AT128">
        <v>25.296913730560924</v>
      </c>
      <c r="AU128">
        <v>11.222790531682145</v>
      </c>
      <c r="AV128">
        <v>17.832022222466019</v>
      </c>
      <c r="AW128">
        <v>7.7510731453464325</v>
      </c>
      <c r="AX128">
        <v>8.1382071172396042</v>
      </c>
      <c r="AY128">
        <v>941.99882195999555</v>
      </c>
      <c r="AZ128">
        <v>25.334836848255474</v>
      </c>
      <c r="BA128">
        <v>11.155543830966673</v>
      </c>
      <c r="BB128">
        <v>19.179895760802655</v>
      </c>
      <c r="BC128">
        <v>8.14354885679594</v>
      </c>
      <c r="BD128">
        <v>8.7013340885286503</v>
      </c>
      <c r="BE128">
        <v>1017.1343806825945</v>
      </c>
      <c r="BF128">
        <v>25.58976557466011</v>
      </c>
      <c r="BG128">
        <v>11.083542148417543</v>
      </c>
      <c r="BH128">
        <v>20.427192307563793</v>
      </c>
      <c r="BI128">
        <v>8.6713172965250322</v>
      </c>
      <c r="BJ128">
        <v>9.3310730435690257</v>
      </c>
      <c r="BK128">
        <v>1091.846538479298</v>
      </c>
      <c r="BL128">
        <v>25.741929967478498</v>
      </c>
      <c r="BM128">
        <v>11.156220513306989</v>
      </c>
      <c r="BN128">
        <v>20.9203131034675</v>
      </c>
      <c r="BO128">
        <v>8.8300012319782741</v>
      </c>
      <c r="BP128">
        <v>9.8742906991828843</v>
      </c>
      <c r="BQ128">
        <v>1201.2207008795551</v>
      </c>
      <c r="BR128">
        <v>24.508412636922301</v>
      </c>
      <c r="BS128">
        <v>10.592366694603903</v>
      </c>
      <c r="BU128">
        <v>132</v>
      </c>
      <c r="BV128">
        <v>16.196522227113306</v>
      </c>
      <c r="BW128">
        <v>6.5620538633072583</v>
      </c>
      <c r="BX128">
        <v>7.5000152703769531</v>
      </c>
      <c r="BY128">
        <v>891.25415779568311</v>
      </c>
      <c r="BZ128">
        <v>24.475839175544451</v>
      </c>
      <c r="CA128">
        <v>10.243436258598416</v>
      </c>
      <c r="CB128">
        <v>16.944108239524365</v>
      </c>
      <c r="CC128">
        <v>6.8409152622301423</v>
      </c>
      <c r="CD128">
        <v>7.8653783327379827</v>
      </c>
      <c r="CE128">
        <v>942.49131793598201</v>
      </c>
      <c r="CF128">
        <v>24.379505726358762</v>
      </c>
      <c r="CG128">
        <v>10.184020883075521</v>
      </c>
      <c r="CH128">
        <v>18.322976594219522</v>
      </c>
      <c r="CI128">
        <v>7.3610943215725717</v>
      </c>
      <c r="CJ128">
        <v>8.3988547185886713</v>
      </c>
      <c r="CK128">
        <v>1018.6292417755539</v>
      </c>
      <c r="CL128">
        <v>24.710964657892511</v>
      </c>
      <c r="CM128">
        <v>10.299132219481621</v>
      </c>
      <c r="CN128">
        <v>19.533824420756684</v>
      </c>
      <c r="CO128">
        <v>7.7718924366634434</v>
      </c>
      <c r="CP128">
        <v>9.0382984475836032</v>
      </c>
      <c r="CQ128">
        <v>1093.8395387072483</v>
      </c>
      <c r="CR128">
        <v>24.878300956392799</v>
      </c>
      <c r="CS128">
        <v>10.313629642092977</v>
      </c>
      <c r="CT128">
        <v>19.85488957733952</v>
      </c>
      <c r="CU128">
        <v>7.8313094609403544</v>
      </c>
      <c r="CV128">
        <v>9.4212243552239254</v>
      </c>
      <c r="CW128">
        <v>1203.621647701179</v>
      </c>
      <c r="CX128">
        <v>23.574342596142539</v>
      </c>
      <c r="CY128">
        <v>9.741498415404374</v>
      </c>
      <c r="DA128">
        <v>132</v>
      </c>
      <c r="DB128">
        <v>13.437726216437587</v>
      </c>
      <c r="DC128">
        <v>6.0270159244475474</v>
      </c>
      <c r="DD128">
        <v>7.1174054859616307</v>
      </c>
      <c r="DE128">
        <v>929.17262165293016</v>
      </c>
      <c r="DF128">
        <v>20.507919600739612</v>
      </c>
      <c r="DG128">
        <v>9.2495915360078662</v>
      </c>
      <c r="DH128">
        <v>14.051310290053296</v>
      </c>
      <c r="DI128">
        <v>6.6897776390170405</v>
      </c>
      <c r="DJ128">
        <v>7.4990341612662892</v>
      </c>
      <c r="DK128">
        <v>976.36516831262963</v>
      </c>
      <c r="DL128">
        <v>20.570863427976732</v>
      </c>
      <c r="DM128">
        <v>9.6759019548916729</v>
      </c>
      <c r="DN128">
        <v>15.618851331698355</v>
      </c>
      <c r="DO128">
        <v>6.8440252724093273</v>
      </c>
      <c r="DP128">
        <v>8.0550784516489742</v>
      </c>
      <c r="DQ128">
        <v>1054.0169603032462</v>
      </c>
      <c r="DR128">
        <v>21.315772683606969</v>
      </c>
      <c r="DS128">
        <v>9.4627777067685379</v>
      </c>
      <c r="DT128">
        <v>16.785478446374917</v>
      </c>
      <c r="DU128">
        <v>7.7200785860157692</v>
      </c>
      <c r="DV128">
        <v>8.7874826743225789</v>
      </c>
      <c r="DW128">
        <v>1149.4751048536575</v>
      </c>
      <c r="DX128">
        <v>21.2832128023283</v>
      </c>
      <c r="DY128">
        <v>9.7693651580965586</v>
      </c>
      <c r="DZ128">
        <v>17.071106978735219</v>
      </c>
      <c r="EA128">
        <v>7.9530563037294026</v>
      </c>
      <c r="EB128">
        <v>9.1867521062920332</v>
      </c>
      <c r="EC128">
        <v>1263.8431205901029</v>
      </c>
      <c r="ED128">
        <v>20.248404302337956</v>
      </c>
      <c r="EE128">
        <v>9.3736517006043183</v>
      </c>
      <c r="EG128">
        <v>132</v>
      </c>
      <c r="EH128">
        <v>12.608885517820566</v>
      </c>
      <c r="EI128">
        <v>5.5374941009366943</v>
      </c>
      <c r="EJ128">
        <v>6.5462800453587962</v>
      </c>
      <c r="EK128">
        <v>943.03615504403001</v>
      </c>
      <c r="EL128">
        <v>19.32752697122066</v>
      </c>
      <c r="EM128">
        <v>8.5945224367796502</v>
      </c>
      <c r="EN128">
        <v>13.204827044811752</v>
      </c>
      <c r="EO128">
        <v>6.0279944681987736</v>
      </c>
      <c r="EP128">
        <v>6.935101637710714</v>
      </c>
      <c r="EQ128">
        <v>990.79773042246188</v>
      </c>
      <c r="ER128">
        <v>19.416870565244622</v>
      </c>
      <c r="ES128">
        <v>8.8670272450059624</v>
      </c>
      <c r="ET128">
        <v>14.402380757988876</v>
      </c>
      <c r="EU128">
        <v>6.1942297992562638</v>
      </c>
      <c r="EV128">
        <v>7.4437391116595935</v>
      </c>
      <c r="EW128">
        <v>1024.7419116290623</v>
      </c>
      <c r="EX128">
        <v>20.737626826444547</v>
      </c>
      <c r="EY128">
        <v>9.0990059209519263</v>
      </c>
      <c r="EZ128">
        <v>15.152831333726944</v>
      </c>
      <c r="FA128">
        <v>7.0531743290892326</v>
      </c>
      <c r="FB128">
        <v>8.1202017642727089</v>
      </c>
      <c r="FC128">
        <v>1136.9169103955292</v>
      </c>
      <c r="FD128">
        <v>20.082273336041709</v>
      </c>
      <c r="FE128">
        <v>9.2906857888633549</v>
      </c>
      <c r="FF128">
        <v>15.320870150818738</v>
      </c>
      <c r="FG128">
        <v>7.2240540645280982</v>
      </c>
      <c r="FH128">
        <v>8.4935821549011354</v>
      </c>
      <c r="FI128">
        <v>1259.2081997507441</v>
      </c>
      <c r="FJ128">
        <v>18.932984757595722</v>
      </c>
      <c r="FK128">
        <v>8.8292174237873571</v>
      </c>
    </row>
    <row r="129" spans="2:167" x14ac:dyDescent="0.25">
      <c r="B129">
        <v>601.20625038839387</v>
      </c>
      <c r="C129">
        <v>1.6633226939240497</v>
      </c>
      <c r="D129">
        <v>645.69394725378049</v>
      </c>
      <c r="E129">
        <v>1.5487213474017045</v>
      </c>
      <c r="F129">
        <v>732.9125212748321</v>
      </c>
      <c r="G129">
        <v>1.3644193146824597</v>
      </c>
      <c r="H129">
        <v>821.81558446105635</v>
      </c>
      <c r="I129">
        <v>1.2168180050464683</v>
      </c>
      <c r="J129">
        <v>911.78290900060495</v>
      </c>
      <c r="K129">
        <v>1.0967522972064576</v>
      </c>
      <c r="L129">
        <v>690.73753805648187</v>
      </c>
      <c r="M129">
        <v>1.4477278921508818</v>
      </c>
      <c r="N129">
        <v>688.72549731865342</v>
      </c>
      <c r="O129">
        <v>1.4519572803579956</v>
      </c>
      <c r="Q129">
        <v>0.25425497959436894</v>
      </c>
      <c r="R129">
        <v>0.25484999282312615</v>
      </c>
      <c r="S129">
        <v>0.25455496719134019</v>
      </c>
      <c r="T129">
        <v>0.25555753524097852</v>
      </c>
      <c r="U129">
        <v>0.25590671414729732</v>
      </c>
      <c r="V129">
        <v>0.25471191329844034</v>
      </c>
      <c r="W129">
        <v>0.25460541484473481</v>
      </c>
      <c r="Y129">
        <v>2.1478538101915015</v>
      </c>
      <c r="Z129">
        <v>2.2065577053811301</v>
      </c>
      <c r="AA129">
        <v>2.234133780666002</v>
      </c>
      <c r="AB129">
        <v>2.3827331312248705</v>
      </c>
      <c r="AC129">
        <v>2.4483108740272961</v>
      </c>
      <c r="AD129">
        <v>2.2216074271870125</v>
      </c>
      <c r="AE129">
        <v>2.2171917690982887</v>
      </c>
      <c r="AG129">
        <v>0.86576771256102381</v>
      </c>
      <c r="AH129">
        <v>0.89970376840872512</v>
      </c>
      <c r="AI129">
        <v>0.90622832773697537</v>
      </c>
      <c r="AJ129">
        <v>0.97729234987096747</v>
      </c>
      <c r="AK129">
        <v>1.0107642139356952</v>
      </c>
      <c r="AL129">
        <v>0.90432236902957741</v>
      </c>
      <c r="AM129">
        <v>0.90023465911755041</v>
      </c>
      <c r="AO129">
        <v>133</v>
      </c>
      <c r="AP129">
        <v>16.931063736981372</v>
      </c>
      <c r="AQ129">
        <v>7.4361298436703311</v>
      </c>
      <c r="AR129">
        <v>7.7395305624900557</v>
      </c>
      <c r="AS129">
        <v>892.06460579603777</v>
      </c>
      <c r="AT129">
        <v>25.277020065703717</v>
      </c>
      <c r="AU129">
        <v>11.213964852946081</v>
      </c>
      <c r="AV129">
        <v>17.832022222466019</v>
      </c>
      <c r="AW129">
        <v>7.7510731453464325</v>
      </c>
      <c r="AX129">
        <v>8.1382071172396042</v>
      </c>
      <c r="AY129">
        <v>942.74128018733757</v>
      </c>
      <c r="AZ129">
        <v>25.314884334822924</v>
      </c>
      <c r="BA129">
        <v>11.146758254826281</v>
      </c>
      <c r="BB129">
        <v>19.179895760802655</v>
      </c>
      <c r="BC129">
        <v>8.14354885679594</v>
      </c>
      <c r="BD129">
        <v>8.7013340885286503</v>
      </c>
      <c r="BE129">
        <v>1017.9246548570163</v>
      </c>
      <c r="BF129">
        <v>25.569898749776097</v>
      </c>
      <c r="BG129">
        <v>11.074937349349934</v>
      </c>
      <c r="BH129">
        <v>20.427192307563793</v>
      </c>
      <c r="BI129">
        <v>8.6713172965250322</v>
      </c>
      <c r="BJ129">
        <v>9.3310730435690257</v>
      </c>
      <c r="BK129">
        <v>1092.7002365980147</v>
      </c>
      <c r="BL129">
        <v>25.721818470794105</v>
      </c>
      <c r="BM129">
        <v>11.147504449975795</v>
      </c>
      <c r="BN129">
        <v>20.9203131034675</v>
      </c>
      <c r="BO129">
        <v>8.8300012319782741</v>
      </c>
      <c r="BP129">
        <v>9.8742906991828843</v>
      </c>
      <c r="BQ129">
        <v>1202.1149110600529</v>
      </c>
      <c r="BR129">
        <v>24.490181707511024</v>
      </c>
      <c r="BS129">
        <v>10.58448741280918</v>
      </c>
      <c r="BU129">
        <v>133</v>
      </c>
      <c r="BV129">
        <v>16.196522227113306</v>
      </c>
      <c r="BW129">
        <v>6.5623482779259827</v>
      </c>
      <c r="BX129">
        <v>7.5000152703769531</v>
      </c>
      <c r="BY129">
        <v>891.98503665770477</v>
      </c>
      <c r="BZ129">
        <v>24.45578404821779</v>
      </c>
      <c r="CA129">
        <v>10.235373010761769</v>
      </c>
      <c r="CB129">
        <v>16.944108239524365</v>
      </c>
      <c r="CC129">
        <v>6.8459487045236829</v>
      </c>
      <c r="CD129">
        <v>7.8653783327379827</v>
      </c>
      <c r="CE129">
        <v>943.26117215926922</v>
      </c>
      <c r="CF129">
        <v>24.359608092491221</v>
      </c>
      <c r="CG129">
        <v>10.181045281750901</v>
      </c>
      <c r="CH129">
        <v>18.322976594219522</v>
      </c>
      <c r="CI129">
        <v>7.3610943215725717</v>
      </c>
      <c r="CJ129">
        <v>8.3988547185886713</v>
      </c>
      <c r="CK129">
        <v>1019.4519928011542</v>
      </c>
      <c r="CL129">
        <v>24.691021618240402</v>
      </c>
      <c r="CM129">
        <v>10.290820281640302</v>
      </c>
      <c r="CN129">
        <v>19.533824420756684</v>
      </c>
      <c r="CO129">
        <v>7.7738690434590163</v>
      </c>
      <c r="CP129">
        <v>9.0382984475836032</v>
      </c>
      <c r="CQ129">
        <v>1094.7292258784239</v>
      </c>
      <c r="CR129">
        <v>24.858082344631715</v>
      </c>
      <c r="CS129">
        <v>10.307053315257932</v>
      </c>
      <c r="CT129">
        <v>19.85488957733952</v>
      </c>
      <c r="CU129">
        <v>7.8356231722905134</v>
      </c>
      <c r="CV129">
        <v>9.4212243552239254</v>
      </c>
      <c r="CW129">
        <v>1204.5493156977632</v>
      </c>
      <c r="CX129">
        <v>23.556187122653863</v>
      </c>
      <c r="CY129">
        <v>9.7375773098862908</v>
      </c>
      <c r="DA129">
        <v>133</v>
      </c>
      <c r="DB129">
        <v>13.437726216437587</v>
      </c>
      <c r="DC129">
        <v>6.0304220048125794</v>
      </c>
      <c r="DD129">
        <v>7.1174054859616307</v>
      </c>
      <c r="DE129">
        <v>930.08061207081562</v>
      </c>
      <c r="DF129">
        <v>20.487898761420343</v>
      </c>
      <c r="DG129">
        <v>9.2442237645972778</v>
      </c>
      <c r="DH129">
        <v>14.051310290053296</v>
      </c>
      <c r="DI129">
        <v>6.699351964530007</v>
      </c>
      <c r="DJ129">
        <v>7.4990341612662892</v>
      </c>
      <c r="DK129">
        <v>977.32220382443074</v>
      </c>
      <c r="DL129">
        <v>20.550719562696738</v>
      </c>
      <c r="DM129">
        <v>9.6762233880200696</v>
      </c>
      <c r="DN129">
        <v>15.618851331698355</v>
      </c>
      <c r="DO129">
        <v>6.8513292253157712</v>
      </c>
      <c r="DP129">
        <v>8.0550784516489742</v>
      </c>
      <c r="DQ129">
        <v>1055.013403617693</v>
      </c>
      <c r="DR129">
        <v>21.295640276653643</v>
      </c>
      <c r="DS129">
        <v>9.460763354469055</v>
      </c>
      <c r="DT129">
        <v>16.785478446374917</v>
      </c>
      <c r="DU129">
        <v>7.7475118702957815</v>
      </c>
      <c r="DV129">
        <v>8.7874826743225789</v>
      </c>
      <c r="DW129">
        <v>1150.5688918270225</v>
      </c>
      <c r="DX129">
        <v>21.262979940932595</v>
      </c>
      <c r="DY129">
        <v>9.7839211573513669</v>
      </c>
      <c r="DZ129">
        <v>17.071106978735219</v>
      </c>
      <c r="EA129">
        <v>7.983533471728034</v>
      </c>
      <c r="EB129">
        <v>9.1867521062920332</v>
      </c>
      <c r="EC129">
        <v>1264.9872626794481</v>
      </c>
      <c r="ED129">
        <v>20.23009024314711</v>
      </c>
      <c r="EE129">
        <v>9.38926638633267</v>
      </c>
      <c r="EG129">
        <v>133</v>
      </c>
      <c r="EH129">
        <v>12.608885517820566</v>
      </c>
      <c r="EI129">
        <v>5.5397082345507549</v>
      </c>
      <c r="EJ129">
        <v>6.5462800453587962</v>
      </c>
      <c r="EK129">
        <v>944.01733202441187</v>
      </c>
      <c r="EL129">
        <v>19.307438648783609</v>
      </c>
      <c r="EM129">
        <v>8.5879350429391721</v>
      </c>
      <c r="EN129">
        <v>13.204827044811752</v>
      </c>
      <c r="EO129">
        <v>6.0368771582506326</v>
      </c>
      <c r="EP129">
        <v>6.935101637710714</v>
      </c>
      <c r="EQ129">
        <v>991.82319652074159</v>
      </c>
      <c r="ER129">
        <v>19.396795069360685</v>
      </c>
      <c r="ES129">
        <v>8.8668153667385923</v>
      </c>
      <c r="ET129">
        <v>14.402380757988876</v>
      </c>
      <c r="EU129">
        <v>6.2008420977296783</v>
      </c>
      <c r="EV129">
        <v>7.4437391116595935</v>
      </c>
      <c r="EW129">
        <v>1025.7301105284366</v>
      </c>
      <c r="EX129">
        <v>20.71764798425674</v>
      </c>
      <c r="EY129">
        <v>9.0966862764970671</v>
      </c>
      <c r="EZ129">
        <v>15.152831333726944</v>
      </c>
      <c r="FA129">
        <v>7.0777344359472982</v>
      </c>
      <c r="FB129">
        <v>8.1202017642727089</v>
      </c>
      <c r="FC129">
        <v>1138.0524822145271</v>
      </c>
      <c r="FD129">
        <v>20.062234836923068</v>
      </c>
      <c r="FE129">
        <v>9.3029961753490511</v>
      </c>
      <c r="FF129">
        <v>15.320870150818738</v>
      </c>
      <c r="FG129">
        <v>7.2515480334905913</v>
      </c>
      <c r="FH129">
        <v>8.4935821549011354</v>
      </c>
      <c r="FI129">
        <v>1260.2927568291041</v>
      </c>
      <c r="FJ129">
        <v>18.916691795089939</v>
      </c>
      <c r="FK129">
        <v>8.8434348971577723</v>
      </c>
    </row>
    <row r="130" spans="2:167" x14ac:dyDescent="0.25">
      <c r="B130">
        <v>601.20625038839387</v>
      </c>
      <c r="C130">
        <v>1.6633226939240497</v>
      </c>
      <c r="D130">
        <v>645.69394725378049</v>
      </c>
      <c r="E130">
        <v>1.5487213474017045</v>
      </c>
      <c r="F130">
        <v>732.9125212748321</v>
      </c>
      <c r="G130">
        <v>1.3644193146824597</v>
      </c>
      <c r="H130">
        <v>821.81558446105635</v>
      </c>
      <c r="I130">
        <v>1.2168180050464683</v>
      </c>
      <c r="J130">
        <v>911.78290900060495</v>
      </c>
      <c r="K130">
        <v>1.0967522972064576</v>
      </c>
      <c r="L130">
        <v>690.73753805648187</v>
      </c>
      <c r="M130">
        <v>1.4477278921508818</v>
      </c>
      <c r="N130">
        <v>688.72549731865342</v>
      </c>
      <c r="O130">
        <v>1.4519572803579956</v>
      </c>
      <c r="Q130">
        <v>0.25612793501972114</v>
      </c>
      <c r="R130">
        <v>0.25672442772088616</v>
      </c>
      <c r="S130">
        <v>0.25642449544823992</v>
      </c>
      <c r="T130">
        <v>0.25742951959878335</v>
      </c>
      <c r="U130">
        <v>0.25777872445339078</v>
      </c>
      <c r="V130">
        <v>0.25658281088158547</v>
      </c>
      <c r="W130">
        <v>0.25647821284241568</v>
      </c>
      <c r="Y130">
        <v>2.1478538101915015</v>
      </c>
      <c r="Z130">
        <v>2.2065577053811301</v>
      </c>
      <c r="AA130">
        <v>2.234133780666002</v>
      </c>
      <c r="AB130">
        <v>2.3827331312248705</v>
      </c>
      <c r="AC130">
        <v>2.4483108740272961</v>
      </c>
      <c r="AD130">
        <v>2.2216074271870125</v>
      </c>
      <c r="AE130">
        <v>2.2171917690982887</v>
      </c>
      <c r="AG130">
        <v>0.86576771256102381</v>
      </c>
      <c r="AH130">
        <v>0.89970376840872512</v>
      </c>
      <c r="AI130">
        <v>0.90622832773697537</v>
      </c>
      <c r="AJ130">
        <v>0.97729234987096747</v>
      </c>
      <c r="AK130">
        <v>1.0107642139356952</v>
      </c>
      <c r="AL130">
        <v>0.90432236902957741</v>
      </c>
      <c r="AM130">
        <v>0.90023465911755041</v>
      </c>
      <c r="AO130">
        <v>134</v>
      </c>
      <c r="AP130">
        <v>16.931063736981372</v>
      </c>
      <c r="AQ130">
        <v>7.4361298436703311</v>
      </c>
      <c r="AR130">
        <v>7.7395305624900557</v>
      </c>
      <c r="AS130">
        <v>892.76723952414648</v>
      </c>
      <c r="AT130">
        <v>25.257126317302163</v>
      </c>
      <c r="AU130">
        <v>11.205139137146174</v>
      </c>
      <c r="AV130">
        <v>17.832022222466019</v>
      </c>
      <c r="AW130">
        <v>7.7510731453464325</v>
      </c>
      <c r="AX130">
        <v>8.1382071172396042</v>
      </c>
      <c r="AY130">
        <v>943.48491110386863</v>
      </c>
      <c r="AZ130">
        <v>25.294931783999665</v>
      </c>
      <c r="BA130">
        <v>11.13797266222185</v>
      </c>
      <c r="BB130">
        <v>19.179895760802655</v>
      </c>
      <c r="BC130">
        <v>8.14354885679594</v>
      </c>
      <c r="BD130">
        <v>8.7013340885286503</v>
      </c>
      <c r="BE130">
        <v>1018.7161621284994</v>
      </c>
      <c r="BF130">
        <v>25.55003182163269</v>
      </c>
      <c r="BG130">
        <v>11.066332505558201</v>
      </c>
      <c r="BH130">
        <v>20.427192307563793</v>
      </c>
      <c r="BI130">
        <v>8.6713172965250322</v>
      </c>
      <c r="BJ130">
        <v>9.3310730435690257</v>
      </c>
      <c r="BK130">
        <v>1093.5552670354543</v>
      </c>
      <c r="BL130">
        <v>25.701707061374034</v>
      </c>
      <c r="BM130">
        <v>11.138788424463833</v>
      </c>
      <c r="BN130">
        <v>20.9203131034675</v>
      </c>
      <c r="BO130">
        <v>8.8300012319782741</v>
      </c>
      <c r="BP130">
        <v>9.8742906991828843</v>
      </c>
      <c r="BQ130">
        <v>1203.0105167841739</v>
      </c>
      <c r="BR130">
        <v>24.471949492068187</v>
      </c>
      <c r="BS130">
        <v>10.576607575200496</v>
      </c>
      <c r="BU130">
        <v>134</v>
      </c>
      <c r="BV130">
        <v>16.196522227113306</v>
      </c>
      <c r="BW130">
        <v>6.5623482779259827</v>
      </c>
      <c r="BX130">
        <v>7.5000152703769531</v>
      </c>
      <c r="BY130">
        <v>892.71711357560116</v>
      </c>
      <c r="BZ130">
        <v>24.435728966111153</v>
      </c>
      <c r="CA130">
        <v>10.226979444408789</v>
      </c>
      <c r="CB130">
        <v>16.944108239524365</v>
      </c>
      <c r="CC130">
        <v>6.8502860161290702</v>
      </c>
      <c r="CD130">
        <v>7.8653783327379827</v>
      </c>
      <c r="CE130">
        <v>944.03228832680327</v>
      </c>
      <c r="CF130">
        <v>24.339710375149153</v>
      </c>
      <c r="CG130">
        <v>10.177323526618993</v>
      </c>
      <c r="CH130">
        <v>18.322976594219522</v>
      </c>
      <c r="CI130">
        <v>7.3610943215725717</v>
      </c>
      <c r="CJ130">
        <v>8.3988547185886713</v>
      </c>
      <c r="CK130">
        <v>1020.2760758804051</v>
      </c>
      <c r="CL130">
        <v>24.671078532632464</v>
      </c>
      <c r="CM130">
        <v>10.282508324645336</v>
      </c>
      <c r="CN130">
        <v>19.533824420756684</v>
      </c>
      <c r="CO130">
        <v>7.7749529187511159</v>
      </c>
      <c r="CP130">
        <v>9.0382984475836032</v>
      </c>
      <c r="CQ130">
        <v>1095.6203536411858</v>
      </c>
      <c r="CR130">
        <v>24.837863911090661</v>
      </c>
      <c r="CS130">
        <v>10.299659306884072</v>
      </c>
      <c r="CT130">
        <v>19.85488957733952</v>
      </c>
      <c r="CU130">
        <v>7.8390811010952506</v>
      </c>
      <c r="CV130">
        <v>9.4212243552239254</v>
      </c>
      <c r="CW130">
        <v>1205.4784857849183</v>
      </c>
      <c r="CX130">
        <v>23.538030262369837</v>
      </c>
      <c r="CY130">
        <v>9.7329401995447213</v>
      </c>
      <c r="DA130">
        <v>134</v>
      </c>
      <c r="DB130">
        <v>13.437726216437587</v>
      </c>
      <c r="DC130">
        <v>6.033200249847825</v>
      </c>
      <c r="DD130">
        <v>7.1174054859616307</v>
      </c>
      <c r="DE130">
        <v>930.990377880663</v>
      </c>
      <c r="DF130">
        <v>20.467877942460664</v>
      </c>
      <c r="DG130">
        <v>9.2381744714808605</v>
      </c>
      <c r="DH130">
        <v>14.051310290053296</v>
      </c>
      <c r="DI130">
        <v>6.7083092609084956</v>
      </c>
      <c r="DJ130">
        <v>7.4990341612662892</v>
      </c>
      <c r="DK130">
        <v>978.28111062597395</v>
      </c>
      <c r="DL130">
        <v>20.530575838616585</v>
      </c>
      <c r="DM130">
        <v>9.675894954773181</v>
      </c>
      <c r="DN130">
        <v>15.618851331698355</v>
      </c>
      <c r="DO130">
        <v>6.8579490181701441</v>
      </c>
      <c r="DP130">
        <v>8.0550784516489742</v>
      </c>
      <c r="DQ130">
        <v>1056.0117265236529</v>
      </c>
      <c r="DR130">
        <v>21.275507995021457</v>
      </c>
      <c r="DS130">
        <v>9.4580880963830882</v>
      </c>
      <c r="DT130">
        <v>16.785478446374917</v>
      </c>
      <c r="DU130">
        <v>7.7744759498475648</v>
      </c>
      <c r="DV130">
        <v>8.7874826743225789</v>
      </c>
      <c r="DW130">
        <v>1151.6647503347172</v>
      </c>
      <c r="DX130">
        <v>21.242747301650692</v>
      </c>
      <c r="DY130">
        <v>9.7980244685000031</v>
      </c>
      <c r="DZ130">
        <v>17.071106978735219</v>
      </c>
      <c r="EA130">
        <v>8.0135639163794927</v>
      </c>
      <c r="EB130">
        <v>9.1867521062920332</v>
      </c>
      <c r="EC130">
        <v>1266.1335716711922</v>
      </c>
      <c r="ED130">
        <v>20.211774691874815</v>
      </c>
      <c r="EE130">
        <v>9.4044839309883219</v>
      </c>
      <c r="EG130">
        <v>134</v>
      </c>
      <c r="EH130">
        <v>12.608885517820566</v>
      </c>
      <c r="EI130">
        <v>5.5413273946581691</v>
      </c>
      <c r="EJ130">
        <v>6.5462800453587962</v>
      </c>
      <c r="EK130">
        <v>945.00054834704724</v>
      </c>
      <c r="EL130">
        <v>19.287350418294253</v>
      </c>
      <c r="EM130">
        <v>8.5807132081831252</v>
      </c>
      <c r="EN130">
        <v>13.204827044811752</v>
      </c>
      <c r="EO130">
        <v>6.045208938362407</v>
      </c>
      <c r="EP130">
        <v>6.935101637710714</v>
      </c>
      <c r="EQ130">
        <v>992.85078350791275</v>
      </c>
      <c r="ER130">
        <v>19.376719651647182</v>
      </c>
      <c r="ES130">
        <v>8.8660301087827289</v>
      </c>
      <c r="ET130">
        <v>14.402380757988876</v>
      </c>
      <c r="EU130">
        <v>6.2068352287101503</v>
      </c>
      <c r="EV130">
        <v>7.4437391116595935</v>
      </c>
      <c r="EW130">
        <v>1026.7202181969735</v>
      </c>
      <c r="EX130">
        <v>20.697669121680836</v>
      </c>
      <c r="EY130">
        <v>9.0937511362254018</v>
      </c>
      <c r="EZ130">
        <v>15.152831333726944</v>
      </c>
      <c r="FA130">
        <v>7.1018557182733026</v>
      </c>
      <c r="FB130">
        <v>8.1202017642727089</v>
      </c>
      <c r="FC130">
        <v>1139.1903225725598</v>
      </c>
      <c r="FD130">
        <v>20.042196376257223</v>
      </c>
      <c r="FE130">
        <v>9.3148782617387074</v>
      </c>
      <c r="FF130">
        <v>15.320870150818738</v>
      </c>
      <c r="FG130">
        <v>7.2786323999963578</v>
      </c>
      <c r="FH130">
        <v>8.4935821549011354</v>
      </c>
      <c r="FI130">
        <v>1261.3793858947024</v>
      </c>
      <c r="FJ130">
        <v>18.900395804082496</v>
      </c>
      <c r="FK130">
        <v>8.8572886459205957</v>
      </c>
    </row>
    <row r="131" spans="2:167" x14ac:dyDescent="0.25">
      <c r="B131">
        <v>601.20625038839387</v>
      </c>
      <c r="C131">
        <v>1.6633226939240497</v>
      </c>
      <c r="D131">
        <v>645.69394725378049</v>
      </c>
      <c r="E131">
        <v>1.5487213474017045</v>
      </c>
      <c r="F131">
        <v>732.9125212748321</v>
      </c>
      <c r="G131">
        <v>1.3644193146824597</v>
      </c>
      <c r="H131">
        <v>821.81558446105635</v>
      </c>
      <c r="I131">
        <v>1.2168180050464683</v>
      </c>
      <c r="J131">
        <v>911.78290900060495</v>
      </c>
      <c r="K131">
        <v>1.0967522972064576</v>
      </c>
      <c r="L131">
        <v>690.73753805648187</v>
      </c>
      <c r="M131">
        <v>1.4477278921508818</v>
      </c>
      <c r="N131">
        <v>688.72549731865342</v>
      </c>
      <c r="O131">
        <v>1.4519572803579956</v>
      </c>
      <c r="Q131">
        <v>0.25800089044507335</v>
      </c>
      <c r="R131">
        <v>0.25859886261864617</v>
      </c>
      <c r="S131">
        <v>0.25829402370513971</v>
      </c>
      <c r="T131">
        <v>0.25930150395658813</v>
      </c>
      <c r="U131">
        <v>0.2596507347594843</v>
      </c>
      <c r="V131">
        <v>0.25845370846473065</v>
      </c>
      <c r="W131">
        <v>0.25835101084009648</v>
      </c>
      <c r="Y131">
        <v>2.1478538101915015</v>
      </c>
      <c r="Z131">
        <v>2.2065577053811301</v>
      </c>
      <c r="AA131">
        <v>2.234133780666002</v>
      </c>
      <c r="AB131">
        <v>2.3827331312248705</v>
      </c>
      <c r="AC131">
        <v>2.4483108740272961</v>
      </c>
      <c r="AD131">
        <v>2.2216074271870125</v>
      </c>
      <c r="AE131">
        <v>2.2171917690982887</v>
      </c>
      <c r="AG131">
        <v>0.86576771256102381</v>
      </c>
      <c r="AH131">
        <v>0.89970376840872512</v>
      </c>
      <c r="AI131">
        <v>0.90622832773697537</v>
      </c>
      <c r="AJ131">
        <v>0.97729234987096747</v>
      </c>
      <c r="AK131">
        <v>1.0107642139356952</v>
      </c>
      <c r="AL131">
        <v>0.90432236902957741</v>
      </c>
      <c r="AM131">
        <v>0.90023465911755041</v>
      </c>
      <c r="AO131">
        <v>135</v>
      </c>
      <c r="AP131">
        <v>16.931063736981372</v>
      </c>
      <c r="AQ131">
        <v>7.4361298436703311</v>
      </c>
      <c r="AR131">
        <v>7.7395305624900557</v>
      </c>
      <c r="AS131">
        <v>893.47098393988904</v>
      </c>
      <c r="AT131">
        <v>25.237232485355737</v>
      </c>
      <c r="AU131">
        <v>11.196313384282201</v>
      </c>
      <c r="AV131">
        <v>17.832022222466019</v>
      </c>
      <c r="AW131">
        <v>7.7510731453464325</v>
      </c>
      <c r="AX131">
        <v>8.1382071172396042</v>
      </c>
      <c r="AY131">
        <v>944.22971749012243</v>
      </c>
      <c r="AZ131">
        <v>25.274979195785583</v>
      </c>
      <c r="BA131">
        <v>11.129187053153334</v>
      </c>
      <c r="BB131">
        <v>19.179895760802655</v>
      </c>
      <c r="BC131">
        <v>8.14354885679594</v>
      </c>
      <c r="BD131">
        <v>8.7013340885286503</v>
      </c>
      <c r="BE131">
        <v>1019.5089053853743</v>
      </c>
      <c r="BF131">
        <v>25.530164790229094</v>
      </c>
      <c r="BG131">
        <v>11.057727617041998</v>
      </c>
      <c r="BH131">
        <v>20.427192307563793</v>
      </c>
      <c r="BI131">
        <v>8.6713172965250322</v>
      </c>
      <c r="BJ131">
        <v>9.3310730435690257</v>
      </c>
      <c r="BK131">
        <v>1094.4116329129654</v>
      </c>
      <c r="BL131">
        <v>25.681595739217705</v>
      </c>
      <c r="BM131">
        <v>11.130072436770851</v>
      </c>
      <c r="BN131">
        <v>20.9203131034675</v>
      </c>
      <c r="BO131">
        <v>8.8300012319782741</v>
      </c>
      <c r="BP131">
        <v>9.8742906991828843</v>
      </c>
      <c r="BQ131">
        <v>1203.9075213213894</v>
      </c>
      <c r="BR131">
        <v>24.453715990457699</v>
      </c>
      <c r="BS131">
        <v>10.568727181719035</v>
      </c>
      <c r="BU131">
        <v>135</v>
      </c>
      <c r="BV131">
        <v>16.196522227113306</v>
      </c>
      <c r="BW131">
        <v>6.5623482779259827</v>
      </c>
      <c r="BX131">
        <v>7.5000152703769531</v>
      </c>
      <c r="BY131">
        <v>893.45039149756678</v>
      </c>
      <c r="BZ131">
        <v>24.415673929224379</v>
      </c>
      <c r="CA131">
        <v>10.21858589698148</v>
      </c>
      <c r="CB131">
        <v>16.944108239524365</v>
      </c>
      <c r="CC131">
        <v>6.8539271970463043</v>
      </c>
      <c r="CD131">
        <v>7.8653783327379827</v>
      </c>
      <c r="CE131">
        <v>944.80466954399571</v>
      </c>
      <c r="CF131">
        <v>24.319812574332033</v>
      </c>
      <c r="CG131">
        <v>10.172857426109504</v>
      </c>
      <c r="CH131">
        <v>18.322976594219522</v>
      </c>
      <c r="CI131">
        <v>7.3610943215725717</v>
      </c>
      <c r="CJ131">
        <v>8.3988547185886713</v>
      </c>
      <c r="CK131">
        <v>1021.1014942508675</v>
      </c>
      <c r="CL131">
        <v>24.651135401068551</v>
      </c>
      <c r="CM131">
        <v>10.274196348496654</v>
      </c>
      <c r="CN131">
        <v>19.533824420756684</v>
      </c>
      <c r="CO131">
        <v>7.7751440625397477</v>
      </c>
      <c r="CP131">
        <v>9.0382984475836032</v>
      </c>
      <c r="CQ131">
        <v>1096.5129254973024</v>
      </c>
      <c r="CR131">
        <v>24.817645655767279</v>
      </c>
      <c r="CS131">
        <v>10.291449606818567</v>
      </c>
      <c r="CT131">
        <v>19.85488957733952</v>
      </c>
      <c r="CU131">
        <v>7.8416832473545641</v>
      </c>
      <c r="CV131">
        <v>9.4212243552239254</v>
      </c>
      <c r="CW131">
        <v>1206.4091616139035</v>
      </c>
      <c r="CX131">
        <v>23.519872015131558</v>
      </c>
      <c r="CY131">
        <v>9.7275887266491381</v>
      </c>
      <c r="DA131">
        <v>135</v>
      </c>
      <c r="DB131">
        <v>13.437726216437587</v>
      </c>
      <c r="DC131">
        <v>6.0353506595532913</v>
      </c>
      <c r="DD131">
        <v>7.1174054859616307</v>
      </c>
      <c r="DE131">
        <v>931.9019242946988</v>
      </c>
      <c r="DF131">
        <v>20.447857143860539</v>
      </c>
      <c r="DG131">
        <v>9.2314456355993428</v>
      </c>
      <c r="DH131">
        <v>14.051310290053296</v>
      </c>
      <c r="DI131">
        <v>6.7166495281524989</v>
      </c>
      <c r="DJ131">
        <v>7.4990341612662892</v>
      </c>
      <c r="DK131">
        <v>979.24189421102426</v>
      </c>
      <c r="DL131">
        <v>20.510432255734784</v>
      </c>
      <c r="DM131">
        <v>9.6749185118688601</v>
      </c>
      <c r="DN131">
        <v>15.618851331698355</v>
      </c>
      <c r="DO131">
        <v>6.8638846509724445</v>
      </c>
      <c r="DP131">
        <v>8.0550784516489742</v>
      </c>
      <c r="DQ131">
        <v>1057.0119343443575</v>
      </c>
      <c r="DR131">
        <v>21.255375838709252</v>
      </c>
      <c r="DS131">
        <v>9.4547537717968648</v>
      </c>
      <c r="DT131">
        <v>16.785478446374917</v>
      </c>
      <c r="DU131">
        <v>7.8009708246711202</v>
      </c>
      <c r="DV131">
        <v>8.7874826743225789</v>
      </c>
      <c r="DW131">
        <v>1152.7626862672696</v>
      </c>
      <c r="DX131">
        <v>21.222514884478919</v>
      </c>
      <c r="DY131">
        <v>9.8116762563996627</v>
      </c>
      <c r="DZ131">
        <v>17.071106978735219</v>
      </c>
      <c r="EA131">
        <v>8.0431476376837807</v>
      </c>
      <c r="EB131">
        <v>9.1867521062920332</v>
      </c>
      <c r="EC131">
        <v>1267.2820537270472</v>
      </c>
      <c r="ED131">
        <v>20.193457648338743</v>
      </c>
      <c r="EE131">
        <v>9.4193052884041624</v>
      </c>
      <c r="EG131">
        <v>135</v>
      </c>
      <c r="EH131">
        <v>12.608885517820566</v>
      </c>
      <c r="EI131">
        <v>5.5423515812589317</v>
      </c>
      <c r="EJ131">
        <v>6.5462800453587962</v>
      </c>
      <c r="EK131">
        <v>945.98581037660335</v>
      </c>
      <c r="EL131">
        <v>19.267262279751957</v>
      </c>
      <c r="EM131">
        <v>8.5728588997693311</v>
      </c>
      <c r="EN131">
        <v>13.204827044811752</v>
      </c>
      <c r="EO131">
        <v>6.0529898085340932</v>
      </c>
      <c r="EP131">
        <v>6.935101637710714</v>
      </c>
      <c r="EQ131">
        <v>993.88049797048211</v>
      </c>
      <c r="ER131">
        <v>19.356644312103647</v>
      </c>
      <c r="ES131">
        <v>8.8646731958946532</v>
      </c>
      <c r="ET131">
        <v>14.402380757988876</v>
      </c>
      <c r="EU131">
        <v>6.2122091921976761</v>
      </c>
      <c r="EV131">
        <v>7.4437391116595935</v>
      </c>
      <c r="EW131">
        <v>1027.712240170383</v>
      </c>
      <c r="EX131">
        <v>20.677690238716806</v>
      </c>
      <c r="EY131">
        <v>9.0902022464508452</v>
      </c>
      <c r="EZ131">
        <v>15.152831333726944</v>
      </c>
      <c r="FA131">
        <v>7.1255381760672423</v>
      </c>
      <c r="FB131">
        <v>8.1202017642727089</v>
      </c>
      <c r="FC131">
        <v>1140.330438274236</v>
      </c>
      <c r="FD131">
        <v>20.022157954044072</v>
      </c>
      <c r="FE131">
        <v>9.3263332035609192</v>
      </c>
      <c r="FF131">
        <v>15.320870150818738</v>
      </c>
      <c r="FG131">
        <v>7.3053071640453942</v>
      </c>
      <c r="FH131">
        <v>8.4935821549011354</v>
      </c>
      <c r="FI131">
        <v>1262.4680928908444</v>
      </c>
      <c r="FJ131">
        <v>18.884096783728928</v>
      </c>
      <c r="FK131">
        <v>8.8707794992968374</v>
      </c>
    </row>
    <row r="132" spans="2:167" x14ac:dyDescent="0.25">
      <c r="B132">
        <v>601.20625038839387</v>
      </c>
      <c r="C132">
        <v>1.6633226939240497</v>
      </c>
      <c r="D132">
        <v>645.69394725378049</v>
      </c>
      <c r="E132">
        <v>1.5487213474017045</v>
      </c>
      <c r="F132">
        <v>732.9125212748321</v>
      </c>
      <c r="G132">
        <v>1.3644193146824597</v>
      </c>
      <c r="H132">
        <v>821.81558446105635</v>
      </c>
      <c r="I132">
        <v>1.2168180050464683</v>
      </c>
      <c r="J132">
        <v>911.78290900060495</v>
      </c>
      <c r="K132">
        <v>1.0967522972064576</v>
      </c>
      <c r="L132">
        <v>690.73753805648187</v>
      </c>
      <c r="M132">
        <v>1.4477278921508818</v>
      </c>
      <c r="N132">
        <v>688.72549731865342</v>
      </c>
      <c r="O132">
        <v>1.4519572803579956</v>
      </c>
      <c r="Q132">
        <v>0.25987384587042556</v>
      </c>
      <c r="R132">
        <v>0.26047329751640619</v>
      </c>
      <c r="S132">
        <v>0.26016355196203944</v>
      </c>
      <c r="T132">
        <v>0.26117348831439297</v>
      </c>
      <c r="U132">
        <v>0.26152274506557782</v>
      </c>
      <c r="V132">
        <v>0.26032460604787583</v>
      </c>
      <c r="W132">
        <v>0.26022380883777729</v>
      </c>
      <c r="Y132">
        <v>2.1478538101915015</v>
      </c>
      <c r="Z132">
        <v>2.2065577053811301</v>
      </c>
      <c r="AA132">
        <v>2.234133780666002</v>
      </c>
      <c r="AB132">
        <v>2.3827331312248705</v>
      </c>
      <c r="AC132">
        <v>2.4483108740272961</v>
      </c>
      <c r="AD132">
        <v>2.2216074271870125</v>
      </c>
      <c r="AE132">
        <v>2.2171917690982887</v>
      </c>
      <c r="AG132">
        <v>0.86576771256102381</v>
      </c>
      <c r="AH132">
        <v>0.89970376840872512</v>
      </c>
      <c r="AI132">
        <v>0.90622832773697537</v>
      </c>
      <c r="AJ132">
        <v>0.97729234987096747</v>
      </c>
      <c r="AK132">
        <v>1.0107642139356952</v>
      </c>
      <c r="AL132">
        <v>0.90432236902957741</v>
      </c>
      <c r="AM132">
        <v>0.90023465911755041</v>
      </c>
      <c r="AO132">
        <v>136</v>
      </c>
      <c r="AP132">
        <v>16.931063736981372</v>
      </c>
      <c r="AQ132">
        <v>7.4361298436703311</v>
      </c>
      <c r="AR132">
        <v>7.7395305624900557</v>
      </c>
      <c r="AS132">
        <v>894.17584167892653</v>
      </c>
      <c r="AT132">
        <v>25.217338569863916</v>
      </c>
      <c r="AU132">
        <v>11.187487594353922</v>
      </c>
      <c r="AV132">
        <v>17.832022222466019</v>
      </c>
      <c r="AW132">
        <v>7.7510731453464325</v>
      </c>
      <c r="AX132">
        <v>8.1382071172396042</v>
      </c>
      <c r="AY132">
        <v>944.97570213543054</v>
      </c>
      <c r="AZ132">
        <v>25.255026570180576</v>
      </c>
      <c r="BA132">
        <v>11.120401427620685</v>
      </c>
      <c r="BB132">
        <v>19.179895760802655</v>
      </c>
      <c r="BC132">
        <v>8.14354885679594</v>
      </c>
      <c r="BD132">
        <v>8.7013340885286503</v>
      </c>
      <c r="BE132">
        <v>1020.302887525</v>
      </c>
      <c r="BF132">
        <v>25.510297655564493</v>
      </c>
      <c r="BG132">
        <v>11.049122683800974</v>
      </c>
      <c r="BH132">
        <v>20.427192307563793</v>
      </c>
      <c r="BI132">
        <v>8.6713172965250322</v>
      </c>
      <c r="BJ132">
        <v>9.3310730435690257</v>
      </c>
      <c r="BK132">
        <v>1095.2693373616535</v>
      </c>
      <c r="BL132">
        <v>25.661484504324566</v>
      </c>
      <c r="BM132">
        <v>11.121356486896607</v>
      </c>
      <c r="BN132">
        <v>20.9203131034675</v>
      </c>
      <c r="BO132">
        <v>8.8300012319782741</v>
      </c>
      <c r="BP132">
        <v>9.8742906991828843</v>
      </c>
      <c r="BQ132">
        <v>1204.8059279513914</v>
      </c>
      <c r="BR132">
        <v>24.43548120254346</v>
      </c>
      <c r="BS132">
        <v>10.560846232305977</v>
      </c>
      <c r="BU132">
        <v>136</v>
      </c>
      <c r="BV132">
        <v>16.196522227113306</v>
      </c>
      <c r="BW132">
        <v>6.5623482779259827</v>
      </c>
      <c r="BX132">
        <v>7.5000152703769531</v>
      </c>
      <c r="BY132">
        <v>894.18487338147702</v>
      </c>
      <c r="BZ132">
        <v>24.39561893755732</v>
      </c>
      <c r="CA132">
        <v>10.210192368479783</v>
      </c>
      <c r="CB132">
        <v>16.944108239524365</v>
      </c>
      <c r="CC132">
        <v>6.8568722472753834</v>
      </c>
      <c r="CD132">
        <v>7.8653783327379827</v>
      </c>
      <c r="CE132">
        <v>945.57831892645606</v>
      </c>
      <c r="CF132">
        <v>24.299914690039333</v>
      </c>
      <c r="CG132">
        <v>10.167648788667309</v>
      </c>
      <c r="CH132">
        <v>18.322976594219522</v>
      </c>
      <c r="CI132">
        <v>7.3610943215725717</v>
      </c>
      <c r="CJ132">
        <v>8.3988547185886713</v>
      </c>
      <c r="CK132">
        <v>1021.9282511606028</v>
      </c>
      <c r="CL132">
        <v>24.631192223548496</v>
      </c>
      <c r="CM132">
        <v>10.265884353194195</v>
      </c>
      <c r="CN132">
        <v>19.533824420756684</v>
      </c>
      <c r="CO132">
        <v>7.7751440625397477</v>
      </c>
      <c r="CP132">
        <v>9.0382984475836032</v>
      </c>
      <c r="CQ132">
        <v>1097.406944959901</v>
      </c>
      <c r="CR132">
        <v>24.797427578659207</v>
      </c>
      <c r="CS132">
        <v>10.283065518956626</v>
      </c>
      <c r="CT132">
        <v>19.85488957733952</v>
      </c>
      <c r="CU132">
        <v>7.8434296110684558</v>
      </c>
      <c r="CV132">
        <v>9.4212243552239254</v>
      </c>
      <c r="CW132">
        <v>1207.3413468478216</v>
      </c>
      <c r="CX132">
        <v>23.501712380780102</v>
      </c>
      <c r="CY132">
        <v>9.7215245337199114</v>
      </c>
      <c r="DA132">
        <v>136</v>
      </c>
      <c r="DB132">
        <v>13.437726216437587</v>
      </c>
      <c r="DC132">
        <v>6.0368732339289739</v>
      </c>
      <c r="DD132">
        <v>7.1174054859616307</v>
      </c>
      <c r="DE132">
        <v>932.81525654557265</v>
      </c>
      <c r="DF132">
        <v>20.427836365619939</v>
      </c>
      <c r="DG132">
        <v>9.2240392358894123</v>
      </c>
      <c r="DH132">
        <v>14.051310290053296</v>
      </c>
      <c r="DI132">
        <v>6.724372766262019</v>
      </c>
      <c r="DJ132">
        <v>7.4990341612662892</v>
      </c>
      <c r="DK132">
        <v>980.20456009487248</v>
      </c>
      <c r="DL132">
        <v>20.490288814049851</v>
      </c>
      <c r="DM132">
        <v>9.6732959159989615</v>
      </c>
      <c r="DN132">
        <v>15.618851331698355</v>
      </c>
      <c r="DO132">
        <v>6.8691361237226713</v>
      </c>
      <c r="DP132">
        <v>8.0550784516489742</v>
      </c>
      <c r="DQ132">
        <v>1058.01403242316</v>
      </c>
      <c r="DR132">
        <v>21.235243807715854</v>
      </c>
      <c r="DS132">
        <v>9.4507622199737114</v>
      </c>
      <c r="DT132">
        <v>16.785478446374917</v>
      </c>
      <c r="DU132">
        <v>7.8269964947664485</v>
      </c>
      <c r="DV132">
        <v>8.7874826743225789</v>
      </c>
      <c r="DW132">
        <v>1153.8627055375623</v>
      </c>
      <c r="DX132">
        <v>21.202282689413625</v>
      </c>
      <c r="DY132">
        <v>9.8248776858819653</v>
      </c>
      <c r="DZ132">
        <v>17.071106978735219</v>
      </c>
      <c r="EA132">
        <v>8.0722846356408962</v>
      </c>
      <c r="EB132">
        <v>9.1867521062920332</v>
      </c>
      <c r="EC132">
        <v>1268.4327150321103</v>
      </c>
      <c r="ED132">
        <v>20.175139112356497</v>
      </c>
      <c r="EE132">
        <v>9.433731412568509</v>
      </c>
      <c r="EG132">
        <v>136</v>
      </c>
      <c r="EH132">
        <v>12.608885517820566</v>
      </c>
      <c r="EI132">
        <v>5.5427807943530443</v>
      </c>
      <c r="EJ132">
        <v>6.5462800453587962</v>
      </c>
      <c r="EK132">
        <v>946.97312450426034</v>
      </c>
      <c r="EL132">
        <v>19.247174233156095</v>
      </c>
      <c r="EM132">
        <v>8.5643740849376044</v>
      </c>
      <c r="EN132">
        <v>13.204827044811752</v>
      </c>
      <c r="EO132">
        <v>6.0602197687656982</v>
      </c>
      <c r="EP132">
        <v>6.935101637710714</v>
      </c>
      <c r="EQ132">
        <v>994.91234652225717</v>
      </c>
      <c r="ER132">
        <v>19.336569050729633</v>
      </c>
      <c r="ES132">
        <v>8.862746352817231</v>
      </c>
      <c r="ET132">
        <v>14.402380757988876</v>
      </c>
      <c r="EU132">
        <v>6.2169639881922585</v>
      </c>
      <c r="EV132">
        <v>7.4437391116595935</v>
      </c>
      <c r="EW132">
        <v>1028.7061820058018</v>
      </c>
      <c r="EX132">
        <v>20.657711335364617</v>
      </c>
      <c r="EY132">
        <v>9.0860413534908773</v>
      </c>
      <c r="EZ132">
        <v>15.152831333726944</v>
      </c>
      <c r="FA132">
        <v>7.1487818093291233</v>
      </c>
      <c r="FB132">
        <v>8.1202017642727089</v>
      </c>
      <c r="FC132">
        <v>1141.4728361514069</v>
      </c>
      <c r="FD132">
        <v>20.00211957028349</v>
      </c>
      <c r="FE132">
        <v>9.3373621563398483</v>
      </c>
      <c r="FF132">
        <v>15.320870150818738</v>
      </c>
      <c r="FG132">
        <v>7.3315723256377003</v>
      </c>
      <c r="FH132">
        <v>8.4935821549011354</v>
      </c>
      <c r="FI132">
        <v>1263.5588837835876</v>
      </c>
      <c r="FJ132">
        <v>18.867794733184443</v>
      </c>
      <c r="FK132">
        <v>8.8839082868158386</v>
      </c>
    </row>
    <row r="133" spans="2:167" x14ac:dyDescent="0.25">
      <c r="B133">
        <v>601.20625038839387</v>
      </c>
      <c r="C133">
        <v>1.6633226939240497</v>
      </c>
      <c r="D133">
        <v>645.69394725378049</v>
      </c>
      <c r="E133">
        <v>1.5487213474017045</v>
      </c>
      <c r="F133">
        <v>732.9125212748321</v>
      </c>
      <c r="G133">
        <v>1.3644193146824597</v>
      </c>
      <c r="H133">
        <v>821.81558446105635</v>
      </c>
      <c r="I133">
        <v>1.2168180050464683</v>
      </c>
      <c r="J133">
        <v>911.78290900060495</v>
      </c>
      <c r="K133">
        <v>1.0967522972064576</v>
      </c>
      <c r="L133">
        <v>690.73753805648187</v>
      </c>
      <c r="M133">
        <v>1.4477278921508818</v>
      </c>
      <c r="N133">
        <v>688.72549731865342</v>
      </c>
      <c r="O133">
        <v>1.4519572803579956</v>
      </c>
      <c r="Q133">
        <v>0.26174680129577776</v>
      </c>
      <c r="R133">
        <v>0.2623477324141662</v>
      </c>
      <c r="S133">
        <v>0.26203308021893923</v>
      </c>
      <c r="T133">
        <v>0.2630454726721978</v>
      </c>
      <c r="U133">
        <v>0.26339475537167134</v>
      </c>
      <c r="V133">
        <v>0.26219550363102101</v>
      </c>
      <c r="W133">
        <v>0.2620966068354581</v>
      </c>
      <c r="Y133">
        <v>2.1478538101915015</v>
      </c>
      <c r="Z133">
        <v>2.2065577053811301</v>
      </c>
      <c r="AA133">
        <v>2.234133780666002</v>
      </c>
      <c r="AB133">
        <v>2.3827331312248705</v>
      </c>
      <c r="AC133">
        <v>2.4483108740272961</v>
      </c>
      <c r="AD133">
        <v>2.2216074271870125</v>
      </c>
      <c r="AE133">
        <v>2.2171917690982887</v>
      </c>
      <c r="AG133">
        <v>0.86576771256102381</v>
      </c>
      <c r="AH133">
        <v>0.89970376840872512</v>
      </c>
      <c r="AI133">
        <v>0.90622832773697537</v>
      </c>
      <c r="AJ133">
        <v>0.97729234987096747</v>
      </c>
      <c r="AK133">
        <v>1.0107642139356952</v>
      </c>
      <c r="AL133">
        <v>0.90432236902957741</v>
      </c>
      <c r="AM133">
        <v>0.90023465911755041</v>
      </c>
      <c r="AO133">
        <v>137</v>
      </c>
      <c r="AP133">
        <v>16.931063736981372</v>
      </c>
      <c r="AQ133">
        <v>7.4361298436703311</v>
      </c>
      <c r="AR133">
        <v>7.7395305624900557</v>
      </c>
      <c r="AS133">
        <v>894.88181538526544</v>
      </c>
      <c r="AT133">
        <v>25.197444570826168</v>
      </c>
      <c r="AU133">
        <v>11.178661767361106</v>
      </c>
      <c r="AV133">
        <v>17.832022222466019</v>
      </c>
      <c r="AW133">
        <v>7.7510731453464325</v>
      </c>
      <c r="AX133">
        <v>8.1382071172396042</v>
      </c>
      <c r="AY133">
        <v>945.7228678379563</v>
      </c>
      <c r="AZ133">
        <v>25.235073907184539</v>
      </c>
      <c r="BA133">
        <v>11.111615785623858</v>
      </c>
      <c r="BB133">
        <v>19.179895760802655</v>
      </c>
      <c r="BC133">
        <v>8.14354885679594</v>
      </c>
      <c r="BD133">
        <v>8.7013340885286503</v>
      </c>
      <c r="BE133">
        <v>1021.0981114537977</v>
      </c>
      <c r="BF133">
        <v>25.49043041763808</v>
      </c>
      <c r="BG133">
        <v>11.04051770583478</v>
      </c>
      <c r="BH133">
        <v>20.427192307563793</v>
      </c>
      <c r="BI133">
        <v>8.6713172965250322</v>
      </c>
      <c r="BJ133">
        <v>9.3310730435690257</v>
      </c>
      <c r="BK133">
        <v>1096.128383522421</v>
      </c>
      <c r="BL133">
        <v>25.641373356694032</v>
      </c>
      <c r="BM133">
        <v>11.112640574840855</v>
      </c>
      <c r="BN133">
        <v>20.9203131034675</v>
      </c>
      <c r="BO133">
        <v>8.8300012319782741</v>
      </c>
      <c r="BP133">
        <v>9.8742906991828843</v>
      </c>
      <c r="BQ133">
        <v>1205.7057399641326</v>
      </c>
      <c r="BR133">
        <v>24.41724512818935</v>
      </c>
      <c r="BS133">
        <v>10.55296472690249</v>
      </c>
      <c r="BU133">
        <v>137</v>
      </c>
      <c r="BV133">
        <v>16.196522227113306</v>
      </c>
      <c r="BW133">
        <v>6.5623482779259827</v>
      </c>
      <c r="BX133">
        <v>7.5000152703769531</v>
      </c>
      <c r="BY133">
        <v>894.92056219492849</v>
      </c>
      <c r="BZ133">
        <v>24.375563991109821</v>
      </c>
      <c r="CA133">
        <v>10.201798858903633</v>
      </c>
      <c r="CB133">
        <v>16.944108239524365</v>
      </c>
      <c r="CC133">
        <v>6.8591211668163092</v>
      </c>
      <c r="CD133">
        <v>7.8653783327379827</v>
      </c>
      <c r="CE133">
        <v>946.35323960003268</v>
      </c>
      <c r="CF133">
        <v>24.280016722270538</v>
      </c>
      <c r="CG133">
        <v>10.161699422752465</v>
      </c>
      <c r="CH133">
        <v>18.322976594219522</v>
      </c>
      <c r="CI133">
        <v>7.3610943215725717</v>
      </c>
      <c r="CJ133">
        <v>8.3988547185886713</v>
      </c>
      <c r="CK133">
        <v>1022.7563498682157</v>
      </c>
      <c r="CL133">
        <v>24.611249000072139</v>
      </c>
      <c r="CM133">
        <v>10.257572338737889</v>
      </c>
      <c r="CN133">
        <v>19.533824420756684</v>
      </c>
      <c r="CO133">
        <v>7.7751440625397477</v>
      </c>
      <c r="CP133">
        <v>9.0382984475836032</v>
      </c>
      <c r="CQ133">
        <v>1098.3024155535129</v>
      </c>
      <c r="CR133">
        <v>24.777209679764105</v>
      </c>
      <c r="CS133">
        <v>10.274681504996526</v>
      </c>
      <c r="CT133">
        <v>19.85488957733952</v>
      </c>
      <c r="CU133">
        <v>7.8443201922369239</v>
      </c>
      <c r="CV133">
        <v>9.4212243552239254</v>
      </c>
      <c r="CW133">
        <v>1208.2750451616666</v>
      </c>
      <c r="CX133">
        <v>23.483551359156529</v>
      </c>
      <c r="CY133">
        <v>9.7147492635283701</v>
      </c>
      <c r="DA133">
        <v>137</v>
      </c>
      <c r="DB133">
        <v>13.437726216437587</v>
      </c>
      <c r="DC133">
        <v>6.0377679729748763</v>
      </c>
      <c r="DD133">
        <v>7.1174054859616307</v>
      </c>
      <c r="DE133">
        <v>933.73037988645672</v>
      </c>
      <c r="DF133">
        <v>20.407815607738829</v>
      </c>
      <c r="DG133">
        <v>9.21595725128374</v>
      </c>
      <c r="DH133">
        <v>14.051310290053296</v>
      </c>
      <c r="DI133">
        <v>6.7314789752370574</v>
      </c>
      <c r="DJ133">
        <v>7.4990341612662892</v>
      </c>
      <c r="DK133">
        <v>981.16911381444118</v>
      </c>
      <c r="DL133">
        <v>20.470145513560301</v>
      </c>
      <c r="DM133">
        <v>9.6710290238292895</v>
      </c>
      <c r="DN133">
        <v>15.618851331698355</v>
      </c>
      <c r="DO133">
        <v>6.8737034364208256</v>
      </c>
      <c r="DP133">
        <v>8.0550784516489742</v>
      </c>
      <c r="DQ133">
        <v>1059.0180261236283</v>
      </c>
      <c r="DR133">
        <v>21.215111902040089</v>
      </c>
      <c r="DS133">
        <v>9.4461152801540571</v>
      </c>
      <c r="DT133">
        <v>16.785478446374917</v>
      </c>
      <c r="DU133">
        <v>7.8525529601335471</v>
      </c>
      <c r="DV133">
        <v>8.7874826743225789</v>
      </c>
      <c r="DW133">
        <v>1154.9648140809393</v>
      </c>
      <c r="DX133">
        <v>21.182050716451148</v>
      </c>
      <c r="DY133">
        <v>9.8376299217529581</v>
      </c>
      <c r="DZ133">
        <v>17.071106978735219</v>
      </c>
      <c r="EA133">
        <v>8.1009749102508373</v>
      </c>
      <c r="EB133">
        <v>9.1867521062920332</v>
      </c>
      <c r="EC133">
        <v>1269.5855617949724</v>
      </c>
      <c r="ED133">
        <v>20.156819083745674</v>
      </c>
      <c r="EE133">
        <v>9.4477632576251462</v>
      </c>
      <c r="EG133">
        <v>137</v>
      </c>
      <c r="EH133">
        <v>12.608885517820566</v>
      </c>
      <c r="EI133">
        <v>5.5427807943530443</v>
      </c>
      <c r="EJ133">
        <v>6.5462800453587962</v>
      </c>
      <c r="EK133">
        <v>947.96249714784869</v>
      </c>
      <c r="EL133">
        <v>19.227086278506036</v>
      </c>
      <c r="EM133">
        <v>8.5554355905830413</v>
      </c>
      <c r="EN133">
        <v>13.204827044811752</v>
      </c>
      <c r="EO133">
        <v>6.0668988190572168</v>
      </c>
      <c r="EP133">
        <v>6.935101637710714</v>
      </c>
      <c r="EQ133">
        <v>995.94633580448829</v>
      </c>
      <c r="ER133">
        <v>19.316493867524681</v>
      </c>
      <c r="ES133">
        <v>8.8602513042798829</v>
      </c>
      <c r="ET133">
        <v>14.402380757988876</v>
      </c>
      <c r="EU133">
        <v>6.2210996166938983</v>
      </c>
      <c r="EV133">
        <v>7.4437391116595935</v>
      </c>
      <c r="EW133">
        <v>1029.7020492818972</v>
      </c>
      <c r="EX133">
        <v>20.637732411624238</v>
      </c>
      <c r="EY133">
        <v>9.0812702036665396</v>
      </c>
      <c r="EZ133">
        <v>15.152831333726944</v>
      </c>
      <c r="FA133">
        <v>7.1715866180589378</v>
      </c>
      <c r="FB133">
        <v>8.1202017642727089</v>
      </c>
      <c r="FC133">
        <v>1142.6175230633007</v>
      </c>
      <c r="FD133">
        <v>19.982081224975381</v>
      </c>
      <c r="FE133">
        <v>9.3479662755952191</v>
      </c>
      <c r="FF133">
        <v>15.320870150818738</v>
      </c>
      <c r="FG133">
        <v>7.3574278847732772</v>
      </c>
      <c r="FH133">
        <v>8.4935821549011354</v>
      </c>
      <c r="FI133">
        <v>1264.6517645618508</v>
      </c>
      <c r="FJ133">
        <v>18.851489651603941</v>
      </c>
      <c r="FK133">
        <v>8.8966758383154048</v>
      </c>
    </row>
    <row r="134" spans="2:167" x14ac:dyDescent="0.25">
      <c r="B134">
        <v>601.20625038839387</v>
      </c>
      <c r="C134">
        <v>1.6633226939240497</v>
      </c>
      <c r="D134">
        <v>645.69394725378049</v>
      </c>
      <c r="E134">
        <v>1.5487213474017045</v>
      </c>
      <c r="F134">
        <v>732.9125212748321</v>
      </c>
      <c r="G134">
        <v>1.3644193146824597</v>
      </c>
      <c r="H134">
        <v>821.81558446105635</v>
      </c>
      <c r="I134">
        <v>1.2168180050464683</v>
      </c>
      <c r="J134">
        <v>911.78290900060495</v>
      </c>
      <c r="K134">
        <v>1.0967522972064576</v>
      </c>
      <c r="L134">
        <v>690.73753805648187</v>
      </c>
      <c r="M134">
        <v>1.4477278921508818</v>
      </c>
      <c r="N134">
        <v>688.72549731865342</v>
      </c>
      <c r="O134">
        <v>1.4519572803579956</v>
      </c>
      <c r="Q134">
        <v>0.26361975672112997</v>
      </c>
      <c r="R134">
        <v>0.26422216731192621</v>
      </c>
      <c r="S134">
        <v>0.26390260847583896</v>
      </c>
      <c r="T134">
        <v>0.26491745703000263</v>
      </c>
      <c r="U134">
        <v>0.26526676567776486</v>
      </c>
      <c r="V134">
        <v>0.26406640121416619</v>
      </c>
      <c r="W134">
        <v>0.26396940483313891</v>
      </c>
      <c r="Y134">
        <v>2.1478538101915015</v>
      </c>
      <c r="Z134">
        <v>2.2065577053811301</v>
      </c>
      <c r="AA134">
        <v>2.234133780666002</v>
      </c>
      <c r="AB134">
        <v>2.3827331312248705</v>
      </c>
      <c r="AC134">
        <v>2.4483108740272961</v>
      </c>
      <c r="AD134">
        <v>2.2216074271870125</v>
      </c>
      <c r="AE134">
        <v>2.2171917690982887</v>
      </c>
      <c r="AG134">
        <v>0.86576771256102381</v>
      </c>
      <c r="AH134">
        <v>0.89970376840872512</v>
      </c>
      <c r="AI134">
        <v>0.90622832773697537</v>
      </c>
      <c r="AJ134">
        <v>0.97729234987096747</v>
      </c>
      <c r="AK134">
        <v>1.0107642139356952</v>
      </c>
      <c r="AL134">
        <v>0.90432236902957741</v>
      </c>
      <c r="AM134">
        <v>0.90023465911755041</v>
      </c>
      <c r="AO134">
        <v>138</v>
      </c>
      <c r="AP134">
        <v>16.931063736981372</v>
      </c>
      <c r="AQ134">
        <v>7.4361298436703311</v>
      </c>
      <c r="AR134">
        <v>7.7395305624900557</v>
      </c>
      <c r="AS134">
        <v>895.58890771129154</v>
      </c>
      <c r="AT134">
        <v>25.17755048824197</v>
      </c>
      <c r="AU134">
        <v>11.16983590330352</v>
      </c>
      <c r="AV134">
        <v>17.832022222466019</v>
      </c>
      <c r="AW134">
        <v>7.7510731453464325</v>
      </c>
      <c r="AX134">
        <v>8.1382071172396042</v>
      </c>
      <c r="AY134">
        <v>946.47121740473051</v>
      </c>
      <c r="AZ134">
        <v>25.21512120679737</v>
      </c>
      <c r="BA134">
        <v>11.102830127162807</v>
      </c>
      <c r="BB134">
        <v>19.179895760802655</v>
      </c>
      <c r="BC134">
        <v>8.14354885679594</v>
      </c>
      <c r="BD134">
        <v>8.7013340885286503</v>
      </c>
      <c r="BE134">
        <v>1021.8945800872876</v>
      </c>
      <c r="BF134">
        <v>25.470563076449061</v>
      </c>
      <c r="BG134">
        <v>11.031912683143069</v>
      </c>
      <c r="BH134">
        <v>20.427192307563793</v>
      </c>
      <c r="BI134">
        <v>8.6713172965250322</v>
      </c>
      <c r="BJ134">
        <v>9.3310730435690257</v>
      </c>
      <c r="BK134">
        <v>1096.9887745460044</v>
      </c>
      <c r="BL134">
        <v>25.621262296325543</v>
      </c>
      <c r="BM134">
        <v>11.103924700603347</v>
      </c>
      <c r="BN134">
        <v>20.9203131034675</v>
      </c>
      <c r="BO134">
        <v>8.8300012319782741</v>
      </c>
      <c r="BP134">
        <v>9.8742906991828843</v>
      </c>
      <c r="BQ134">
        <v>1206.6069606598671</v>
      </c>
      <c r="BR134">
        <v>24.399007767259231</v>
      </c>
      <c r="BS134">
        <v>10.545082665449735</v>
      </c>
      <c r="BU134">
        <v>138</v>
      </c>
      <c r="BV134">
        <v>16.196522227113306</v>
      </c>
      <c r="BW134">
        <v>6.5623482779259827</v>
      </c>
      <c r="BX134">
        <v>7.5000152703769531</v>
      </c>
      <c r="BY134">
        <v>895.65746091527842</v>
      </c>
      <c r="BZ134">
        <v>24.355509089881732</v>
      </c>
      <c r="CA134">
        <v>10.193405368252964</v>
      </c>
      <c r="CB134">
        <v>16.944108239524365</v>
      </c>
      <c r="CC134">
        <v>6.8606739556690819</v>
      </c>
      <c r="CD134">
        <v>7.8653783327379827</v>
      </c>
      <c r="CE134">
        <v>947.12943470085588</v>
      </c>
      <c r="CF134">
        <v>24.260118671025108</v>
      </c>
      <c r="CG134">
        <v>10.155011136840196</v>
      </c>
      <c r="CH134">
        <v>18.322976594219522</v>
      </c>
      <c r="CI134">
        <v>7.3610943215725717</v>
      </c>
      <c r="CJ134">
        <v>8.3988547185886713</v>
      </c>
      <c r="CK134">
        <v>1023.5857936428962</v>
      </c>
      <c r="CL134">
        <v>24.591305730639323</v>
      </c>
      <c r="CM134">
        <v>10.249260305127672</v>
      </c>
      <c r="CN134">
        <v>19.533824420756684</v>
      </c>
      <c r="CO134">
        <v>7.7751440625397477</v>
      </c>
      <c r="CP134">
        <v>9.0382984475836032</v>
      </c>
      <c r="CQ134">
        <v>1099.1993408141213</v>
      </c>
      <c r="CR134">
        <v>24.756991959079595</v>
      </c>
      <c r="CS134">
        <v>10.26629756493729</v>
      </c>
      <c r="CT134">
        <v>19.85488957733952</v>
      </c>
      <c r="CU134">
        <v>7.8443549908599701</v>
      </c>
      <c r="CV134">
        <v>9.4212243552239254</v>
      </c>
      <c r="CW134">
        <v>1209.2102602423731</v>
      </c>
      <c r="CX134">
        <v>23.465388950101854</v>
      </c>
      <c r="CY134">
        <v>9.7072645590968367</v>
      </c>
      <c r="DA134">
        <v>138</v>
      </c>
      <c r="DB134">
        <v>13.437726216437587</v>
      </c>
      <c r="DC134">
        <v>6.0380348766909941</v>
      </c>
      <c r="DD134">
        <v>7.1174054859616307</v>
      </c>
      <c r="DE134">
        <v>934.64729959114732</v>
      </c>
      <c r="DF134">
        <v>20.387794870217189</v>
      </c>
      <c r="DG134">
        <v>9.2072016607109628</v>
      </c>
      <c r="DH134">
        <v>14.051310290053296</v>
      </c>
      <c r="DI134">
        <v>6.7379681550776143</v>
      </c>
      <c r="DJ134">
        <v>7.4990341612662892</v>
      </c>
      <c r="DK134">
        <v>982.13556092839053</v>
      </c>
      <c r="DL134">
        <v>20.450002354264651</v>
      </c>
      <c r="DM134">
        <v>9.6681196919996371</v>
      </c>
      <c r="DN134">
        <v>15.618851331698355</v>
      </c>
      <c r="DO134">
        <v>6.8775865890669055</v>
      </c>
      <c r="DP134">
        <v>8.0550784516489742</v>
      </c>
      <c r="DQ134">
        <v>1060.0239208296414</v>
      </c>
      <c r="DR134">
        <v>21.194980121680796</v>
      </c>
      <c r="DS134">
        <v>9.440814791555443</v>
      </c>
      <c r="DT134">
        <v>16.785478446374917</v>
      </c>
      <c r="DU134">
        <v>7.8776402207724168</v>
      </c>
      <c r="DV134">
        <v>8.7874826743225789</v>
      </c>
      <c r="DW134">
        <v>1156.0690178553111</v>
      </c>
      <c r="DX134">
        <v>21.161818965587837</v>
      </c>
      <c r="DY134">
        <v>9.849934128793107</v>
      </c>
      <c r="DZ134">
        <v>17.071106978735219</v>
      </c>
      <c r="EA134">
        <v>8.1292184615136076</v>
      </c>
      <c r="EB134">
        <v>9.1867521062920332</v>
      </c>
      <c r="EC134">
        <v>1270.7406002478313</v>
      </c>
      <c r="ED134">
        <v>20.138497562323831</v>
      </c>
      <c r="EE134">
        <v>9.461401777873359</v>
      </c>
      <c r="EG134">
        <v>138</v>
      </c>
      <c r="EH134">
        <v>12.608885517820566</v>
      </c>
      <c r="EI134">
        <v>5.5427807943530443</v>
      </c>
      <c r="EJ134">
        <v>6.5462800453587962</v>
      </c>
      <c r="EK134">
        <v>948.95393475198921</v>
      </c>
      <c r="EL134">
        <v>19.206998415801142</v>
      </c>
      <c r="EM134">
        <v>8.5464971371411238</v>
      </c>
      <c r="EN134">
        <v>13.204827044811752</v>
      </c>
      <c r="EO134">
        <v>6.0730269594086508</v>
      </c>
      <c r="EP134">
        <v>6.935101637710714</v>
      </c>
      <c r="EQ134">
        <v>996.98247248601137</v>
      </c>
      <c r="ER134">
        <v>19.296418762488329</v>
      </c>
      <c r="ES134">
        <v>8.8571897749985968</v>
      </c>
      <c r="ET134">
        <v>14.402380757988876</v>
      </c>
      <c r="EU134">
        <v>6.2246160777025912</v>
      </c>
      <c r="EV134">
        <v>7.4437391116595935</v>
      </c>
      <c r="EW134">
        <v>1030.699847598971</v>
      </c>
      <c r="EX134">
        <v>20.617753467495636</v>
      </c>
      <c r="EY134">
        <v>9.0758905433024335</v>
      </c>
      <c r="EZ134">
        <v>15.152831333726944</v>
      </c>
      <c r="FA134">
        <v>7.1939526022566929</v>
      </c>
      <c r="FB134">
        <v>8.1202017642727089</v>
      </c>
      <c r="FC134">
        <v>1143.7645058966621</v>
      </c>
      <c r="FD134">
        <v>19.962042918119625</v>
      </c>
      <c r="FE134">
        <v>9.3581467168423256</v>
      </c>
      <c r="FF134">
        <v>15.320870150818738</v>
      </c>
      <c r="FG134">
        <v>7.3828738414521258</v>
      </c>
      <c r="FH134">
        <v>8.4935821549011354</v>
      </c>
      <c r="FI134">
        <v>1265.7467412375236</v>
      </c>
      <c r="FJ134">
        <v>18.835181538141988</v>
      </c>
      <c r="FK134">
        <v>8.9090829839419587</v>
      </c>
    </row>
    <row r="135" spans="2:167" x14ac:dyDescent="0.25">
      <c r="B135">
        <v>601.20625038839387</v>
      </c>
      <c r="C135">
        <v>1.6633226939240497</v>
      </c>
      <c r="D135">
        <v>645.69394725378049</v>
      </c>
      <c r="E135">
        <v>1.5487213474017045</v>
      </c>
      <c r="F135">
        <v>732.9125212748321</v>
      </c>
      <c r="G135">
        <v>1.3644193146824597</v>
      </c>
      <c r="H135">
        <v>821.81558446105635</v>
      </c>
      <c r="I135">
        <v>1.2168180050464683</v>
      </c>
      <c r="J135">
        <v>911.78290900060495</v>
      </c>
      <c r="K135">
        <v>1.0967522972064576</v>
      </c>
      <c r="L135">
        <v>690.73753805648187</v>
      </c>
      <c r="M135">
        <v>1.4477278921508818</v>
      </c>
      <c r="N135">
        <v>688.72549731865342</v>
      </c>
      <c r="O135">
        <v>1.4519572803579956</v>
      </c>
      <c r="Q135">
        <v>0.26549271214648218</v>
      </c>
      <c r="R135">
        <v>0.26609660220968623</v>
      </c>
      <c r="S135">
        <v>0.2657721367327387</v>
      </c>
      <c r="T135">
        <v>0.26678944138780741</v>
      </c>
      <c r="U135">
        <v>0.26713877598385838</v>
      </c>
      <c r="V135">
        <v>0.26593729879731132</v>
      </c>
      <c r="W135">
        <v>0.26584220283081977</v>
      </c>
      <c r="Y135">
        <v>2.1478538101915015</v>
      </c>
      <c r="Z135">
        <v>2.2065577053811301</v>
      </c>
      <c r="AA135">
        <v>2.234133780666002</v>
      </c>
      <c r="AB135">
        <v>2.3827331312248705</v>
      </c>
      <c r="AC135">
        <v>2.4483108740272961</v>
      </c>
      <c r="AD135">
        <v>2.2216074271870125</v>
      </c>
      <c r="AE135">
        <v>2.2171917690982887</v>
      </c>
      <c r="AG135">
        <v>0.86576771256102381</v>
      </c>
      <c r="AH135">
        <v>0.89970376840872512</v>
      </c>
      <c r="AI135">
        <v>0.90622832773697537</v>
      </c>
      <c r="AJ135">
        <v>0.97729234987096747</v>
      </c>
      <c r="AK135">
        <v>1.0107642139356952</v>
      </c>
      <c r="AL135">
        <v>0.90432236902957741</v>
      </c>
      <c r="AM135">
        <v>0.90023465911755041</v>
      </c>
      <c r="AO135">
        <v>139</v>
      </c>
      <c r="AP135">
        <v>16.931063736981372</v>
      </c>
      <c r="AQ135">
        <v>7.4361298436703311</v>
      </c>
      <c r="AR135">
        <v>7.7395305624900557</v>
      </c>
      <c r="AS135">
        <v>896.29712131780252</v>
      </c>
      <c r="AT135">
        <v>25.157656322110796</v>
      </c>
      <c r="AU135">
        <v>11.161010002180928</v>
      </c>
      <c r="AV135">
        <v>17.832022222466019</v>
      </c>
      <c r="AW135">
        <v>7.7510731453464325</v>
      </c>
      <c r="AX135">
        <v>8.1382071172396042</v>
      </c>
      <c r="AY135">
        <v>947.22075365168644</v>
      </c>
      <c r="AZ135">
        <v>25.195168469018956</v>
      </c>
      <c r="BA135">
        <v>11.094044452237485</v>
      </c>
      <c r="BB135">
        <v>19.179895760802655</v>
      </c>
      <c r="BC135">
        <v>8.14354885679594</v>
      </c>
      <c r="BD135">
        <v>8.7013340885286503</v>
      </c>
      <c r="BE135">
        <v>1022.6922963501236</v>
      </c>
      <c r="BF135">
        <v>25.450695631996624</v>
      </c>
      <c r="BG135">
        <v>11.023307615725493</v>
      </c>
      <c r="BH135">
        <v>20.427192307563793</v>
      </c>
      <c r="BI135">
        <v>8.6713172965250322</v>
      </c>
      <c r="BJ135">
        <v>9.3310730435690257</v>
      </c>
      <c r="BK135">
        <v>1097.8505135930129</v>
      </c>
      <c r="BL135">
        <v>25.601151323218531</v>
      </c>
      <c r="BM135">
        <v>11.095208864183837</v>
      </c>
      <c r="BN135">
        <v>20.9203131034675</v>
      </c>
      <c r="BO135">
        <v>8.8300012319782741</v>
      </c>
      <c r="BP135">
        <v>9.8742906991828843</v>
      </c>
      <c r="BQ135">
        <v>1207.5095933491903</v>
      </c>
      <c r="BR135">
        <v>24.380769119616946</v>
      </c>
      <c r="BS135">
        <v>10.53720004788887</v>
      </c>
      <c r="BU135">
        <v>139</v>
      </c>
      <c r="BV135">
        <v>16.196522227113306</v>
      </c>
      <c r="BW135">
        <v>6.5623482779259827</v>
      </c>
      <c r="BX135">
        <v>7.5000152703769531</v>
      </c>
      <c r="BY135">
        <v>896.39557252968552</v>
      </c>
      <c r="BZ135">
        <v>24.335454233872898</v>
      </c>
      <c r="CA135">
        <v>10.185011896527714</v>
      </c>
      <c r="CB135">
        <v>16.944108239524365</v>
      </c>
      <c r="CC135">
        <v>6.8615306138337004</v>
      </c>
      <c r="CD135">
        <v>7.8653783327379827</v>
      </c>
      <c r="CE135">
        <v>947.90690737537943</v>
      </c>
      <c r="CF135">
        <v>24.240220536302527</v>
      </c>
      <c r="CG135">
        <v>10.147585739420903</v>
      </c>
      <c r="CH135">
        <v>18.322976594219522</v>
      </c>
      <c r="CI135">
        <v>7.3610943215725717</v>
      </c>
      <c r="CJ135">
        <v>8.3988547185886713</v>
      </c>
      <c r="CK135">
        <v>1024.4165857644632</v>
      </c>
      <c r="CL135">
        <v>24.571362415249897</v>
      </c>
      <c r="CM135">
        <v>10.240948252363479</v>
      </c>
      <c r="CN135">
        <v>19.533824420756684</v>
      </c>
      <c r="CO135">
        <v>7.7751440625397477</v>
      </c>
      <c r="CP135">
        <v>9.0382984475836032</v>
      </c>
      <c r="CQ135">
        <v>1100.0977242892063</v>
      </c>
      <c r="CR135">
        <v>24.736774416603343</v>
      </c>
      <c r="CS135">
        <v>10.257913698777942</v>
      </c>
      <c r="CT135">
        <v>19.85488957733952</v>
      </c>
      <c r="CU135">
        <v>7.8443549908599701</v>
      </c>
      <c r="CV135">
        <v>9.4212243552239254</v>
      </c>
      <c r="CW135">
        <v>1210.1469957888635</v>
      </c>
      <c r="CX135">
        <v>23.44722515345709</v>
      </c>
      <c r="CY135">
        <v>9.6997504803912467</v>
      </c>
      <c r="DA135">
        <v>139</v>
      </c>
      <c r="DB135">
        <v>13.437726216437587</v>
      </c>
      <c r="DC135">
        <v>6.0380348766909941</v>
      </c>
      <c r="DD135">
        <v>7.1174054859616307</v>
      </c>
      <c r="DE135">
        <v>935.56602095416542</v>
      </c>
      <c r="DF135">
        <v>20.367774153054977</v>
      </c>
      <c r="DG135">
        <v>9.1981602326664902</v>
      </c>
      <c r="DH135">
        <v>14.051310290053296</v>
      </c>
      <c r="DI135">
        <v>6.7438403057836913</v>
      </c>
      <c r="DJ135">
        <v>7.4990341612662892</v>
      </c>
      <c r="DK135">
        <v>983.10390701722497</v>
      </c>
      <c r="DL135">
        <v>20.429859336161417</v>
      </c>
      <c r="DM135">
        <v>9.6645697771237629</v>
      </c>
      <c r="DN135">
        <v>15.618851331698355</v>
      </c>
      <c r="DO135">
        <v>6.8807855816609145</v>
      </c>
      <c r="DP135">
        <v>8.0550784516489742</v>
      </c>
      <c r="DQ135">
        <v>1061.0317219454867</v>
      </c>
      <c r="DR135">
        <v>21.174848466636796</v>
      </c>
      <c r="DS135">
        <v>9.4348625933725003</v>
      </c>
      <c r="DT135">
        <v>16.785478446374917</v>
      </c>
      <c r="DU135">
        <v>7.9022582766830576</v>
      </c>
      <c r="DV135">
        <v>8.7874826743225789</v>
      </c>
      <c r="DW135">
        <v>1157.1753228412636</v>
      </c>
      <c r="DX135">
        <v>21.141587436820039</v>
      </c>
      <c r="DY135">
        <v>9.8617914717573232</v>
      </c>
      <c r="DZ135">
        <v>17.071106978735219</v>
      </c>
      <c r="EA135">
        <v>8.1570152894292036</v>
      </c>
      <c r="EB135">
        <v>9.1867521062920332</v>
      </c>
      <c r="EC135">
        <v>1271.8978366466035</v>
      </c>
      <c r="ED135">
        <v>20.120174547908498</v>
      </c>
      <c r="EE135">
        <v>9.4746479277679541</v>
      </c>
      <c r="EG135">
        <v>139</v>
      </c>
      <c r="EH135">
        <v>12.608885517820566</v>
      </c>
      <c r="EI135">
        <v>5.5427807943530443</v>
      </c>
      <c r="EJ135">
        <v>6.5462800453587962</v>
      </c>
      <c r="EK135">
        <v>949.94744378823214</v>
      </c>
      <c r="EL135">
        <v>19.18691064504079</v>
      </c>
      <c r="EM135">
        <v>8.5375587246115696</v>
      </c>
      <c r="EN135">
        <v>13.204827044811752</v>
      </c>
      <c r="EO135">
        <v>6.0786041898200018</v>
      </c>
      <c r="EP135">
        <v>6.935101637710714</v>
      </c>
      <c r="EQ135">
        <v>998.02076326339045</v>
      </c>
      <c r="ER135">
        <v>19.276343735620127</v>
      </c>
      <c r="ES135">
        <v>8.8535634896759419</v>
      </c>
      <c r="ET135">
        <v>14.402380757988876</v>
      </c>
      <c r="EU135">
        <v>6.2275133712183406</v>
      </c>
      <c r="EV135">
        <v>7.4437391116595935</v>
      </c>
      <c r="EW135">
        <v>1031.6995825790643</v>
      </c>
      <c r="EX135">
        <v>20.597774502978787</v>
      </c>
      <c r="EY135">
        <v>9.0699041187267362</v>
      </c>
      <c r="EZ135">
        <v>15.152831333726944</v>
      </c>
      <c r="FA135">
        <v>7.2158797619223831</v>
      </c>
      <c r="FB135">
        <v>8.1202017642727089</v>
      </c>
      <c r="FC135">
        <v>1144.9137915658885</v>
      </c>
      <c r="FD135">
        <v>19.942004649716118</v>
      </c>
      <c r="FE135">
        <v>9.367904635592021</v>
      </c>
      <c r="FF135">
        <v>15.320870150818738</v>
      </c>
      <c r="FG135">
        <v>7.4079101956742432</v>
      </c>
      <c r="FH135">
        <v>8.4935821549011354</v>
      </c>
      <c r="FI135">
        <v>1266.8438198455763</v>
      </c>
      <c r="FJ135">
        <v>18.818870391952871</v>
      </c>
      <c r="FK135">
        <v>8.9211305541506771</v>
      </c>
    </row>
    <row r="136" spans="2:167" x14ac:dyDescent="0.25">
      <c r="B136">
        <v>601.20625038839387</v>
      </c>
      <c r="C136">
        <v>1.6633226939240497</v>
      </c>
      <c r="D136">
        <v>645.69394725378049</v>
      </c>
      <c r="E136">
        <v>1.5487213474017045</v>
      </c>
      <c r="F136">
        <v>732.9125212748321</v>
      </c>
      <c r="G136">
        <v>1.3644193146824597</v>
      </c>
      <c r="H136">
        <v>821.81558446105635</v>
      </c>
      <c r="I136">
        <v>1.2168180050464683</v>
      </c>
      <c r="J136">
        <v>911.78290900060495</v>
      </c>
      <c r="K136">
        <v>1.0967522972064576</v>
      </c>
      <c r="L136">
        <v>690.73753805648187</v>
      </c>
      <c r="M136">
        <v>1.4477278921508818</v>
      </c>
      <c r="N136">
        <v>688.72549731865342</v>
      </c>
      <c r="O136">
        <v>1.4519572803579956</v>
      </c>
      <c r="Q136">
        <v>0.26736566757183439</v>
      </c>
      <c r="R136">
        <v>0.26797103710744624</v>
      </c>
      <c r="S136">
        <v>0.26764166498963848</v>
      </c>
      <c r="T136">
        <v>0.26866142574561225</v>
      </c>
      <c r="U136">
        <v>0.26901078628995184</v>
      </c>
      <c r="V136">
        <v>0.2678081963804565</v>
      </c>
      <c r="W136">
        <v>0.26771500082850058</v>
      </c>
      <c r="Y136">
        <v>2.1478538101915015</v>
      </c>
      <c r="Z136">
        <v>2.2065577053811301</v>
      </c>
      <c r="AA136">
        <v>2.234133780666002</v>
      </c>
      <c r="AB136">
        <v>2.3827331312248705</v>
      </c>
      <c r="AC136">
        <v>2.4483108740272961</v>
      </c>
      <c r="AD136">
        <v>2.2216074271870125</v>
      </c>
      <c r="AE136">
        <v>2.2171917690982887</v>
      </c>
      <c r="AG136">
        <v>0.86576771256102381</v>
      </c>
      <c r="AH136">
        <v>0.89970376840872512</v>
      </c>
      <c r="AI136">
        <v>0.90622832773697537</v>
      </c>
      <c r="AJ136">
        <v>0.97729234987096747</v>
      </c>
      <c r="AK136">
        <v>1.0107642139356952</v>
      </c>
      <c r="AL136">
        <v>0.90432236902957741</v>
      </c>
      <c r="AM136">
        <v>0.90023465911755041</v>
      </c>
      <c r="AO136">
        <v>140</v>
      </c>
      <c r="AP136">
        <v>16.931063736981372</v>
      </c>
      <c r="AQ136">
        <v>7.4361298436703311</v>
      </c>
      <c r="AR136">
        <v>7.7395305624900557</v>
      </c>
      <c r="AS136">
        <v>897.00645887404141</v>
      </c>
      <c r="AT136">
        <v>25.137762072432125</v>
      </c>
      <c r="AU136">
        <v>11.152184063993099</v>
      </c>
      <c r="AV136">
        <v>17.832022222466019</v>
      </c>
      <c r="AW136">
        <v>7.7510731453464325</v>
      </c>
      <c r="AX136">
        <v>8.1382071172396042</v>
      </c>
      <c r="AY136">
        <v>947.97147940369484</v>
      </c>
      <c r="AZ136">
        <v>25.1752156938492</v>
      </c>
      <c r="BA136">
        <v>11.085258760847845</v>
      </c>
      <c r="BB136">
        <v>19.179895760802655</v>
      </c>
      <c r="BC136">
        <v>8.14354885679594</v>
      </c>
      <c r="BD136">
        <v>8.7013340885286503</v>
      </c>
      <c r="BE136">
        <v>1023.4912631761292</v>
      </c>
      <c r="BF136">
        <v>25.430828084279966</v>
      </c>
      <c r="BG136">
        <v>11.014702503581704</v>
      </c>
      <c r="BH136">
        <v>20.427192307563793</v>
      </c>
      <c r="BI136">
        <v>8.6713172965250322</v>
      </c>
      <c r="BJ136">
        <v>9.3310730435690257</v>
      </c>
      <c r="BK136">
        <v>1098.7136038339672</v>
      </c>
      <c r="BL136">
        <v>25.581040437372426</v>
      </c>
      <c r="BM136">
        <v>11.086493065582079</v>
      </c>
      <c r="BN136">
        <v>20.9203131034675</v>
      </c>
      <c r="BO136">
        <v>8.8300012319782741</v>
      </c>
      <c r="BP136">
        <v>9.8742906991828843</v>
      </c>
      <c r="BQ136">
        <v>1208.4136413530791</v>
      </c>
      <c r="BR136">
        <v>24.362529185126313</v>
      </c>
      <c r="BS136">
        <v>10.529316874161035</v>
      </c>
      <c r="BU136">
        <v>140</v>
      </c>
      <c r="BV136">
        <v>16.196522227113306</v>
      </c>
      <c r="BW136">
        <v>6.5623482779259827</v>
      </c>
      <c r="BX136">
        <v>7.5000152703769531</v>
      </c>
      <c r="BY136">
        <v>897.13490003514983</v>
      </c>
      <c r="BZ136">
        <v>24.315399423083168</v>
      </c>
      <c r="CA136">
        <v>10.176618443727818</v>
      </c>
      <c r="CB136">
        <v>16.944108239524365</v>
      </c>
      <c r="CC136">
        <v>6.8616911413101667</v>
      </c>
      <c r="CD136">
        <v>7.8653783327379827</v>
      </c>
      <c r="CE136">
        <v>948.68566078042352</v>
      </c>
      <c r="CF136">
        <v>24.220322318102269</v>
      </c>
      <c r="CG136">
        <v>10.139425039000157</v>
      </c>
      <c r="CH136">
        <v>18.322976594219522</v>
      </c>
      <c r="CI136">
        <v>7.3610943215725717</v>
      </c>
      <c r="CJ136">
        <v>8.3988547185886713</v>
      </c>
      <c r="CK136">
        <v>1025.2487295234082</v>
      </c>
      <c r="CL136">
        <v>24.55141905390369</v>
      </c>
      <c r="CM136">
        <v>10.232636180445239</v>
      </c>
      <c r="CN136">
        <v>19.533824420756684</v>
      </c>
      <c r="CO136">
        <v>7.7751440625397477</v>
      </c>
      <c r="CP136">
        <v>9.0382984475836032</v>
      </c>
      <c r="CQ136">
        <v>1100.9975695377927</v>
      </c>
      <c r="CR136">
        <v>24.716557052332973</v>
      </c>
      <c r="CS136">
        <v>10.2495299065175</v>
      </c>
      <c r="CT136">
        <v>19.85488957733952</v>
      </c>
      <c r="CU136">
        <v>7.8443549908599701</v>
      </c>
      <c r="CV136">
        <v>9.4212243552239254</v>
      </c>
      <c r="CW136">
        <v>1211.0852555120975</v>
      </c>
      <c r="CX136">
        <v>23.429059969063211</v>
      </c>
      <c r="CY136">
        <v>9.6922358275955407</v>
      </c>
      <c r="DA136">
        <v>140</v>
      </c>
      <c r="DB136">
        <v>13.437726216437587</v>
      </c>
      <c r="DC136">
        <v>6.0380348766909941</v>
      </c>
      <c r="DD136">
        <v>7.1174054859616307</v>
      </c>
      <c r="DE136">
        <v>936.48654929085899</v>
      </c>
      <c r="DF136">
        <v>20.347753456252164</v>
      </c>
      <c r="DG136">
        <v>9.1891188138163979</v>
      </c>
      <c r="DH136">
        <v>14.051310290053296</v>
      </c>
      <c r="DI136">
        <v>6.7490954273552832</v>
      </c>
      <c r="DJ136">
        <v>7.4990341612662892</v>
      </c>
      <c r="DK136">
        <v>984.07415768340127</v>
      </c>
      <c r="DL136">
        <v>20.409716459249108</v>
      </c>
      <c r="DM136">
        <v>9.660381135789379</v>
      </c>
      <c r="DN136">
        <v>15.618851331698355</v>
      </c>
      <c r="DO136">
        <v>6.8833004142028509</v>
      </c>
      <c r="DP136">
        <v>8.0550784516489742</v>
      </c>
      <c r="DQ136">
        <v>1062.0414348959548</v>
      </c>
      <c r="DR136">
        <v>21.154716936906922</v>
      </c>
      <c r="DS136">
        <v>9.4282605247769684</v>
      </c>
      <c r="DT136">
        <v>16.785478446374917</v>
      </c>
      <c r="DU136">
        <v>7.9264071278654704</v>
      </c>
      <c r="DV136">
        <v>8.7874826743225789</v>
      </c>
      <c r="DW136">
        <v>1158.2837350421655</v>
      </c>
      <c r="DX136">
        <v>21.121356130144083</v>
      </c>
      <c r="DY136">
        <v>9.873203115374924</v>
      </c>
      <c r="DZ136">
        <v>17.071106978735219</v>
      </c>
      <c r="EA136">
        <v>8.1843653939976289</v>
      </c>
      <c r="EB136">
        <v>9.1867521062920332</v>
      </c>
      <c r="EC136">
        <v>1273.0572772710375</v>
      </c>
      <c r="ED136">
        <v>20.101850040317171</v>
      </c>
      <c r="EE136">
        <v>9.4875026619193061</v>
      </c>
      <c r="EG136">
        <v>140</v>
      </c>
      <c r="EH136">
        <v>12.608885517820566</v>
      </c>
      <c r="EI136">
        <v>5.5427807943530443</v>
      </c>
      <c r="EJ136">
        <v>6.5462800453587962</v>
      </c>
      <c r="EK136">
        <v>950.94303075519838</v>
      </c>
      <c r="EL136">
        <v>19.166822966224345</v>
      </c>
      <c r="EM136">
        <v>8.5286203529940998</v>
      </c>
      <c r="EN136">
        <v>13.204827044811752</v>
      </c>
      <c r="EO136">
        <v>6.0836305102912647</v>
      </c>
      <c r="EP136">
        <v>6.935101637710714</v>
      </c>
      <c r="EQ136">
        <v>999.06121486106281</v>
      </c>
      <c r="ER136">
        <v>19.256268786919616</v>
      </c>
      <c r="ES136">
        <v>8.849374173001042</v>
      </c>
      <c r="ET136">
        <v>14.402380757988876</v>
      </c>
      <c r="EU136">
        <v>6.2297914972411457</v>
      </c>
      <c r="EV136">
        <v>7.4437391116595935</v>
      </c>
      <c r="EW136">
        <v>1032.7012598660642</v>
      </c>
      <c r="EX136">
        <v>20.57779551807365</v>
      </c>
      <c r="EY136">
        <v>9.0633126762711775</v>
      </c>
      <c r="EZ136">
        <v>15.152831333726944</v>
      </c>
      <c r="FA136">
        <v>7.237368097056013</v>
      </c>
      <c r="FB136">
        <v>8.1202017642727089</v>
      </c>
      <c r="FC136">
        <v>1146.06538701317</v>
      </c>
      <c r="FD136">
        <v>19.921966419764743</v>
      </c>
      <c r="FE136">
        <v>9.377241187350732</v>
      </c>
      <c r="FF136">
        <v>15.320870150818738</v>
      </c>
      <c r="FG136">
        <v>7.4325369474396323</v>
      </c>
      <c r="FH136">
        <v>8.4935821549011354</v>
      </c>
      <c r="FI136">
        <v>1267.9430064441713</v>
      </c>
      <c r="FJ136">
        <v>18.802556212190531</v>
      </c>
      <c r="FK136">
        <v>8.9328193797056308</v>
      </c>
    </row>
    <row r="137" spans="2:167" x14ac:dyDescent="0.25">
      <c r="B137">
        <v>601.20625038839387</v>
      </c>
      <c r="C137">
        <v>1.6633226939240497</v>
      </c>
      <c r="D137">
        <v>645.69394725378049</v>
      </c>
      <c r="E137">
        <v>1.5487213474017045</v>
      </c>
      <c r="F137">
        <v>732.9125212748321</v>
      </c>
      <c r="G137">
        <v>1.3644193146824597</v>
      </c>
      <c r="H137">
        <v>821.81558446105635</v>
      </c>
      <c r="I137">
        <v>1.2168180050464683</v>
      </c>
      <c r="J137">
        <v>911.78290900060495</v>
      </c>
      <c r="K137">
        <v>1.0967522972064576</v>
      </c>
      <c r="L137">
        <v>690.73753805648187</v>
      </c>
      <c r="M137">
        <v>1.4477278921508818</v>
      </c>
      <c r="N137">
        <v>688.72549731865342</v>
      </c>
      <c r="O137">
        <v>1.4519572803579956</v>
      </c>
      <c r="Q137">
        <v>0.26923862299718659</v>
      </c>
      <c r="R137">
        <v>0.2698454720052062</v>
      </c>
      <c r="S137">
        <v>0.26951119324653822</v>
      </c>
      <c r="T137">
        <v>0.27053341010341708</v>
      </c>
      <c r="U137">
        <v>0.27088279659604536</v>
      </c>
      <c r="V137">
        <v>0.26967909396360168</v>
      </c>
      <c r="W137">
        <v>0.26958779882618139</v>
      </c>
      <c r="Y137">
        <v>2.1478538101915015</v>
      </c>
      <c r="Z137">
        <v>2.2065577053811301</v>
      </c>
      <c r="AA137">
        <v>2.234133780666002</v>
      </c>
      <c r="AB137">
        <v>2.3827331312248705</v>
      </c>
      <c r="AC137">
        <v>2.4483108740272961</v>
      </c>
      <c r="AD137">
        <v>2.2216074271870125</v>
      </c>
      <c r="AE137">
        <v>2.2171917690982887</v>
      </c>
      <c r="AG137">
        <v>0.86576771256102381</v>
      </c>
      <c r="AH137">
        <v>0.89970376840872512</v>
      </c>
      <c r="AI137">
        <v>0.90622832773697537</v>
      </c>
      <c r="AJ137">
        <v>0.97729234987096747</v>
      </c>
      <c r="AK137">
        <v>1.0107642139356952</v>
      </c>
      <c r="AL137">
        <v>0.90432236902957741</v>
      </c>
      <c r="AM137">
        <v>0.90023465911755041</v>
      </c>
      <c r="AO137">
        <v>141</v>
      </c>
      <c r="AP137">
        <v>16.931063736981372</v>
      </c>
      <c r="AQ137">
        <v>7.4361298436703311</v>
      </c>
      <c r="AR137">
        <v>7.7395305624900557</v>
      </c>
      <c r="AS137">
        <v>897.71692305773058</v>
      </c>
      <c r="AT137">
        <v>25.117867739205419</v>
      </c>
      <c r="AU137">
        <v>11.143358088739799</v>
      </c>
      <c r="AV137">
        <v>17.832022222466019</v>
      </c>
      <c r="AW137">
        <v>7.7510731453464325</v>
      </c>
      <c r="AX137">
        <v>8.1382071172396042</v>
      </c>
      <c r="AY137">
        <v>948.72339749459979</v>
      </c>
      <c r="AZ137">
        <v>25.155262881287996</v>
      </c>
      <c r="BA137">
        <v>11.076473052993844</v>
      </c>
      <c r="BB137">
        <v>19.179895760802655</v>
      </c>
      <c r="BC137">
        <v>8.14354885679594</v>
      </c>
      <c r="BD137">
        <v>8.7013340885286503</v>
      </c>
      <c r="BE137">
        <v>1024.2914835083345</v>
      </c>
      <c r="BF137">
        <v>25.410960433298282</v>
      </c>
      <c r="BG137">
        <v>11.006097346711346</v>
      </c>
      <c r="BH137">
        <v>20.427192307563793</v>
      </c>
      <c r="BI137">
        <v>8.6713172965250322</v>
      </c>
      <c r="BJ137">
        <v>9.3310730435690257</v>
      </c>
      <c r="BK137">
        <v>1099.5780484493387</v>
      </c>
      <c r="BL137">
        <v>25.560929638786668</v>
      </c>
      <c r="BM137">
        <v>11.077777304797831</v>
      </c>
      <c r="BN137">
        <v>20.9203131034675</v>
      </c>
      <c r="BO137">
        <v>8.8300012319782741</v>
      </c>
      <c r="BP137">
        <v>9.8742906991828843</v>
      </c>
      <c r="BQ137">
        <v>1209.3191080029339</v>
      </c>
      <c r="BR137">
        <v>24.344287963651134</v>
      </c>
      <c r="BS137">
        <v>10.521433144207366</v>
      </c>
      <c r="BU137">
        <v>141</v>
      </c>
      <c r="BV137">
        <v>16.196522227113306</v>
      </c>
      <c r="BW137">
        <v>6.5623482779259827</v>
      </c>
      <c r="BX137">
        <v>7.5000152703769531</v>
      </c>
      <c r="BY137">
        <v>897.87544643855347</v>
      </c>
      <c r="BZ137">
        <v>24.295344657512384</v>
      </c>
      <c r="CA137">
        <v>10.168225009853213</v>
      </c>
      <c r="CB137">
        <v>16.944108239524365</v>
      </c>
      <c r="CC137">
        <v>6.8616911413101667</v>
      </c>
      <c r="CD137">
        <v>7.8653783327379827</v>
      </c>
      <c r="CE137">
        <v>949.4656980832176</v>
      </c>
      <c r="CF137">
        <v>24.200424016423803</v>
      </c>
      <c r="CG137">
        <v>10.131094954221666</v>
      </c>
      <c r="CH137">
        <v>18.322976594219522</v>
      </c>
      <c r="CI137">
        <v>7.3610943215725717</v>
      </c>
      <c r="CJ137">
        <v>8.3988547185886713</v>
      </c>
      <c r="CK137">
        <v>1026.0822282209376</v>
      </c>
      <c r="CL137">
        <v>24.531475646600544</v>
      </c>
      <c r="CM137">
        <v>10.224324089372887</v>
      </c>
      <c r="CN137">
        <v>19.533824420756684</v>
      </c>
      <c r="CO137">
        <v>7.7751440625397477</v>
      </c>
      <c r="CP137">
        <v>9.0382984475836032</v>
      </c>
      <c r="CQ137">
        <v>1101.8988801304963</v>
      </c>
      <c r="CR137">
        <v>24.696339866266143</v>
      </c>
      <c r="CS137">
        <v>10.241146188154993</v>
      </c>
      <c r="CT137">
        <v>19.85488957733952</v>
      </c>
      <c r="CU137">
        <v>7.8443549908599701</v>
      </c>
      <c r="CV137">
        <v>9.4212243552239254</v>
      </c>
      <c r="CW137">
        <v>1212.025043135121</v>
      </c>
      <c r="CX137">
        <v>23.410893396761168</v>
      </c>
      <c r="CY137">
        <v>9.6847206006439279</v>
      </c>
      <c r="DA137">
        <v>141</v>
      </c>
      <c r="DB137">
        <v>13.437726216437587</v>
      </c>
      <c r="DC137">
        <v>6.0380348766909941</v>
      </c>
      <c r="DD137">
        <v>7.1174054859616307</v>
      </c>
      <c r="DE137">
        <v>937.40888993750548</v>
      </c>
      <c r="DF137">
        <v>20.327732779808727</v>
      </c>
      <c r="DG137">
        <v>9.1800774041606683</v>
      </c>
      <c r="DH137">
        <v>14.051310290053296</v>
      </c>
      <c r="DI137">
        <v>6.7537335197923936</v>
      </c>
      <c r="DJ137">
        <v>7.4990341612662892</v>
      </c>
      <c r="DK137">
        <v>985.04631855143543</v>
      </c>
      <c r="DL137">
        <v>20.389573723526254</v>
      </c>
      <c r="DM137">
        <v>9.6555556245582039</v>
      </c>
      <c r="DN137">
        <v>15.618851331698355</v>
      </c>
      <c r="DO137">
        <v>6.885131086692712</v>
      </c>
      <c r="DP137">
        <v>8.0550784516489742</v>
      </c>
      <c r="DQ137">
        <v>1063.0530651264387</v>
      </c>
      <c r="DR137">
        <v>21.134585532490007</v>
      </c>
      <c r="DS137">
        <v>9.4210104249176876</v>
      </c>
      <c r="DT137">
        <v>16.785478446374917</v>
      </c>
      <c r="DU137">
        <v>7.950086774319657</v>
      </c>
      <c r="DV137">
        <v>8.7874826743225789</v>
      </c>
      <c r="DW137">
        <v>1159.3942604842771</v>
      </c>
      <c r="DX137">
        <v>21.101125045556319</v>
      </c>
      <c r="DY137">
        <v>9.8841702243496705</v>
      </c>
      <c r="DZ137">
        <v>17.071106978735219</v>
      </c>
      <c r="EA137">
        <v>8.2112687752188798</v>
      </c>
      <c r="EB137">
        <v>9.1867521062920332</v>
      </c>
      <c r="EC137">
        <v>1274.2189284248263</v>
      </c>
      <c r="ED137">
        <v>20.083524039367322</v>
      </c>
      <c r="EE137">
        <v>9.4999669350933758</v>
      </c>
      <c r="EG137">
        <v>141</v>
      </c>
      <c r="EH137">
        <v>12.608885517820566</v>
      </c>
      <c r="EI137">
        <v>5.5427807943530443</v>
      </c>
      <c r="EJ137">
        <v>6.5462800453587962</v>
      </c>
      <c r="EK137">
        <v>951.94070217872115</v>
      </c>
      <c r="EL137">
        <v>19.146735379351174</v>
      </c>
      <c r="EM137">
        <v>8.5196820222884355</v>
      </c>
      <c r="EN137">
        <v>13.204827044811752</v>
      </c>
      <c r="EO137">
        <v>6.0881059208224446</v>
      </c>
      <c r="EP137">
        <v>6.935101637710714</v>
      </c>
      <c r="EQ137">
        <v>1000.1038340314835</v>
      </c>
      <c r="ER137">
        <v>19.236193916386338</v>
      </c>
      <c r="ES137">
        <v>8.8446235496495991</v>
      </c>
      <c r="ET137">
        <v>14.402380757988876</v>
      </c>
      <c r="EU137">
        <v>6.2314504557710064</v>
      </c>
      <c r="EV137">
        <v>7.4437391116595935</v>
      </c>
      <c r="EW137">
        <v>1033.7048851258085</v>
      </c>
      <c r="EX137">
        <v>20.557816512780203</v>
      </c>
      <c r="EY137">
        <v>9.0561179622710579</v>
      </c>
      <c r="EZ137">
        <v>15.152831333726944</v>
      </c>
      <c r="FA137">
        <v>7.2584176076575782</v>
      </c>
      <c r="FB137">
        <v>8.1202017642727089</v>
      </c>
      <c r="FC137">
        <v>1147.2192992086291</v>
      </c>
      <c r="FD137">
        <v>19.90192822826539</v>
      </c>
      <c r="FE137">
        <v>9.3861575276204388</v>
      </c>
      <c r="FF137">
        <v>15.320870150818738</v>
      </c>
      <c r="FG137">
        <v>7.4567540967482921</v>
      </c>
      <c r="FH137">
        <v>8.4935821549011354</v>
      </c>
      <c r="FI137">
        <v>1269.0443071147745</v>
      </c>
      <c r="FJ137">
        <v>18.78623899800861</v>
      </c>
      <c r="FK137">
        <v>8.9441502916799376</v>
      </c>
    </row>
    <row r="138" spans="2:167" x14ac:dyDescent="0.25">
      <c r="B138">
        <v>601.20625038839387</v>
      </c>
      <c r="C138">
        <v>1.6633226939240497</v>
      </c>
      <c r="D138">
        <v>645.69394725378049</v>
      </c>
      <c r="E138">
        <v>1.5487213474017045</v>
      </c>
      <c r="F138">
        <v>732.9125212748321</v>
      </c>
      <c r="G138">
        <v>1.3644193146824597</v>
      </c>
      <c r="H138">
        <v>821.81558446105635</v>
      </c>
      <c r="I138">
        <v>1.2168180050464683</v>
      </c>
      <c r="J138">
        <v>911.78290900060495</v>
      </c>
      <c r="K138">
        <v>1.0967522972064576</v>
      </c>
      <c r="L138">
        <v>690.73753805648187</v>
      </c>
      <c r="M138">
        <v>1.4477278921508818</v>
      </c>
      <c r="N138">
        <v>688.72549731865342</v>
      </c>
      <c r="O138">
        <v>1.4519572803579956</v>
      </c>
      <c r="Q138">
        <v>0.2711115784225388</v>
      </c>
      <c r="R138">
        <v>0.27171990690296621</v>
      </c>
      <c r="S138">
        <v>0.27138072150343795</v>
      </c>
      <c r="T138">
        <v>0.27240539446122186</v>
      </c>
      <c r="U138">
        <v>0.27275480690213888</v>
      </c>
      <c r="V138">
        <v>0.27154999154674686</v>
      </c>
      <c r="W138">
        <v>0.2714605968238622</v>
      </c>
      <c r="Y138">
        <v>2.1478538101915015</v>
      </c>
      <c r="Z138">
        <v>2.2065577053811301</v>
      </c>
      <c r="AA138">
        <v>2.234133780666002</v>
      </c>
      <c r="AB138">
        <v>2.3827331312248705</v>
      </c>
      <c r="AC138">
        <v>2.4483108740272961</v>
      </c>
      <c r="AD138">
        <v>2.2216074271870125</v>
      </c>
      <c r="AE138">
        <v>2.2171917690982887</v>
      </c>
      <c r="AG138">
        <v>0.86576771256102381</v>
      </c>
      <c r="AH138">
        <v>0.89970376840872512</v>
      </c>
      <c r="AI138">
        <v>0.90622832773697537</v>
      </c>
      <c r="AJ138">
        <v>0.97729234987096747</v>
      </c>
      <c r="AK138">
        <v>1.0107642139356952</v>
      </c>
      <c r="AL138">
        <v>0.90432236902957741</v>
      </c>
      <c r="AM138">
        <v>0.90023465911755041</v>
      </c>
      <c r="AO138">
        <v>142</v>
      </c>
      <c r="AP138">
        <v>16.931063736981372</v>
      </c>
      <c r="AQ138">
        <v>7.4361298436703311</v>
      </c>
      <c r="AR138">
        <v>7.7395305624900557</v>
      </c>
      <c r="AS138">
        <v>898.42851655510492</v>
      </c>
      <c r="AT138">
        <v>25.097973322430153</v>
      </c>
      <c r="AU138">
        <v>11.134532076420793</v>
      </c>
      <c r="AV138">
        <v>17.832022222466019</v>
      </c>
      <c r="AW138">
        <v>7.7510731453464325</v>
      </c>
      <c r="AX138">
        <v>8.1382071172396042</v>
      </c>
      <c r="AY138">
        <v>949.47651076725435</v>
      </c>
      <c r="AZ138">
        <v>25.135310031335234</v>
      </c>
      <c r="BA138">
        <v>11.067687328675429</v>
      </c>
      <c r="BB138">
        <v>19.179895760802655</v>
      </c>
      <c r="BC138">
        <v>8.14354885679594</v>
      </c>
      <c r="BD138">
        <v>8.7013340885286503</v>
      </c>
      <c r="BE138">
        <v>1025.0929602990107</v>
      </c>
      <c r="BF138">
        <v>25.391092679050768</v>
      </c>
      <c r="BG138">
        <v>10.997492145114082</v>
      </c>
      <c r="BH138">
        <v>20.427192307563793</v>
      </c>
      <c r="BI138">
        <v>8.6713172965250322</v>
      </c>
      <c r="BJ138">
        <v>9.3310730435690257</v>
      </c>
      <c r="BK138">
        <v>1100.4438506295885</v>
      </c>
      <c r="BL138">
        <v>25.540818927460677</v>
      </c>
      <c r="BM138">
        <v>11.069061581830841</v>
      </c>
      <c r="BN138">
        <v>20.9203131034675</v>
      </c>
      <c r="BO138">
        <v>8.8300012319782741</v>
      </c>
      <c r="BP138">
        <v>9.8742906991828843</v>
      </c>
      <c r="BQ138">
        <v>1210.2259966406182</v>
      </c>
      <c r="BR138">
        <v>24.326045455055194</v>
      </c>
      <c r="BS138">
        <v>10.513548857968992</v>
      </c>
      <c r="BU138">
        <v>142</v>
      </c>
      <c r="BV138">
        <v>16.196522227113306</v>
      </c>
      <c r="BW138">
        <v>6.5623482779259827</v>
      </c>
      <c r="BX138">
        <v>7.5000152703769531</v>
      </c>
      <c r="BY138">
        <v>898.6172147567014</v>
      </c>
      <c r="BZ138">
        <v>24.275289937160398</v>
      </c>
      <c r="CA138">
        <v>10.159831594903833</v>
      </c>
      <c r="CB138">
        <v>16.944108239524365</v>
      </c>
      <c r="CC138">
        <v>6.8616911413101667</v>
      </c>
      <c r="CD138">
        <v>7.8653783327379827</v>
      </c>
      <c r="CE138">
        <v>950.24702246144261</v>
      </c>
      <c r="CF138">
        <v>24.180525631266605</v>
      </c>
      <c r="CG138">
        <v>10.122764834496227</v>
      </c>
      <c r="CH138">
        <v>18.322976594219522</v>
      </c>
      <c r="CI138">
        <v>7.3610943215725717</v>
      </c>
      <c r="CJ138">
        <v>8.3988547185886713</v>
      </c>
      <c r="CK138">
        <v>1026.9170851690171</v>
      </c>
      <c r="CL138">
        <v>24.511532193340308</v>
      </c>
      <c r="CM138">
        <v>10.21601197914636</v>
      </c>
      <c r="CN138">
        <v>19.533824420756684</v>
      </c>
      <c r="CO138">
        <v>7.7751440625397477</v>
      </c>
      <c r="CP138">
        <v>9.0382984475836032</v>
      </c>
      <c r="CQ138">
        <v>1102.8016596495718</v>
      </c>
      <c r="CR138">
        <v>24.67612285840049</v>
      </c>
      <c r="CS138">
        <v>10.232762543689439</v>
      </c>
      <c r="CT138">
        <v>19.85488957733952</v>
      </c>
      <c r="CU138">
        <v>7.8443549908599701</v>
      </c>
      <c r="CV138">
        <v>9.4212243552239254</v>
      </c>
      <c r="CW138">
        <v>1212.9663623931153</v>
      </c>
      <c r="CX138">
        <v>23.392725436391892</v>
      </c>
      <c r="CY138">
        <v>9.6772047994706014</v>
      </c>
      <c r="DA138">
        <v>142</v>
      </c>
      <c r="DB138">
        <v>13.437726216437587</v>
      </c>
      <c r="DC138">
        <v>6.0380348766909941</v>
      </c>
      <c r="DD138">
        <v>7.1174054859616307</v>
      </c>
      <c r="DE138">
        <v>938.33304825141488</v>
      </c>
      <c r="DF138">
        <v>20.307712123724624</v>
      </c>
      <c r="DG138">
        <v>9.1710360036992888</v>
      </c>
      <c r="DH138">
        <v>14.051310290053296</v>
      </c>
      <c r="DI138">
        <v>6.7577545830950223</v>
      </c>
      <c r="DJ138">
        <v>7.4990341612662892</v>
      </c>
      <c r="DK138">
        <v>986.02039526801275</v>
      </c>
      <c r="DL138">
        <v>20.369431128991355</v>
      </c>
      <c r="DM138">
        <v>9.6500950999659008</v>
      </c>
      <c r="DN138">
        <v>15.618851331698355</v>
      </c>
      <c r="DO138">
        <v>6.8862775991305041</v>
      </c>
      <c r="DP138">
        <v>8.0550784516489742</v>
      </c>
      <c r="DQ138">
        <v>1064.0666181030301</v>
      </c>
      <c r="DR138">
        <v>21.114454253384878</v>
      </c>
      <c r="DS138">
        <v>9.4131141329206116</v>
      </c>
      <c r="DT138">
        <v>16.785478446374917</v>
      </c>
      <c r="DU138">
        <v>7.9732972160456121</v>
      </c>
      <c r="DV138">
        <v>8.7874826743225789</v>
      </c>
      <c r="DW138">
        <v>1160.5069052168587</v>
      </c>
      <c r="DX138">
        <v>21.080894183053097</v>
      </c>
      <c r="DY138">
        <v>9.8946939633597477</v>
      </c>
      <c r="DZ138">
        <v>17.071106978735219</v>
      </c>
      <c r="EA138">
        <v>8.2377254330929599</v>
      </c>
      <c r="EB138">
        <v>9.1867521062920332</v>
      </c>
      <c r="EC138">
        <v>1275.3827964357231</v>
      </c>
      <c r="ED138">
        <v>20.065196544876397</v>
      </c>
      <c r="EE138">
        <v>9.5120417022117554</v>
      </c>
      <c r="EG138">
        <v>142</v>
      </c>
      <c r="EH138">
        <v>12.608885517820566</v>
      </c>
      <c r="EI138">
        <v>5.5427807943530443</v>
      </c>
      <c r="EJ138">
        <v>6.5462800453587962</v>
      </c>
      <c r="EK138">
        <v>952.94046461198855</v>
      </c>
      <c r="EL138">
        <v>19.126647884420645</v>
      </c>
      <c r="EM138">
        <v>8.5107437324942925</v>
      </c>
      <c r="EN138">
        <v>13.204827044811752</v>
      </c>
      <c r="EO138">
        <v>6.0920304214135399</v>
      </c>
      <c r="EP138">
        <v>6.935101637710714</v>
      </c>
      <c r="EQ138">
        <v>1001.1486275552719</v>
      </c>
      <c r="ER138">
        <v>19.216119124019841</v>
      </c>
      <c r="ES138">
        <v>8.839313344283882</v>
      </c>
      <c r="ET138">
        <v>14.402380757988876</v>
      </c>
      <c r="EU138">
        <v>6.232490246807922</v>
      </c>
      <c r="EV138">
        <v>7.4437391116595935</v>
      </c>
      <c r="EW138">
        <v>1034.7104640461937</v>
      </c>
      <c r="EX138">
        <v>20.537837487098411</v>
      </c>
      <c r="EY138">
        <v>9.0483217230652428</v>
      </c>
      <c r="EZ138">
        <v>15.152831333726944</v>
      </c>
      <c r="FA138">
        <v>7.279028293727082</v>
      </c>
      <c r="FB138">
        <v>8.1202017642727089</v>
      </c>
      <c r="FC138">
        <v>1148.375535150461</v>
      </c>
      <c r="FD138">
        <v>19.881890075217953</v>
      </c>
      <c r="FE138">
        <v>9.3946548118987003</v>
      </c>
      <c r="FF138">
        <v>15.320870150818738</v>
      </c>
      <c r="FG138">
        <v>7.4805616436002218</v>
      </c>
      <c r="FH138">
        <v>8.4935821549011354</v>
      </c>
      <c r="FI138">
        <v>1270.1477279622673</v>
      </c>
      <c r="FJ138">
        <v>18.769918748560428</v>
      </c>
      <c r="FK138">
        <v>8.9551241214558992</v>
      </c>
    </row>
    <row r="139" spans="2:167" x14ac:dyDescent="0.25">
      <c r="B139">
        <v>601.20625038839387</v>
      </c>
      <c r="C139">
        <v>1.6633226939240497</v>
      </c>
      <c r="D139">
        <v>645.69394725378049</v>
      </c>
      <c r="E139">
        <v>1.5487213474017045</v>
      </c>
      <c r="F139">
        <v>732.9125212748321</v>
      </c>
      <c r="G139">
        <v>1.3644193146824597</v>
      </c>
      <c r="H139">
        <v>821.81558446105635</v>
      </c>
      <c r="I139">
        <v>1.2168180050464683</v>
      </c>
      <c r="J139">
        <v>911.78290900060495</v>
      </c>
      <c r="K139">
        <v>1.0967522972064576</v>
      </c>
      <c r="L139">
        <v>690.73753805648187</v>
      </c>
      <c r="M139">
        <v>1.4477278921508818</v>
      </c>
      <c r="N139">
        <v>688.72549731865342</v>
      </c>
      <c r="O139">
        <v>1.4519572803579956</v>
      </c>
      <c r="Q139">
        <v>0.27298453384789101</v>
      </c>
      <c r="R139">
        <v>0.27359434180072623</v>
      </c>
      <c r="S139">
        <v>0.27325024976033774</v>
      </c>
      <c r="T139">
        <v>0.2742773788190267</v>
      </c>
      <c r="U139">
        <v>0.2746268172082324</v>
      </c>
      <c r="V139">
        <v>0.27342088912989204</v>
      </c>
      <c r="W139">
        <v>0.27333339482154301</v>
      </c>
      <c r="Y139">
        <v>2.1478538101915015</v>
      </c>
      <c r="Z139">
        <v>2.2065577053811301</v>
      </c>
      <c r="AA139">
        <v>2.234133780666002</v>
      </c>
      <c r="AB139">
        <v>2.3827331312248705</v>
      </c>
      <c r="AC139">
        <v>2.4483108740272961</v>
      </c>
      <c r="AD139">
        <v>2.2216074271870125</v>
      </c>
      <c r="AE139">
        <v>2.2171917690982887</v>
      </c>
      <c r="AG139">
        <v>0.86576771256102381</v>
      </c>
      <c r="AH139">
        <v>0.89970376840872512</v>
      </c>
      <c r="AI139">
        <v>0.90622832773697537</v>
      </c>
      <c r="AJ139">
        <v>0.97729234987096747</v>
      </c>
      <c r="AK139">
        <v>1.0107642139356952</v>
      </c>
      <c r="AL139">
        <v>0.90432236902957741</v>
      </c>
      <c r="AM139">
        <v>0.90023465911755041</v>
      </c>
      <c r="AO139">
        <v>143</v>
      </c>
      <c r="AP139">
        <v>16.931063736981372</v>
      </c>
      <c r="AQ139">
        <v>7.4361298436703311</v>
      </c>
      <c r="AR139">
        <v>7.7395305624900557</v>
      </c>
      <c r="AS139">
        <v>899.14124206094584</v>
      </c>
      <c r="AT139">
        <v>25.078078822105812</v>
      </c>
      <c r="AU139">
        <v>11.125706027035852</v>
      </c>
      <c r="AV139">
        <v>17.832022222466019</v>
      </c>
      <c r="AW139">
        <v>7.7510731453464325</v>
      </c>
      <c r="AX139">
        <v>8.1382071172396042</v>
      </c>
      <c r="AY139">
        <v>950.23082207355583</v>
      </c>
      <c r="AZ139">
        <v>25.115357143990813</v>
      </c>
      <c r="BA139">
        <v>11.058901587892562</v>
      </c>
      <c r="BB139">
        <v>19.179895760802655</v>
      </c>
      <c r="BC139">
        <v>8.14354885679594</v>
      </c>
      <c r="BD139">
        <v>8.7013340885286503</v>
      </c>
      <c r="BE139">
        <v>1025.8956965097077</v>
      </c>
      <c r="BF139">
        <v>25.371224821536611</v>
      </c>
      <c r="BG139">
        <v>10.988886898789554</v>
      </c>
      <c r="BH139">
        <v>20.427192307563793</v>
      </c>
      <c r="BI139">
        <v>8.6713172965250322</v>
      </c>
      <c r="BJ139">
        <v>9.3310730435690257</v>
      </c>
      <c r="BK139">
        <v>1101.3110135752058</v>
      </c>
      <c r="BL139">
        <v>25.520708303393896</v>
      </c>
      <c r="BM139">
        <v>11.060345896680866</v>
      </c>
      <c r="BN139">
        <v>20.9203131034675</v>
      </c>
      <c r="BO139">
        <v>8.8300012319782741</v>
      </c>
      <c r="BP139">
        <v>9.8742906991828843</v>
      </c>
      <c r="BQ139">
        <v>1211.1343106184997</v>
      </c>
      <c r="BR139">
        <v>24.307801659202259</v>
      </c>
      <c r="BS139">
        <v>10.505664015387035</v>
      </c>
      <c r="BU139">
        <v>143</v>
      </c>
      <c r="BV139">
        <v>16.196522227113306</v>
      </c>
      <c r="BW139">
        <v>6.5623482779259827</v>
      </c>
      <c r="BX139">
        <v>7.5000152703769531</v>
      </c>
      <c r="BY139">
        <v>899.36020801636221</v>
      </c>
      <c r="BZ139">
        <v>24.255235262027057</v>
      </c>
      <c r="CA139">
        <v>10.151438198879617</v>
      </c>
      <c r="CB139">
        <v>16.944108239524365</v>
      </c>
      <c r="CC139">
        <v>6.8616911413101667</v>
      </c>
      <c r="CD139">
        <v>7.8653783327379827</v>
      </c>
      <c r="CE139">
        <v>951.02963710327492</v>
      </c>
      <c r="CF139">
        <v>24.16062716263016</v>
      </c>
      <c r="CG139">
        <v>10.114434679823621</v>
      </c>
      <c r="CH139">
        <v>18.322976594219522</v>
      </c>
      <c r="CI139">
        <v>7.3610943215725717</v>
      </c>
      <c r="CJ139">
        <v>8.3988547185886713</v>
      </c>
      <c r="CK139">
        <v>1027.7533036904156</v>
      </c>
      <c r="CL139">
        <v>24.491588694122818</v>
      </c>
      <c r="CM139">
        <v>10.207699849765588</v>
      </c>
      <c r="CN139">
        <v>19.533824420756684</v>
      </c>
      <c r="CO139">
        <v>7.7751440625397477</v>
      </c>
      <c r="CP139">
        <v>9.0382984475836032</v>
      </c>
      <c r="CQ139">
        <v>1103.7059116889593</v>
      </c>
      <c r="CR139">
        <v>24.655906028733664</v>
      </c>
      <c r="CS139">
        <v>10.224378973119867</v>
      </c>
      <c r="CT139">
        <v>19.85488957733952</v>
      </c>
      <c r="CU139">
        <v>7.8443549908599701</v>
      </c>
      <c r="CV139">
        <v>9.4212243552239254</v>
      </c>
      <c r="CW139">
        <v>1213.9092170334466</v>
      </c>
      <c r="CX139">
        <v>23.374556087796286</v>
      </c>
      <c r="CY139">
        <v>9.6696884240097454</v>
      </c>
      <c r="DA139">
        <v>143</v>
      </c>
      <c r="DB139">
        <v>13.437726216437587</v>
      </c>
      <c r="DC139">
        <v>6.0380348766909941</v>
      </c>
      <c r="DD139">
        <v>7.1174054859616307</v>
      </c>
      <c r="DE139">
        <v>939.25902961103327</v>
      </c>
      <c r="DF139">
        <v>20.28769148799983</v>
      </c>
      <c r="DG139">
        <v>9.1619946124322489</v>
      </c>
      <c r="DH139">
        <v>14.051310290053296</v>
      </c>
      <c r="DI139">
        <v>6.7611586172631677</v>
      </c>
      <c r="DJ139">
        <v>7.4990341612662892</v>
      </c>
      <c r="DK139">
        <v>986.996393502096</v>
      </c>
      <c r="DL139">
        <v>20.349288675642935</v>
      </c>
      <c r="DM139">
        <v>9.6440014185221266</v>
      </c>
      <c r="DN139">
        <v>15.618851331698355</v>
      </c>
      <c r="DO139">
        <v>6.8867399515162218</v>
      </c>
      <c r="DP139">
        <v>8.0550784516489742</v>
      </c>
      <c r="DQ139">
        <v>1065.0820993126194</v>
      </c>
      <c r="DR139">
        <v>21.094323099590365</v>
      </c>
      <c r="DS139">
        <v>9.4045734878887863</v>
      </c>
      <c r="DT139">
        <v>16.785478446374917</v>
      </c>
      <c r="DU139">
        <v>7.9960384530433402</v>
      </c>
      <c r="DV139">
        <v>8.7874826743225789</v>
      </c>
      <c r="DW139">
        <v>1161.6216753122819</v>
      </c>
      <c r="DX139">
        <v>21.060663542630749</v>
      </c>
      <c r="DY139">
        <v>9.9047754970577664</v>
      </c>
      <c r="DZ139">
        <v>17.071106978735219</v>
      </c>
      <c r="EA139">
        <v>8.2637353676198657</v>
      </c>
      <c r="EB139">
        <v>9.1867521062920332</v>
      </c>
      <c r="EC139">
        <v>1276.5488876556553</v>
      </c>
      <c r="ED139">
        <v>20.046867556661802</v>
      </c>
      <c r="EE139">
        <v>9.5237279183516819</v>
      </c>
      <c r="EG139">
        <v>143</v>
      </c>
      <c r="EH139">
        <v>12.608885517820566</v>
      </c>
      <c r="EI139">
        <v>5.5427807943530443</v>
      </c>
      <c r="EJ139">
        <v>6.5462800453587962</v>
      </c>
      <c r="EK139">
        <v>953.94232463568699</v>
      </c>
      <c r="EL139">
        <v>19.106560481432133</v>
      </c>
      <c r="EM139">
        <v>8.5018054836113901</v>
      </c>
      <c r="EN139">
        <v>13.204827044811752</v>
      </c>
      <c r="EO139">
        <v>6.0954040120645487</v>
      </c>
      <c r="EP139">
        <v>6.935101637710714</v>
      </c>
      <c r="EQ139">
        <v>1002.1956022413584</v>
      </c>
      <c r="ER139">
        <v>19.19604440981966</v>
      </c>
      <c r="ES139">
        <v>8.8334452815527236</v>
      </c>
      <c r="ET139">
        <v>14.402380757988876</v>
      </c>
      <c r="EU139">
        <v>6.2329108703518949</v>
      </c>
      <c r="EV139">
        <v>7.4437391116595935</v>
      </c>
      <c r="EW139">
        <v>1035.7180023372821</v>
      </c>
      <c r="EX139">
        <v>20.517858441028238</v>
      </c>
      <c r="EY139">
        <v>9.0399257049961559</v>
      </c>
      <c r="EZ139">
        <v>15.152831333726944</v>
      </c>
      <c r="FA139">
        <v>7.2992001552645229</v>
      </c>
      <c r="FB139">
        <v>8.1202017642727089</v>
      </c>
      <c r="FC139">
        <v>1149.5341018650749</v>
      </c>
      <c r="FD139">
        <v>19.861851960622321</v>
      </c>
      <c r="FE139">
        <v>9.402734195678633</v>
      </c>
      <c r="FF139">
        <v>15.320870150818738</v>
      </c>
      <c r="FG139">
        <v>7.5039595879954222</v>
      </c>
      <c r="FH139">
        <v>8.4935821549011354</v>
      </c>
      <c r="FI139">
        <v>1271.2532751150593</v>
      </c>
      <c r="FJ139">
        <v>18.753595462998994</v>
      </c>
      <c r="FK139">
        <v>8.965741700725145</v>
      </c>
    </row>
    <row r="140" spans="2:167" x14ac:dyDescent="0.25">
      <c r="B140">
        <v>601.20625038839387</v>
      </c>
      <c r="C140">
        <v>1.6633226939240497</v>
      </c>
      <c r="D140">
        <v>645.69394725378049</v>
      </c>
      <c r="E140">
        <v>1.5487213474017045</v>
      </c>
      <c r="F140">
        <v>732.9125212748321</v>
      </c>
      <c r="G140">
        <v>1.3644193146824597</v>
      </c>
      <c r="H140">
        <v>821.81558446105635</v>
      </c>
      <c r="I140">
        <v>1.2168180050464683</v>
      </c>
      <c r="J140">
        <v>911.78290900060495</v>
      </c>
      <c r="K140">
        <v>1.0967522972064576</v>
      </c>
      <c r="L140">
        <v>690.73753805648187</v>
      </c>
      <c r="M140">
        <v>1.4477278921508818</v>
      </c>
      <c r="N140">
        <v>688.72549731865342</v>
      </c>
      <c r="O140">
        <v>1.4519572803579956</v>
      </c>
      <c r="Q140">
        <v>0.27485748927324322</v>
      </c>
      <c r="R140">
        <v>0.27546877669848624</v>
      </c>
      <c r="S140">
        <v>0.27511977801723747</v>
      </c>
      <c r="T140">
        <v>0.27614936317683153</v>
      </c>
      <c r="U140">
        <v>0.27649882751432592</v>
      </c>
      <c r="V140">
        <v>0.27529178671303722</v>
      </c>
      <c r="W140">
        <v>0.27520619281922387</v>
      </c>
      <c r="Y140">
        <v>2.1478538101915015</v>
      </c>
      <c r="Z140">
        <v>2.2065577053811301</v>
      </c>
      <c r="AA140">
        <v>2.234133780666002</v>
      </c>
      <c r="AB140">
        <v>2.3827331312248705</v>
      </c>
      <c r="AC140">
        <v>2.4483108740272961</v>
      </c>
      <c r="AD140">
        <v>2.2216074271870125</v>
      </c>
      <c r="AE140">
        <v>2.2171917690982887</v>
      </c>
      <c r="AG140">
        <v>0.86576771256102381</v>
      </c>
      <c r="AH140">
        <v>0.89970376840872512</v>
      </c>
      <c r="AI140">
        <v>0.90622832773697537</v>
      </c>
      <c r="AJ140">
        <v>0.97729234987096747</v>
      </c>
      <c r="AK140">
        <v>1.0107642139356952</v>
      </c>
      <c r="AL140">
        <v>0.90432236902957741</v>
      </c>
      <c r="AM140">
        <v>0.90023465911755041</v>
      </c>
      <c r="AO140">
        <v>144</v>
      </c>
      <c r="AP140">
        <v>16.931063736981372</v>
      </c>
      <c r="AQ140">
        <v>7.4361298436703311</v>
      </c>
      <c r="AR140">
        <v>7.7395305624900557</v>
      </c>
      <c r="AS140">
        <v>899.85510227861539</v>
      </c>
      <c r="AT140">
        <v>25.058184238231867</v>
      </c>
      <c r="AU140">
        <v>11.116879940584738</v>
      </c>
      <c r="AV140">
        <v>17.832022222466019</v>
      </c>
      <c r="AW140">
        <v>7.7510731453464325</v>
      </c>
      <c r="AX140">
        <v>8.1382071172396042</v>
      </c>
      <c r="AY140">
        <v>950.98633427448283</v>
      </c>
      <c r="AZ140">
        <v>25.095404219254622</v>
      </c>
      <c r="BA140">
        <v>11.05011583064519</v>
      </c>
      <c r="BB140">
        <v>19.179895760802655</v>
      </c>
      <c r="BC140">
        <v>8.14354885679594</v>
      </c>
      <c r="BD140">
        <v>8.7013340885286503</v>
      </c>
      <c r="BE140">
        <v>1026.6996951112901</v>
      </c>
      <c r="BF140">
        <v>25.351356860755015</v>
      </c>
      <c r="BG140">
        <v>10.980281607737416</v>
      </c>
      <c r="BH140">
        <v>20.427192307563793</v>
      </c>
      <c r="BI140">
        <v>8.6713172965250322</v>
      </c>
      <c r="BJ140">
        <v>9.3310730435690257</v>
      </c>
      <c r="BK140">
        <v>1102.179540496749</v>
      </c>
      <c r="BL140">
        <v>25.500597766585749</v>
      </c>
      <c r="BM140">
        <v>11.051630249347658</v>
      </c>
      <c r="BN140">
        <v>20.9203131034675</v>
      </c>
      <c r="BO140">
        <v>8.8300012319782741</v>
      </c>
      <c r="BP140">
        <v>9.8742906991828843</v>
      </c>
      <c r="BQ140">
        <v>1212.0440532994928</v>
      </c>
      <c r="BR140">
        <v>24.289556575956073</v>
      </c>
      <c r="BS140">
        <v>10.497778616402607</v>
      </c>
      <c r="BU140">
        <v>144</v>
      </c>
      <c r="BV140">
        <v>16.196522227113306</v>
      </c>
      <c r="BW140">
        <v>6.5623482779259827</v>
      </c>
      <c r="BX140">
        <v>7.5000152703769531</v>
      </c>
      <c r="BY140">
        <v>900.10442925430982</v>
      </c>
      <c r="BZ140">
        <v>24.235180632112201</v>
      </c>
      <c r="CA140">
        <v>10.143044821780498</v>
      </c>
      <c r="CB140">
        <v>16.944108239524365</v>
      </c>
      <c r="CC140">
        <v>6.8616911413101667</v>
      </c>
      <c r="CD140">
        <v>7.8653783327379827</v>
      </c>
      <c r="CE140">
        <v>951.81354520742946</v>
      </c>
      <c r="CF140">
        <v>24.140728610513936</v>
      </c>
      <c r="CG140">
        <v>10.106104490203629</v>
      </c>
      <c r="CH140">
        <v>18.322976594219522</v>
      </c>
      <c r="CI140">
        <v>7.3610943215725717</v>
      </c>
      <c r="CJ140">
        <v>8.3988547185886713</v>
      </c>
      <c r="CK140">
        <v>1028.5908871187485</v>
      </c>
      <c r="CL140">
        <v>24.471645148947918</v>
      </c>
      <c r="CM140">
        <v>10.199387701230508</v>
      </c>
      <c r="CN140">
        <v>19.533824420756684</v>
      </c>
      <c r="CO140">
        <v>7.7751440625397477</v>
      </c>
      <c r="CP140">
        <v>9.0382984475836032</v>
      </c>
      <c r="CQ140">
        <v>1104.6116398543336</v>
      </c>
      <c r="CR140">
        <v>24.635689377263297</v>
      </c>
      <c r="CS140">
        <v>10.215995476445293</v>
      </c>
      <c r="CT140">
        <v>19.85488957733952</v>
      </c>
      <c r="CU140">
        <v>7.8443549908599701</v>
      </c>
      <c r="CV140">
        <v>9.4212243552239254</v>
      </c>
      <c r="CW140">
        <v>1214.8536108157155</v>
      </c>
      <c r="CX140">
        <v>23.356385350815238</v>
      </c>
      <c r="CY140">
        <v>9.6621714741955351</v>
      </c>
      <c r="DA140">
        <v>144</v>
      </c>
      <c r="DB140">
        <v>13.437726216437587</v>
      </c>
      <c r="DC140">
        <v>6.0380348766909941</v>
      </c>
      <c r="DD140">
        <v>7.1174054859616307</v>
      </c>
      <c r="DE140">
        <v>940.18683941604752</v>
      </c>
      <c r="DF140">
        <v>20.267670872634312</v>
      </c>
      <c r="DG140">
        <v>9.1529532303595307</v>
      </c>
      <c r="DH140">
        <v>14.051310290053296</v>
      </c>
      <c r="DI140">
        <v>6.7639456222968315</v>
      </c>
      <c r="DJ140">
        <v>7.4990341612662892</v>
      </c>
      <c r="DK140">
        <v>987.97431894503598</v>
      </c>
      <c r="DL140">
        <v>20.329146363479506</v>
      </c>
      <c r="DM140">
        <v>9.6372764367105006</v>
      </c>
      <c r="DN140">
        <v>15.618851331698355</v>
      </c>
      <c r="DO140">
        <v>6.8867399515162218</v>
      </c>
      <c r="DP140">
        <v>8.0550784516489742</v>
      </c>
      <c r="DQ140">
        <v>1066.0995142629936</v>
      </c>
      <c r="DR140">
        <v>21.074192071105298</v>
      </c>
      <c r="DS140">
        <v>9.3955983842136988</v>
      </c>
      <c r="DT140">
        <v>16.785478446374917</v>
      </c>
      <c r="DU140">
        <v>8.0183104853128384</v>
      </c>
      <c r="DV140">
        <v>8.7874826743225789</v>
      </c>
      <c r="DW140">
        <v>1162.7385768661386</v>
      </c>
      <c r="DX140">
        <v>21.040433124285624</v>
      </c>
      <c r="DY140">
        <v>9.9144159900707738</v>
      </c>
      <c r="DZ140">
        <v>17.071106978735219</v>
      </c>
      <c r="EA140">
        <v>8.2892985787996025</v>
      </c>
      <c r="EB140">
        <v>9.1867521062920332</v>
      </c>
      <c r="EC140">
        <v>1277.7172084608405</v>
      </c>
      <c r="ED140">
        <v>20.028537074540917</v>
      </c>
      <c r="EE140">
        <v>9.5350265387460915</v>
      </c>
      <c r="EG140">
        <v>144</v>
      </c>
      <c r="EH140">
        <v>12.608885517820566</v>
      </c>
      <c r="EI140">
        <v>5.5427807943530443</v>
      </c>
      <c r="EJ140">
        <v>6.5462800453587962</v>
      </c>
      <c r="EK140">
        <v>954.94628885814541</v>
      </c>
      <c r="EL140">
        <v>19.086473170385002</v>
      </c>
      <c r="EM140">
        <v>8.4928672756394494</v>
      </c>
      <c r="EN140">
        <v>13.204827044811752</v>
      </c>
      <c r="EO140">
        <v>6.0982266927754747</v>
      </c>
      <c r="EP140">
        <v>6.935101637710714</v>
      </c>
      <c r="EQ140">
        <v>1003.2447649271323</v>
      </c>
      <c r="ER140">
        <v>19.175969773785347</v>
      </c>
      <c r="ES140">
        <v>8.8270210860915359</v>
      </c>
      <c r="ET140">
        <v>14.402380757988876</v>
      </c>
      <c r="EU140">
        <v>6.2329108703518949</v>
      </c>
      <c r="EV140">
        <v>7.4437391116595935</v>
      </c>
      <c r="EW140">
        <v>1036.7275057314096</v>
      </c>
      <c r="EX140">
        <v>20.49787937456966</v>
      </c>
      <c r="EY140">
        <v>9.0311231646647734</v>
      </c>
      <c r="EZ140">
        <v>15.152831333726944</v>
      </c>
      <c r="FA140">
        <v>7.3189331922699026</v>
      </c>
      <c r="FB140">
        <v>8.1202017642727089</v>
      </c>
      <c r="FC140">
        <v>1150.6950064072373</v>
      </c>
      <c r="FD140">
        <v>19.841813884478377</v>
      </c>
      <c r="FE140">
        <v>9.4103968344489193</v>
      </c>
      <c r="FF140">
        <v>15.320870150818738</v>
      </c>
      <c r="FG140">
        <v>7.5269479299338942</v>
      </c>
      <c r="FH140">
        <v>8.4935821549011354</v>
      </c>
      <c r="FI140">
        <v>1272.360954725202</v>
      </c>
      <c r="FJ140">
        <v>18.737269140477011</v>
      </c>
      <c r="FK140">
        <v>8.97600386148879</v>
      </c>
    </row>
    <row r="141" spans="2:167" x14ac:dyDescent="0.25">
      <c r="B141">
        <v>601.20625038839387</v>
      </c>
      <c r="C141">
        <v>1.6633226939240497</v>
      </c>
      <c r="D141">
        <v>645.69394725378049</v>
      </c>
      <c r="E141">
        <v>1.5487213474017045</v>
      </c>
      <c r="F141">
        <v>732.9125212748321</v>
      </c>
      <c r="G141">
        <v>1.3644193146824597</v>
      </c>
      <c r="H141">
        <v>821.81558446105635</v>
      </c>
      <c r="I141">
        <v>1.2168180050464683</v>
      </c>
      <c r="J141">
        <v>911.78290900060495</v>
      </c>
      <c r="K141">
        <v>1.0967522972064576</v>
      </c>
      <c r="L141">
        <v>690.73753805648187</v>
      </c>
      <c r="M141">
        <v>1.4477278921508818</v>
      </c>
      <c r="N141">
        <v>688.72549731865342</v>
      </c>
      <c r="O141">
        <v>1.4519572803579956</v>
      </c>
      <c r="Q141">
        <v>0.27673044469859542</v>
      </c>
      <c r="R141">
        <v>0.27734321159624625</v>
      </c>
      <c r="S141">
        <v>0.27698930627413726</v>
      </c>
      <c r="T141">
        <v>0.27802134753463636</v>
      </c>
      <c r="U141">
        <v>0.27837083782041944</v>
      </c>
      <c r="V141">
        <v>0.27716268429618235</v>
      </c>
      <c r="W141">
        <v>0.27707899081690468</v>
      </c>
      <c r="Y141">
        <v>2.1478538101915015</v>
      </c>
      <c r="Z141">
        <v>2.2065577053811301</v>
      </c>
      <c r="AA141">
        <v>2.234133780666002</v>
      </c>
      <c r="AB141">
        <v>2.3827331312248705</v>
      </c>
      <c r="AC141">
        <v>2.4483108740272961</v>
      </c>
      <c r="AD141">
        <v>2.2216074271870125</v>
      </c>
      <c r="AE141">
        <v>2.2171917690982887</v>
      </c>
      <c r="AG141">
        <v>0.86576771256102381</v>
      </c>
      <c r="AH141">
        <v>0.89970376840872512</v>
      </c>
      <c r="AI141">
        <v>0.90622832773697537</v>
      </c>
      <c r="AJ141">
        <v>0.97729234987096747</v>
      </c>
      <c r="AK141">
        <v>1.0107642139356952</v>
      </c>
      <c r="AL141">
        <v>0.90432236902957741</v>
      </c>
      <c r="AM141">
        <v>0.90023465911755041</v>
      </c>
      <c r="AO141">
        <v>145</v>
      </c>
      <c r="AP141">
        <v>16.931063736981372</v>
      </c>
      <c r="AQ141">
        <v>7.4361298436703311</v>
      </c>
      <c r="AR141">
        <v>7.7395305624900557</v>
      </c>
      <c r="AS141">
        <v>900.57009992009046</v>
      </c>
      <c r="AT141">
        <v>25.03828957080778</v>
      </c>
      <c r="AU141">
        <v>11.108053817067217</v>
      </c>
      <c r="AV141">
        <v>17.832022222466019</v>
      </c>
      <c r="AW141">
        <v>7.7510731453464325</v>
      </c>
      <c r="AX141">
        <v>8.1382071172396042</v>
      </c>
      <c r="AY141">
        <v>951.74305024013017</v>
      </c>
      <c r="AZ141">
        <v>25.075451257126566</v>
      </c>
      <c r="BA141">
        <v>11.041330056933271</v>
      </c>
      <c r="BB141">
        <v>19.179895760802655</v>
      </c>
      <c r="BC141">
        <v>8.14354885679594</v>
      </c>
      <c r="BD141">
        <v>8.7013340885286503</v>
      </c>
      <c r="BE141">
        <v>1027.5049590839737</v>
      </c>
      <c r="BF141">
        <v>25.331488796705173</v>
      </c>
      <c r="BG141">
        <v>10.971676271957319</v>
      </c>
      <c r="BH141">
        <v>20.427192307563793</v>
      </c>
      <c r="BI141">
        <v>8.6713172965250322</v>
      </c>
      <c r="BJ141">
        <v>9.3310730435690257</v>
      </c>
      <c r="BK141">
        <v>1103.0494346148835</v>
      </c>
      <c r="BL141">
        <v>25.480487317035671</v>
      </c>
      <c r="BM141">
        <v>11.042914639830972</v>
      </c>
      <c r="BN141">
        <v>20.9203131034675</v>
      </c>
      <c r="BO141">
        <v>8.8300012319782741</v>
      </c>
      <c r="BP141">
        <v>9.8742906991828843</v>
      </c>
      <c r="BQ141">
        <v>1212.9552280570995</v>
      </c>
      <c r="BR141">
        <v>24.271310205180363</v>
      </c>
      <c r="BS141">
        <v>10.489892660956805</v>
      </c>
      <c r="BU141">
        <v>145</v>
      </c>
      <c r="BV141">
        <v>16.196522227113306</v>
      </c>
      <c r="BW141">
        <v>6.5623482779259827</v>
      </c>
      <c r="BX141">
        <v>7.5000152703769531</v>
      </c>
      <c r="BY141">
        <v>900.849881517364</v>
      </c>
      <c r="BZ141">
        <v>24.215126047415687</v>
      </c>
      <c r="CA141">
        <v>10.134651463606415</v>
      </c>
      <c r="CB141">
        <v>16.944108239524365</v>
      </c>
      <c r="CC141">
        <v>6.8616911413101667</v>
      </c>
      <c r="CD141">
        <v>7.8653783327379827</v>
      </c>
      <c r="CE141">
        <v>952.59874998320311</v>
      </c>
      <c r="CF141">
        <v>24.120829974917395</v>
      </c>
      <c r="CG141">
        <v>10.097774265636028</v>
      </c>
      <c r="CH141">
        <v>18.322976594219522</v>
      </c>
      <c r="CI141">
        <v>7.3610943215725717</v>
      </c>
      <c r="CJ141">
        <v>8.3988547185886713</v>
      </c>
      <c r="CK141">
        <v>1029.4298387985234</v>
      </c>
      <c r="CL141">
        <v>24.451701557815444</v>
      </c>
      <c r="CM141">
        <v>10.191075533541053</v>
      </c>
      <c r="CN141">
        <v>19.533824420756684</v>
      </c>
      <c r="CO141">
        <v>7.7751440625397477</v>
      </c>
      <c r="CP141">
        <v>9.0382984475836032</v>
      </c>
      <c r="CQ141">
        <v>1105.51884776315</v>
      </c>
      <c r="CR141">
        <v>24.615472903987044</v>
      </c>
      <c r="CS141">
        <v>10.207612053664745</v>
      </c>
      <c r="CT141">
        <v>19.85488957733952</v>
      </c>
      <c r="CU141">
        <v>7.8443549908599701</v>
      </c>
      <c r="CV141">
        <v>9.4212243552239254</v>
      </c>
      <c r="CW141">
        <v>1215.7995475118073</v>
      </c>
      <c r="CX141">
        <v>23.3382132252896</v>
      </c>
      <c r="CY141">
        <v>9.6546539499621389</v>
      </c>
      <c r="DA141">
        <v>145</v>
      </c>
      <c r="DB141">
        <v>13.437726216437587</v>
      </c>
      <c r="DC141">
        <v>6.0380348766909941</v>
      </c>
      <c r="DD141">
        <v>7.1174054859616307</v>
      </c>
      <c r="DE141">
        <v>941.11648308749</v>
      </c>
      <c r="DF141">
        <v>20.247650277628036</v>
      </c>
      <c r="DG141">
        <v>9.1439118574811182</v>
      </c>
      <c r="DH141">
        <v>14.051310290053296</v>
      </c>
      <c r="DI141">
        <v>6.7661155981960119</v>
      </c>
      <c r="DJ141">
        <v>7.4990341612662892</v>
      </c>
      <c r="DK141">
        <v>988.95417731068198</v>
      </c>
      <c r="DL141">
        <v>20.309004192499586</v>
      </c>
      <c r="DM141">
        <v>9.6299220109886221</v>
      </c>
      <c r="DN141">
        <v>15.618851331698355</v>
      </c>
      <c r="DO141">
        <v>6.8867399515162218</v>
      </c>
      <c r="DP141">
        <v>8.0550784516489742</v>
      </c>
      <c r="DQ141">
        <v>1067.118868482936</v>
      </c>
      <c r="DR141">
        <v>21.054061167928502</v>
      </c>
      <c r="DS141">
        <v>9.3866233364053429</v>
      </c>
      <c r="DT141">
        <v>16.785478446374917</v>
      </c>
      <c r="DU141">
        <v>8.0401133128541069</v>
      </c>
      <c r="DV141">
        <v>8.7874826743225789</v>
      </c>
      <c r="DW141">
        <v>1163.8576159973532</v>
      </c>
      <c r="DX141">
        <v>21.020202928014061</v>
      </c>
      <c r="DY141">
        <v>9.9236166070002447</v>
      </c>
      <c r="DZ141">
        <v>17.071106978735219</v>
      </c>
      <c r="EA141">
        <v>8.3144150666321632</v>
      </c>
      <c r="EB141">
        <v>9.1867521062920332</v>
      </c>
      <c r="EC141">
        <v>1278.887765251902</v>
      </c>
      <c r="ED141">
        <v>20.010205098331095</v>
      </c>
      <c r="EE141">
        <v>9.545938518783629</v>
      </c>
      <c r="EG141">
        <v>145</v>
      </c>
      <c r="EH141">
        <v>12.608885517820566</v>
      </c>
      <c r="EI141">
        <v>5.5427807943530443</v>
      </c>
      <c r="EJ141">
        <v>6.5462800453587962</v>
      </c>
      <c r="EK141">
        <v>955.95236391548121</v>
      </c>
      <c r="EL141">
        <v>19.066385951278619</v>
      </c>
      <c r="EM141">
        <v>8.483929108578188</v>
      </c>
      <c r="EN141">
        <v>13.204827044811752</v>
      </c>
      <c r="EO141">
        <v>6.1004984635463124</v>
      </c>
      <c r="EP141">
        <v>6.935101637710714</v>
      </c>
      <c r="EQ141">
        <v>1004.2961224785912</v>
      </c>
      <c r="ER141">
        <v>19.155895215916441</v>
      </c>
      <c r="ES141">
        <v>8.8200424825222878</v>
      </c>
      <c r="ET141">
        <v>14.402380757988876</v>
      </c>
      <c r="EU141">
        <v>6.2329108703518949</v>
      </c>
      <c r="EV141">
        <v>7.4437391116595935</v>
      </c>
      <c r="EW141">
        <v>1037.7389799832947</v>
      </c>
      <c r="EX141">
        <v>20.477900287722637</v>
      </c>
      <c r="EY141">
        <v>9.022320615350484</v>
      </c>
      <c r="EZ141">
        <v>15.152831333726944</v>
      </c>
      <c r="FA141">
        <v>7.3382274047432183</v>
      </c>
      <c r="FB141">
        <v>8.1202017642727089</v>
      </c>
      <c r="FC141">
        <v>1151.8582558602141</v>
      </c>
      <c r="FD141">
        <v>19.821775846786014</v>
      </c>
      <c r="FE141">
        <v>9.4176438836938061</v>
      </c>
      <c r="FF141">
        <v>15.320870150818738</v>
      </c>
      <c r="FG141">
        <v>7.5495266694156351</v>
      </c>
      <c r="FH141">
        <v>8.4935821549011354</v>
      </c>
      <c r="FI141">
        <v>1273.4707729685028</v>
      </c>
      <c r="FJ141">
        <v>18.720939780146839</v>
      </c>
      <c r="FK141">
        <v>8.9859114360575507</v>
      </c>
    </row>
    <row r="142" spans="2:167" x14ac:dyDescent="0.25">
      <c r="B142">
        <v>601.20625038839387</v>
      </c>
      <c r="C142">
        <v>1.6633226939240497</v>
      </c>
      <c r="D142">
        <v>645.69394725378049</v>
      </c>
      <c r="E142">
        <v>1.5487213474017045</v>
      </c>
      <c r="F142">
        <v>732.9125212748321</v>
      </c>
      <c r="G142">
        <v>1.3644193146824597</v>
      </c>
      <c r="H142">
        <v>821.81558446105635</v>
      </c>
      <c r="I142">
        <v>1.2168180050464683</v>
      </c>
      <c r="J142">
        <v>911.78290900060495</v>
      </c>
      <c r="K142">
        <v>1.0967522972064576</v>
      </c>
      <c r="L142">
        <v>690.73753805648187</v>
      </c>
      <c r="M142">
        <v>1.4477278921508818</v>
      </c>
      <c r="N142">
        <v>688.72549731865342</v>
      </c>
      <c r="O142">
        <v>1.4519572803579956</v>
      </c>
      <c r="Q142">
        <v>0.27860340012394769</v>
      </c>
      <c r="R142">
        <v>0.27921764649400627</v>
      </c>
      <c r="S142">
        <v>0.27885883453103699</v>
      </c>
      <c r="T142">
        <v>0.27989333189244114</v>
      </c>
      <c r="U142">
        <v>0.2802428481265129</v>
      </c>
      <c r="V142">
        <v>0.27903358187932753</v>
      </c>
      <c r="W142">
        <v>0.27895178881458549</v>
      </c>
      <c r="Y142">
        <v>2.1478538101915015</v>
      </c>
      <c r="Z142">
        <v>2.2065577053811301</v>
      </c>
      <c r="AA142">
        <v>2.234133780666002</v>
      </c>
      <c r="AB142">
        <v>2.3827331312248705</v>
      </c>
      <c r="AC142">
        <v>2.4483108740272961</v>
      </c>
      <c r="AD142">
        <v>2.2216074271870125</v>
      </c>
      <c r="AE142">
        <v>2.2171917690982887</v>
      </c>
      <c r="AG142">
        <v>0.86576771256102381</v>
      </c>
      <c r="AH142">
        <v>0.89970376840872512</v>
      </c>
      <c r="AI142">
        <v>0.90622832773697537</v>
      </c>
      <c r="AJ142">
        <v>0.97729234987096747</v>
      </c>
      <c r="AK142">
        <v>1.0107642139356952</v>
      </c>
      <c r="AL142">
        <v>0.90432236902957741</v>
      </c>
      <c r="AM142">
        <v>0.90023465911755041</v>
      </c>
      <c r="AO142">
        <v>146</v>
      </c>
      <c r="AP142">
        <v>16.931063736981372</v>
      </c>
      <c r="AQ142">
        <v>7.4361298436703311</v>
      </c>
      <c r="AR142">
        <v>7.7395305624900557</v>
      </c>
      <c r="AS142">
        <v>901.286237705997</v>
      </c>
      <c r="AT142">
        <v>25.018394819833038</v>
      </c>
      <c r="AU142">
        <v>11.099227656483061</v>
      </c>
      <c r="AV142">
        <v>17.832022222466019</v>
      </c>
      <c r="AW142">
        <v>7.7510731453464325</v>
      </c>
      <c r="AX142">
        <v>8.1382071172396042</v>
      </c>
      <c r="AY142">
        <v>952.50097284974629</v>
      </c>
      <c r="AZ142">
        <v>25.055498257606533</v>
      </c>
      <c r="BA142">
        <v>11.032544266756755</v>
      </c>
      <c r="BB142">
        <v>19.179895760802655</v>
      </c>
      <c r="BC142">
        <v>8.14354885679594</v>
      </c>
      <c r="BD142">
        <v>8.7013340885286503</v>
      </c>
      <c r="BE142">
        <v>1028.311491417363</v>
      </c>
      <c r="BF142">
        <v>25.311620629386272</v>
      </c>
      <c r="BG142">
        <v>10.963070891448913</v>
      </c>
      <c r="BH142">
        <v>20.427192307563793</v>
      </c>
      <c r="BI142">
        <v>8.6713172965250322</v>
      </c>
      <c r="BJ142">
        <v>9.3310730435690257</v>
      </c>
      <c r="BK142">
        <v>1103.9206991604224</v>
      </c>
      <c r="BL142">
        <v>25.460376954743097</v>
      </c>
      <c r="BM142">
        <v>11.034199068130565</v>
      </c>
      <c r="BN142">
        <v>20.9203131034675</v>
      </c>
      <c r="BO142">
        <v>8.8300012319782741</v>
      </c>
      <c r="BP142">
        <v>9.8742906991828843</v>
      </c>
      <c r="BQ142">
        <v>1213.8678382754504</v>
      </c>
      <c r="BR142">
        <v>24.253062546738832</v>
      </c>
      <c r="BS142">
        <v>10.482006148990731</v>
      </c>
      <c r="BU142">
        <v>146</v>
      </c>
      <c r="BV142">
        <v>16.196522227113306</v>
      </c>
      <c r="BW142">
        <v>6.5623482779259827</v>
      </c>
      <c r="BX142">
        <v>7.5000152703769531</v>
      </c>
      <c r="BY142">
        <v>901.59656786243283</v>
      </c>
      <c r="BZ142">
        <v>24.195071507937353</v>
      </c>
      <c r="CA142">
        <v>10.1262581243573</v>
      </c>
      <c r="CB142">
        <v>16.944108239524365</v>
      </c>
      <c r="CC142">
        <v>6.8616911413101667</v>
      </c>
      <c r="CD142">
        <v>7.8653783327379827</v>
      </c>
      <c r="CE142">
        <v>953.38525465051839</v>
      </c>
      <c r="CF142">
        <v>24.100931255840035</v>
      </c>
      <c r="CG142">
        <v>10.089444006120601</v>
      </c>
      <c r="CH142">
        <v>18.322976594219522</v>
      </c>
      <c r="CI142">
        <v>7.3610943215725717</v>
      </c>
      <c r="CJ142">
        <v>8.3988547185886713</v>
      </c>
      <c r="CK142">
        <v>1030.2701620851833</v>
      </c>
      <c r="CL142">
        <v>24.431757920725239</v>
      </c>
      <c r="CM142">
        <v>10.182763346697154</v>
      </c>
      <c r="CN142">
        <v>19.533824420756684</v>
      </c>
      <c r="CO142">
        <v>7.7751440625397477</v>
      </c>
      <c r="CP142">
        <v>9.0382984475836032</v>
      </c>
      <c r="CQ142">
        <v>1106.4275390446942</v>
      </c>
      <c r="CR142">
        <v>24.595256608902545</v>
      </c>
      <c r="CS142">
        <v>10.199228704777243</v>
      </c>
      <c r="CT142">
        <v>19.85488957733952</v>
      </c>
      <c r="CU142">
        <v>7.8443549908599701</v>
      </c>
      <c r="CV142">
        <v>9.4212243552239254</v>
      </c>
      <c r="CW142">
        <v>1216.7470309059424</v>
      </c>
      <c r="CX142">
        <v>23.3200397110602</v>
      </c>
      <c r="CY142">
        <v>9.6471358512437071</v>
      </c>
      <c r="DA142">
        <v>146</v>
      </c>
      <c r="DB142">
        <v>13.437726216437587</v>
      </c>
      <c r="DC142">
        <v>6.0380348766909941</v>
      </c>
      <c r="DD142">
        <v>7.1174054859616307</v>
      </c>
      <c r="DE142">
        <v>942.04796606784396</v>
      </c>
      <c r="DF142">
        <v>20.22762970298098</v>
      </c>
      <c r="DG142">
        <v>9.1348704937970027</v>
      </c>
      <c r="DH142">
        <v>14.051310290053296</v>
      </c>
      <c r="DI142">
        <v>6.7676685449607108</v>
      </c>
      <c r="DJ142">
        <v>7.4990341612662892</v>
      </c>
      <c r="DK142">
        <v>989.93597433549326</v>
      </c>
      <c r="DL142">
        <v>20.288862162701687</v>
      </c>
      <c r="DM142">
        <v>9.6219399977880613</v>
      </c>
      <c r="DN142">
        <v>15.618851331698355</v>
      </c>
      <c r="DO142">
        <v>6.8867399515162218</v>
      </c>
      <c r="DP142">
        <v>8.0550784516489742</v>
      </c>
      <c r="DQ142">
        <v>1068.1401675223267</v>
      </c>
      <c r="DR142">
        <v>21.033930390058821</v>
      </c>
      <c r="DS142">
        <v>9.3776483444631999</v>
      </c>
      <c r="DT142">
        <v>16.785478446374917</v>
      </c>
      <c r="DU142">
        <v>8.061446935667151</v>
      </c>
      <c r="DV142">
        <v>8.7874826743225789</v>
      </c>
      <c r="DW142">
        <v>1164.9787988482933</v>
      </c>
      <c r="DX142">
        <v>20.99997295381241</v>
      </c>
      <c r="DY142">
        <v>9.9323785124220958</v>
      </c>
      <c r="DZ142">
        <v>17.071106978735219</v>
      </c>
      <c r="EA142">
        <v>8.3390848311175532</v>
      </c>
      <c r="EB142">
        <v>9.1867521062920332</v>
      </c>
      <c r="EC142">
        <v>1280.0605644539864</v>
      </c>
      <c r="ED142">
        <v>19.991871627849658</v>
      </c>
      <c r="EE142">
        <v>9.5564648140086987</v>
      </c>
      <c r="EG142">
        <v>146</v>
      </c>
      <c r="EH142">
        <v>12.608885517820566</v>
      </c>
      <c r="EI142">
        <v>5.5427807943530443</v>
      </c>
      <c r="EJ142">
        <v>6.5462800453587962</v>
      </c>
      <c r="EK142">
        <v>956.96055647174569</v>
      </c>
      <c r="EL142">
        <v>19.046298824112359</v>
      </c>
      <c r="EM142">
        <v>8.4749909824273253</v>
      </c>
      <c r="EN142">
        <v>13.204827044811752</v>
      </c>
      <c r="EO142">
        <v>6.102219324377069</v>
      </c>
      <c r="EP142">
        <v>6.935101637710714</v>
      </c>
      <c r="EQ142">
        <v>1005.3496817904896</v>
      </c>
      <c r="ER142">
        <v>19.135820736212484</v>
      </c>
      <c r="ES142">
        <v>8.8125111954535331</v>
      </c>
      <c r="ET142">
        <v>14.402380757988876</v>
      </c>
      <c r="EU142">
        <v>6.2329108703518949</v>
      </c>
      <c r="EV142">
        <v>7.4437391116595935</v>
      </c>
      <c r="EW142">
        <v>1038.7524308701477</v>
      </c>
      <c r="EX142">
        <v>20.457921180487151</v>
      </c>
      <c r="EY142">
        <v>9.0135180570532789</v>
      </c>
      <c r="EZ142">
        <v>15.152831333726944</v>
      </c>
      <c r="FA142">
        <v>7.357082792684472</v>
      </c>
      <c r="FB142">
        <v>8.1202017642727089</v>
      </c>
      <c r="FC142">
        <v>1153.023857335915</v>
      </c>
      <c r="FD142">
        <v>19.801737847545123</v>
      </c>
      <c r="FE142">
        <v>9.4244764988931102</v>
      </c>
      <c r="FF142">
        <v>15.320870150818738</v>
      </c>
      <c r="FG142">
        <v>7.5716958064406477</v>
      </c>
      <c r="FH142">
        <v>8.4935821549011354</v>
      </c>
      <c r="FI142">
        <v>1274.5827360446403</v>
      </c>
      <c r="FJ142">
        <v>18.704607381160553</v>
      </c>
      <c r="FK142">
        <v>8.9954652570519116</v>
      </c>
    </row>
    <row r="143" spans="2:167" x14ac:dyDescent="0.25">
      <c r="B143">
        <v>601.20625038839387</v>
      </c>
      <c r="C143">
        <v>1.6633226939240497</v>
      </c>
      <c r="D143">
        <v>645.69394725378049</v>
      </c>
      <c r="E143">
        <v>1.5487213474017045</v>
      </c>
      <c r="F143">
        <v>732.9125212748321</v>
      </c>
      <c r="G143">
        <v>1.3644193146824597</v>
      </c>
      <c r="H143">
        <v>821.81558446105635</v>
      </c>
      <c r="I143">
        <v>1.2168180050464683</v>
      </c>
      <c r="J143">
        <v>911.78290900060495</v>
      </c>
      <c r="K143">
        <v>1.0967522972064576</v>
      </c>
      <c r="L143">
        <v>690.73753805648187</v>
      </c>
      <c r="M143">
        <v>1.4477278921508818</v>
      </c>
      <c r="N143">
        <v>688.72549731865342</v>
      </c>
      <c r="O143">
        <v>1.4519572803579956</v>
      </c>
      <c r="Q143">
        <v>0.28047635554929989</v>
      </c>
      <c r="R143">
        <v>0.28109208139176628</v>
      </c>
      <c r="S143">
        <v>0.28072836278793672</v>
      </c>
      <c r="T143">
        <v>0.28176531625024598</v>
      </c>
      <c r="U143">
        <v>0.28211485843260642</v>
      </c>
      <c r="V143">
        <v>0.28090447946247271</v>
      </c>
      <c r="W143">
        <v>0.2808245868122663</v>
      </c>
      <c r="Y143">
        <v>2.1478538101915015</v>
      </c>
      <c r="Z143">
        <v>2.2065577053811301</v>
      </c>
      <c r="AA143">
        <v>2.234133780666002</v>
      </c>
      <c r="AB143">
        <v>2.3827331312248705</v>
      </c>
      <c r="AC143">
        <v>2.4483108740272961</v>
      </c>
      <c r="AD143">
        <v>2.2216074271870125</v>
      </c>
      <c r="AE143">
        <v>2.2171917690982887</v>
      </c>
      <c r="AG143">
        <v>0.86576771256102381</v>
      </c>
      <c r="AH143">
        <v>0.89970376840872512</v>
      </c>
      <c r="AI143">
        <v>0.90622832773697537</v>
      </c>
      <c r="AJ143">
        <v>0.97729234987096747</v>
      </c>
      <c r="AK143">
        <v>1.0107642139356952</v>
      </c>
      <c r="AL143">
        <v>0.90432236902957741</v>
      </c>
      <c r="AM143">
        <v>0.90023465911755041</v>
      </c>
      <c r="AO143">
        <v>147</v>
      </c>
      <c r="AP143">
        <v>16.931063736981372</v>
      </c>
      <c r="AQ143">
        <v>7.4361298436703311</v>
      </c>
      <c r="AR143">
        <v>7.7395305624900557</v>
      </c>
      <c r="AS143">
        <v>902.0035183656446</v>
      </c>
      <c r="AT143">
        <v>24.998499985307102</v>
      </c>
      <c r="AU143">
        <v>11.090401458832028</v>
      </c>
      <c r="AV143">
        <v>17.832022222466019</v>
      </c>
      <c r="AW143">
        <v>7.7510731453464325</v>
      </c>
      <c r="AX143">
        <v>8.1382071172396042</v>
      </c>
      <c r="AY143">
        <v>953.26010499176914</v>
      </c>
      <c r="AZ143">
        <v>25.035545220694416</v>
      </c>
      <c r="BA143">
        <v>11.0237584601156</v>
      </c>
      <c r="BB143">
        <v>19.179895760802655</v>
      </c>
      <c r="BC143">
        <v>8.14354885679594</v>
      </c>
      <c r="BD143">
        <v>8.7013340885286503</v>
      </c>
      <c r="BE143">
        <v>1029.1192951104865</v>
      </c>
      <c r="BF143">
        <v>25.29175235879752</v>
      </c>
      <c r="BG143">
        <v>10.954465466211854</v>
      </c>
      <c r="BH143">
        <v>20.427192307563793</v>
      </c>
      <c r="BI143">
        <v>8.6713172965250322</v>
      </c>
      <c r="BJ143">
        <v>9.3310730435690257</v>
      </c>
      <c r="BK143">
        <v>1104.7933373743672</v>
      </c>
      <c r="BL143">
        <v>25.440266679707449</v>
      </c>
      <c r="BM143">
        <v>11.025483534246183</v>
      </c>
      <c r="BN143">
        <v>20.9203131034675</v>
      </c>
      <c r="BO143">
        <v>8.8300012319782741</v>
      </c>
      <c r="BP143">
        <v>9.8742906991828843</v>
      </c>
      <c r="BQ143">
        <v>1214.7818873493475</v>
      </c>
      <c r="BR143">
        <v>24.234813600495166</v>
      </c>
      <c r="BS143">
        <v>10.474119080445469</v>
      </c>
      <c r="BU143">
        <v>147</v>
      </c>
      <c r="BV143">
        <v>16.196522227113306</v>
      </c>
      <c r="BW143">
        <v>6.5623482779259827</v>
      </c>
      <c r="BX143">
        <v>7.5000152703769531</v>
      </c>
      <c r="BY143">
        <v>902.3444913565537</v>
      </c>
      <c r="BZ143">
        <v>24.175017013677056</v>
      </c>
      <c r="CA143">
        <v>10.117864804033093</v>
      </c>
      <c r="CB143">
        <v>16.944108239524365</v>
      </c>
      <c r="CC143">
        <v>6.8616911413101667</v>
      </c>
      <c r="CD143">
        <v>7.8653783327379827</v>
      </c>
      <c r="CE143">
        <v>954.17306243996813</v>
      </c>
      <c r="CF143">
        <v>24.081032453281313</v>
      </c>
      <c r="CG143">
        <v>10.081113711657128</v>
      </c>
      <c r="CH143">
        <v>18.322976594219522</v>
      </c>
      <c r="CI143">
        <v>7.3610943215725717</v>
      </c>
      <c r="CJ143">
        <v>8.3988547185886713</v>
      </c>
      <c r="CK143">
        <v>1031.1118603451521</v>
      </c>
      <c r="CL143">
        <v>24.411814237677149</v>
      </c>
      <c r="CM143">
        <v>10.174451140698748</v>
      </c>
      <c r="CN143">
        <v>19.533824420756684</v>
      </c>
      <c r="CO143">
        <v>7.7751440625397477</v>
      </c>
      <c r="CP143">
        <v>9.0382984475836032</v>
      </c>
      <c r="CQ143">
        <v>1107.3377173401302</v>
      </c>
      <c r="CR143">
        <v>24.575040492007446</v>
      </c>
      <c r="CS143">
        <v>10.190845429781811</v>
      </c>
      <c r="CT143">
        <v>19.85488957733952</v>
      </c>
      <c r="CU143">
        <v>7.8443549908599701</v>
      </c>
      <c r="CV143">
        <v>9.4212243552239254</v>
      </c>
      <c r="CW143">
        <v>1217.696064794726</v>
      </c>
      <c r="CX143">
        <v>23.301864807967856</v>
      </c>
      <c r="CY143">
        <v>9.6396171779743867</v>
      </c>
      <c r="DA143">
        <v>147</v>
      </c>
      <c r="DB143">
        <v>13.437726216437587</v>
      </c>
      <c r="DC143">
        <v>6.0380348766909941</v>
      </c>
      <c r="DD143">
        <v>7.1174054859616307</v>
      </c>
      <c r="DE143">
        <v>942.9812938211503</v>
      </c>
      <c r="DF143">
        <v>20.207609148693109</v>
      </c>
      <c r="DG143">
        <v>9.125829139307168</v>
      </c>
      <c r="DH143">
        <v>14.051310290053296</v>
      </c>
      <c r="DI143">
        <v>6.7686044625909281</v>
      </c>
      <c r="DJ143">
        <v>7.4990341612662892</v>
      </c>
      <c r="DK143">
        <v>990.9197157786507</v>
      </c>
      <c r="DL143">
        <v>20.26872027408433</v>
      </c>
      <c r="DM143">
        <v>9.6133322535143737</v>
      </c>
      <c r="DN143">
        <v>15.618851331698355</v>
      </c>
      <c r="DO143">
        <v>6.8867399515162218</v>
      </c>
      <c r="DP143">
        <v>8.0550784516489742</v>
      </c>
      <c r="DQ143">
        <v>1069.1634169522436</v>
      </c>
      <c r="DR143">
        <v>21.01379973749507</v>
      </c>
      <c r="DS143">
        <v>9.3686734083867425</v>
      </c>
      <c r="DT143">
        <v>16.785478446374917</v>
      </c>
      <c r="DU143">
        <v>8.0823113537519635</v>
      </c>
      <c r="DV143">
        <v>8.7874826743225789</v>
      </c>
      <c r="DW143">
        <v>1166.1021315848834</v>
      </c>
      <c r="DX143">
        <v>20.97974320167701</v>
      </c>
      <c r="DY143">
        <v>9.9407028708866605</v>
      </c>
      <c r="DZ143">
        <v>17.071106978735219</v>
      </c>
      <c r="EA143">
        <v>8.3633078722557688</v>
      </c>
      <c r="EB143">
        <v>9.1867521062920332</v>
      </c>
      <c r="EC143">
        <v>1281.2356125168815</v>
      </c>
      <c r="ED143">
        <v>19.973536662913894</v>
      </c>
      <c r="EE143">
        <v>9.5666063801214811</v>
      </c>
      <c r="EG143">
        <v>147</v>
      </c>
      <c r="EH143">
        <v>12.608885517820566</v>
      </c>
      <c r="EI143">
        <v>5.5427807943530443</v>
      </c>
      <c r="EJ143">
        <v>6.5462800453587962</v>
      </c>
      <c r="EK143">
        <v>957.97087321907156</v>
      </c>
      <c r="EL143">
        <v>19.026211788885586</v>
      </c>
      <c r="EM143">
        <v>8.4660528971865823</v>
      </c>
      <c r="EN143">
        <v>13.204827044811752</v>
      </c>
      <c r="EO143">
        <v>6.1033892752677392</v>
      </c>
      <c r="EP143">
        <v>6.935101637710714</v>
      </c>
      <c r="EQ143">
        <v>1006.4054497864911</v>
      </c>
      <c r="ER143">
        <v>19.115746334673023</v>
      </c>
      <c r="ES143">
        <v>8.804428949480382</v>
      </c>
      <c r="ET143">
        <v>14.402380757988876</v>
      </c>
      <c r="EU143">
        <v>6.2329108703518949</v>
      </c>
      <c r="EV143">
        <v>7.4437391116595935</v>
      </c>
      <c r="EW143">
        <v>1039.7678641917807</v>
      </c>
      <c r="EX143">
        <v>20.437942052863164</v>
      </c>
      <c r="EY143">
        <v>9.0047154897731421</v>
      </c>
      <c r="EZ143">
        <v>15.152831333726944</v>
      </c>
      <c r="FA143">
        <v>7.3754993560936626</v>
      </c>
      <c r="FB143">
        <v>8.1202017642727089</v>
      </c>
      <c r="FC143">
        <v>1154.1918179750389</v>
      </c>
      <c r="FD143">
        <v>19.78169988675559</v>
      </c>
      <c r="FE143">
        <v>9.430895835522211</v>
      </c>
      <c r="FF143">
        <v>15.320870150818738</v>
      </c>
      <c r="FG143">
        <v>7.5934553410089309</v>
      </c>
      <c r="FH143">
        <v>8.4935821549011354</v>
      </c>
      <c r="FI143">
        <v>1275.6968501772783</v>
      </c>
      <c r="FJ143">
        <v>18.688271942669893</v>
      </c>
      <c r="FK143">
        <v>9.0046661574022711</v>
      </c>
    </row>
    <row r="144" spans="2:167" x14ac:dyDescent="0.25">
      <c r="B144">
        <v>601.20625038839387</v>
      </c>
      <c r="C144">
        <v>1.6633226939240497</v>
      </c>
      <c r="D144">
        <v>645.69394725378049</v>
      </c>
      <c r="E144">
        <v>1.5487213474017045</v>
      </c>
      <c r="F144">
        <v>732.9125212748321</v>
      </c>
      <c r="G144">
        <v>1.3644193146824597</v>
      </c>
      <c r="H144">
        <v>821.81558446105635</v>
      </c>
      <c r="I144">
        <v>1.2168180050464683</v>
      </c>
      <c r="J144">
        <v>911.78290900060495</v>
      </c>
      <c r="K144">
        <v>1.0967522972064576</v>
      </c>
      <c r="L144">
        <v>690.73753805648187</v>
      </c>
      <c r="M144">
        <v>1.4477278921508818</v>
      </c>
      <c r="N144">
        <v>688.72549731865342</v>
      </c>
      <c r="O144">
        <v>1.4519572803579956</v>
      </c>
      <c r="Q144">
        <v>0.2823493109746521</v>
      </c>
      <c r="R144">
        <v>0.28296651628952629</v>
      </c>
      <c r="S144">
        <v>0.28259789104483651</v>
      </c>
      <c r="T144">
        <v>0.28363730060805081</v>
      </c>
      <c r="U144">
        <v>0.28398686873869994</v>
      </c>
      <c r="V144">
        <v>0.28277537704561789</v>
      </c>
      <c r="W144">
        <v>0.28269738480994711</v>
      </c>
      <c r="Y144">
        <v>2.1478538101915015</v>
      </c>
      <c r="Z144">
        <v>2.2065577053811301</v>
      </c>
      <c r="AA144">
        <v>2.234133780666002</v>
      </c>
      <c r="AB144">
        <v>2.3827331312248705</v>
      </c>
      <c r="AC144">
        <v>2.4483108740272961</v>
      </c>
      <c r="AD144">
        <v>2.2216074271870125</v>
      </c>
      <c r="AE144">
        <v>2.2171917690982887</v>
      </c>
      <c r="AG144">
        <v>0.86576771256102381</v>
      </c>
      <c r="AH144">
        <v>0.89970376840872512</v>
      </c>
      <c r="AI144">
        <v>0.90622832773697537</v>
      </c>
      <c r="AJ144">
        <v>0.97729234987096747</v>
      </c>
      <c r="AK144">
        <v>1.0107642139356952</v>
      </c>
      <c r="AL144">
        <v>0.90432236902957741</v>
      </c>
      <c r="AM144">
        <v>0.90023465911755041</v>
      </c>
      <c r="AO144">
        <v>148</v>
      </c>
      <c r="AP144">
        <v>16.931063736981372</v>
      </c>
      <c r="AQ144">
        <v>7.4361298436703311</v>
      </c>
      <c r="AR144">
        <v>7.7395305624900557</v>
      </c>
      <c r="AS144">
        <v>902.72194463706091</v>
      </c>
      <c r="AT144">
        <v>24.978605067229459</v>
      </c>
      <c r="AU144">
        <v>11.081575224113893</v>
      </c>
      <c r="AV144">
        <v>17.832022222466019</v>
      </c>
      <c r="AW144">
        <v>7.7510731453464325</v>
      </c>
      <c r="AX144">
        <v>8.1382071172396042</v>
      </c>
      <c r="AY144">
        <v>954.02044956386317</v>
      </c>
      <c r="AZ144">
        <v>25.015592146390116</v>
      </c>
      <c r="BA144">
        <v>11.014972637009759</v>
      </c>
      <c r="BB144">
        <v>19.179895760802655</v>
      </c>
      <c r="BC144">
        <v>8.14354885679594</v>
      </c>
      <c r="BD144">
        <v>8.7013340885286503</v>
      </c>
      <c r="BE144">
        <v>1029.9283731718365</v>
      </c>
      <c r="BF144">
        <v>25.271883984938103</v>
      </c>
      <c r="BG144">
        <v>10.94585999624579</v>
      </c>
      <c r="BH144">
        <v>20.427192307563793</v>
      </c>
      <c r="BI144">
        <v>8.6713172965250322</v>
      </c>
      <c r="BJ144">
        <v>9.3310730435690257</v>
      </c>
      <c r="BK144">
        <v>1105.6673525079461</v>
      </c>
      <c r="BL144">
        <v>25.420156491928175</v>
      </c>
      <c r="BM144">
        <v>11.01676803817759</v>
      </c>
      <c r="BN144">
        <v>20.9203131034675</v>
      </c>
      <c r="BO144">
        <v>8.8300012319782741</v>
      </c>
      <c r="BP144">
        <v>9.8742906991828843</v>
      </c>
      <c r="BQ144">
        <v>1215.6973786843059</v>
      </c>
      <c r="BR144">
        <v>24.216563366313039</v>
      </c>
      <c r="BS144">
        <v>10.466231455262095</v>
      </c>
      <c r="BU144">
        <v>148</v>
      </c>
      <c r="BV144">
        <v>16.196522227113306</v>
      </c>
      <c r="BW144">
        <v>6.5623482779259827</v>
      </c>
      <c r="BX144">
        <v>7.5000152703769531</v>
      </c>
      <c r="BY144">
        <v>903.0936550769361</v>
      </c>
      <c r="BZ144">
        <v>24.154962564634637</v>
      </c>
      <c r="CA144">
        <v>10.109471502633728</v>
      </c>
      <c r="CB144">
        <v>16.944108239524365</v>
      </c>
      <c r="CC144">
        <v>6.8616911413101667</v>
      </c>
      <c r="CD144">
        <v>7.8653783327379827</v>
      </c>
      <c r="CE144">
        <v>954.9621765928589</v>
      </c>
      <c r="CF144">
        <v>24.061133567240709</v>
      </c>
      <c r="CG144">
        <v>10.07278338224539</v>
      </c>
      <c r="CH144">
        <v>18.322976594219522</v>
      </c>
      <c r="CI144">
        <v>7.3610943215725717</v>
      </c>
      <c r="CJ144">
        <v>8.3988547185886713</v>
      </c>
      <c r="CK144">
        <v>1031.9549369558788</v>
      </c>
      <c r="CL144">
        <v>24.391870508671015</v>
      </c>
      <c r="CM144">
        <v>10.166138915545769</v>
      </c>
      <c r="CN144">
        <v>19.533824420756684</v>
      </c>
      <c r="CO144">
        <v>7.7751440625397477</v>
      </c>
      <c r="CP144">
        <v>9.0382984475836032</v>
      </c>
      <c r="CQ144">
        <v>1108.2493863025484</v>
      </c>
      <c r="CR144">
        <v>24.55482455329939</v>
      </c>
      <c r="CS144">
        <v>10.182462228677473</v>
      </c>
      <c r="CT144">
        <v>19.85488957733952</v>
      </c>
      <c r="CU144">
        <v>7.8443549908599701</v>
      </c>
      <c r="CV144">
        <v>9.4212243552239254</v>
      </c>
      <c r="CW144">
        <v>1218.6466529871993</v>
      </c>
      <c r="CX144">
        <v>23.283688515853346</v>
      </c>
      <c r="CY144">
        <v>9.6320979300883121</v>
      </c>
      <c r="DA144">
        <v>148</v>
      </c>
      <c r="DB144">
        <v>13.437726216437587</v>
      </c>
      <c r="DC144">
        <v>6.0380348766909941</v>
      </c>
      <c r="DD144">
        <v>7.1174054859616307</v>
      </c>
      <c r="DE144">
        <v>943.91647183311397</v>
      </c>
      <c r="DF144">
        <v>20.187588614764383</v>
      </c>
      <c r="DG144">
        <v>9.1167877940116</v>
      </c>
      <c r="DH144">
        <v>14.051310290053296</v>
      </c>
      <c r="DI144">
        <v>6.7689233510866638</v>
      </c>
      <c r="DJ144">
        <v>7.4990341612662892</v>
      </c>
      <c r="DK144">
        <v>991.90540742216945</v>
      </c>
      <c r="DL144">
        <v>20.248578526646025</v>
      </c>
      <c r="DM144">
        <v>9.6041006345470734</v>
      </c>
      <c r="DN144">
        <v>15.618851331698355</v>
      </c>
      <c r="DO144">
        <v>6.8867399515162218</v>
      </c>
      <c r="DP144">
        <v>8.0550784516489742</v>
      </c>
      <c r="DQ144">
        <v>1070.1886223650624</v>
      </c>
      <c r="DR144">
        <v>20.993669210236089</v>
      </c>
      <c r="DS144">
        <v>9.3596985281754552</v>
      </c>
      <c r="DT144">
        <v>16.785478446374917</v>
      </c>
      <c r="DU144">
        <v>8.1027065671085499</v>
      </c>
      <c r="DV144">
        <v>8.7874826743225789</v>
      </c>
      <c r="DW144">
        <v>1167.2276203967167</v>
      </c>
      <c r="DX144">
        <v>20.959513671604206</v>
      </c>
      <c r="DY144">
        <v>9.9485908469187176</v>
      </c>
      <c r="DZ144">
        <v>17.071106978735219</v>
      </c>
      <c r="EA144">
        <v>8.3870841900468136</v>
      </c>
      <c r="EB144">
        <v>9.1867521062920332</v>
      </c>
      <c r="EC144">
        <v>1282.4129159151328</v>
      </c>
      <c r="ED144">
        <v>19.955200203341068</v>
      </c>
      <c r="EE144">
        <v>9.5763641729779785</v>
      </c>
      <c r="EG144">
        <v>148</v>
      </c>
      <c r="EH144">
        <v>12.608885517820566</v>
      </c>
      <c r="EI144">
        <v>5.5427807943530443</v>
      </c>
      <c r="EJ144">
        <v>6.5462800453587962</v>
      </c>
      <c r="EK144">
        <v>958.98332087782103</v>
      </c>
      <c r="EL144">
        <v>19.006124845597672</v>
      </c>
      <c r="EM144">
        <v>8.4571148528556748</v>
      </c>
      <c r="EN144">
        <v>13.204827044811752</v>
      </c>
      <c r="EO144">
        <v>6.104008316218323</v>
      </c>
      <c r="EP144">
        <v>6.935101637710714</v>
      </c>
      <c r="EQ144">
        <v>1007.4634334193189</v>
      </c>
      <c r="ER144">
        <v>19.095672011297602</v>
      </c>
      <c r="ES144">
        <v>8.7957974691845209</v>
      </c>
      <c r="ET144">
        <v>14.402380757988876</v>
      </c>
      <c r="EU144">
        <v>6.2329108703518949</v>
      </c>
      <c r="EV144">
        <v>7.4437391116595935</v>
      </c>
      <c r="EW144">
        <v>1040.7852857707189</v>
      </c>
      <c r="EX144">
        <v>20.417962904850636</v>
      </c>
      <c r="EY144">
        <v>8.9959129135100557</v>
      </c>
      <c r="EZ144">
        <v>15.152831333726944</v>
      </c>
      <c r="FA144">
        <v>7.393477094970792</v>
      </c>
      <c r="FB144">
        <v>8.1202017642727089</v>
      </c>
      <c r="FC144">
        <v>1155.3621449472191</v>
      </c>
      <c r="FD144">
        <v>19.761661964417307</v>
      </c>
      <c r="FE144">
        <v>9.436903049052054</v>
      </c>
      <c r="FF144">
        <v>15.320870150818738</v>
      </c>
      <c r="FG144">
        <v>7.6148052731204841</v>
      </c>
      <c r="FH144">
        <v>8.4935821549011354</v>
      </c>
      <c r="FI144">
        <v>1276.8131216141835</v>
      </c>
      <c r="FJ144">
        <v>18.671933463826299</v>
      </c>
      <c r="FK144">
        <v>9.0135149703490676</v>
      </c>
    </row>
    <row r="145" spans="2:167" x14ac:dyDescent="0.25">
      <c r="B145">
        <v>601.20625038839387</v>
      </c>
      <c r="C145">
        <v>1.6633226939240497</v>
      </c>
      <c r="D145">
        <v>645.69394725378049</v>
      </c>
      <c r="E145">
        <v>1.5487213474017045</v>
      </c>
      <c r="F145">
        <v>732.9125212748321</v>
      </c>
      <c r="G145">
        <v>1.3644193146824597</v>
      </c>
      <c r="H145">
        <v>821.81558446105635</v>
      </c>
      <c r="I145">
        <v>1.2168180050464683</v>
      </c>
      <c r="J145">
        <v>911.78290900060495</v>
      </c>
      <c r="K145">
        <v>1.0967522972064576</v>
      </c>
      <c r="L145">
        <v>690.73753805648187</v>
      </c>
      <c r="M145">
        <v>1.4477278921508818</v>
      </c>
      <c r="N145">
        <v>688.72549731865342</v>
      </c>
      <c r="O145">
        <v>1.4519572803579956</v>
      </c>
      <c r="Q145">
        <v>0.28422226640000431</v>
      </c>
      <c r="R145">
        <v>0.28484095118728631</v>
      </c>
      <c r="S145">
        <v>0.28446741930173625</v>
      </c>
      <c r="T145">
        <v>0.28550928496585559</v>
      </c>
      <c r="U145">
        <v>0.28585887904479346</v>
      </c>
      <c r="V145">
        <v>0.28464627462876307</v>
      </c>
      <c r="W145">
        <v>0.28457018280762797</v>
      </c>
      <c r="Y145">
        <v>2.1478538101915015</v>
      </c>
      <c r="Z145">
        <v>2.2065577053811301</v>
      </c>
      <c r="AA145">
        <v>2.234133780666002</v>
      </c>
      <c r="AB145">
        <v>2.3827331312248705</v>
      </c>
      <c r="AC145">
        <v>2.4483108740272961</v>
      </c>
      <c r="AD145">
        <v>2.2216074271870125</v>
      </c>
      <c r="AE145">
        <v>2.2171917690982887</v>
      </c>
      <c r="AG145">
        <v>0.86576771256102381</v>
      </c>
      <c r="AH145">
        <v>0.89970376840872512</v>
      </c>
      <c r="AI145">
        <v>0.90622832773697537</v>
      </c>
      <c r="AJ145">
        <v>0.97729234987096747</v>
      </c>
      <c r="AK145">
        <v>1.0107642139356952</v>
      </c>
      <c r="AL145">
        <v>0.90432236902957741</v>
      </c>
      <c r="AM145">
        <v>0.90023465911755041</v>
      </c>
      <c r="AO145">
        <v>149</v>
      </c>
      <c r="AP145">
        <v>16.931063736981372</v>
      </c>
      <c r="AQ145">
        <v>7.4361298436703311</v>
      </c>
      <c r="AR145">
        <v>7.7395305624900557</v>
      </c>
      <c r="AS145">
        <v>903.44151926702716</v>
      </c>
      <c r="AT145">
        <v>24.958710065599572</v>
      </c>
      <c r="AU145">
        <v>11.072748952328416</v>
      </c>
      <c r="AV145">
        <v>17.832022222466019</v>
      </c>
      <c r="AW145">
        <v>7.7510731453464325</v>
      </c>
      <c r="AX145">
        <v>8.1382071172396042</v>
      </c>
      <c r="AY145">
        <v>954.78200947295613</v>
      </c>
      <c r="AZ145">
        <v>24.995639034693522</v>
      </c>
      <c r="BA145">
        <v>11.006186797439181</v>
      </c>
      <c r="BB145">
        <v>19.179895760802655</v>
      </c>
      <c r="BC145">
        <v>8.14354885679594</v>
      </c>
      <c r="BD145">
        <v>8.7013340885286503</v>
      </c>
      <c r="BE145">
        <v>1030.7387286194041</v>
      </c>
      <c r="BF145">
        <v>25.252015507807215</v>
      </c>
      <c r="BG145">
        <v>10.93725448155037</v>
      </c>
      <c r="BH145">
        <v>20.427192307563793</v>
      </c>
      <c r="BI145">
        <v>8.6713172965250322</v>
      </c>
      <c r="BJ145">
        <v>9.3310730435690257</v>
      </c>
      <c r="BK145">
        <v>1106.5427478226566</v>
      </c>
      <c r="BL145">
        <v>25.400046391404697</v>
      </c>
      <c r="BM145">
        <v>11.008052579924531</v>
      </c>
      <c r="BN145">
        <v>20.9203131034675</v>
      </c>
      <c r="BO145">
        <v>8.8300012319782741</v>
      </c>
      <c r="BP145">
        <v>9.8742906991828843</v>
      </c>
      <c r="BQ145">
        <v>1216.6143156965966</v>
      </c>
      <c r="BR145">
        <v>24.198311844056093</v>
      </c>
      <c r="BS145">
        <v>10.458343273381681</v>
      </c>
      <c r="BU145">
        <v>149</v>
      </c>
      <c r="BV145">
        <v>16.196522227113306</v>
      </c>
      <c r="BW145">
        <v>6.5623482779259827</v>
      </c>
      <c r="BX145">
        <v>7.5000152703769531</v>
      </c>
      <c r="BY145">
        <v>903.84406211100304</v>
      </c>
      <c r="BZ145">
        <v>24.134908160809943</v>
      </c>
      <c r="CA145">
        <v>10.10107822015914</v>
      </c>
      <c r="CB145">
        <v>16.944108239524365</v>
      </c>
      <c r="CC145">
        <v>6.8616911413101667</v>
      </c>
      <c r="CD145">
        <v>7.8653783327379827</v>
      </c>
      <c r="CE145">
        <v>955.75260036125599</v>
      </c>
      <c r="CF145">
        <v>24.041234597717704</v>
      </c>
      <c r="CG145">
        <v>10.064453017885166</v>
      </c>
      <c r="CH145">
        <v>18.322976594219522</v>
      </c>
      <c r="CI145">
        <v>7.3610943215725717</v>
      </c>
      <c r="CJ145">
        <v>8.3988547185886713</v>
      </c>
      <c r="CK145">
        <v>1032.799395305884</v>
      </c>
      <c r="CL145">
        <v>24.371926733706665</v>
      </c>
      <c r="CM145">
        <v>10.15782667123815</v>
      </c>
      <c r="CN145">
        <v>19.533824420756684</v>
      </c>
      <c r="CO145">
        <v>7.7751440625397477</v>
      </c>
      <c r="CP145">
        <v>9.0382984475836032</v>
      </c>
      <c r="CQ145">
        <v>1109.162549597015</v>
      </c>
      <c r="CR145">
        <v>24.534608792776027</v>
      </c>
      <c r="CS145">
        <v>10.174079101463253</v>
      </c>
      <c r="CT145">
        <v>19.85488957733952</v>
      </c>
      <c r="CU145">
        <v>7.8443549908599701</v>
      </c>
      <c r="CV145">
        <v>9.4212243552239254</v>
      </c>
      <c r="CW145">
        <v>1219.5987993048909</v>
      </c>
      <c r="CX145">
        <v>23.265510834557428</v>
      </c>
      <c r="CY145">
        <v>9.6245781075196071</v>
      </c>
      <c r="DA145">
        <v>149</v>
      </c>
      <c r="DB145">
        <v>13.437726216437587</v>
      </c>
      <c r="DC145">
        <v>6.0380348766909941</v>
      </c>
      <c r="DD145">
        <v>7.1174054859616307</v>
      </c>
      <c r="DE145">
        <v>944.85350561121152</v>
      </c>
      <c r="DF145">
        <v>20.167568101194789</v>
      </c>
      <c r="DG145">
        <v>9.1077464579102863</v>
      </c>
      <c r="DH145">
        <v>14.051310290053296</v>
      </c>
      <c r="DI145">
        <v>6.7689233510866638</v>
      </c>
      <c r="DJ145">
        <v>7.4990341612662892</v>
      </c>
      <c r="DK145">
        <v>992.89305507101244</v>
      </c>
      <c r="DL145">
        <v>20.228436920385295</v>
      </c>
      <c r="DM145">
        <v>9.5945472719139939</v>
      </c>
      <c r="DN145">
        <v>15.618851331698355</v>
      </c>
      <c r="DO145">
        <v>6.8867399515162218</v>
      </c>
      <c r="DP145">
        <v>8.0550784516489742</v>
      </c>
      <c r="DQ145">
        <v>1071.2157893745602</v>
      </c>
      <c r="DR145">
        <v>20.973538808280704</v>
      </c>
      <c r="DS145">
        <v>9.3507237038288107</v>
      </c>
      <c r="DT145">
        <v>16.785478446374917</v>
      </c>
      <c r="DU145">
        <v>8.1226325757369064</v>
      </c>
      <c r="DV145">
        <v>8.7874826743225789</v>
      </c>
      <c r="DW145">
        <v>1168.3552714971695</v>
      </c>
      <c r="DX145">
        <v>20.939284363590343</v>
      </c>
      <c r="DY145">
        <v>9.9560436050174737</v>
      </c>
      <c r="DZ145">
        <v>17.071106978735219</v>
      </c>
      <c r="EA145">
        <v>8.4104137844906859</v>
      </c>
      <c r="EB145">
        <v>9.1867521062920332</v>
      </c>
      <c r="EC145">
        <v>1283.5924811481648</v>
      </c>
      <c r="ED145">
        <v>19.936862248948412</v>
      </c>
      <c r="EE145">
        <v>9.5857391485900276</v>
      </c>
      <c r="EG145">
        <v>149</v>
      </c>
      <c r="EH145">
        <v>12.608885517820566</v>
      </c>
      <c r="EI145">
        <v>5.5427807943530443</v>
      </c>
      <c r="EJ145">
        <v>6.5462800453587962</v>
      </c>
      <c r="EK145">
        <v>959.9979061967349</v>
      </c>
      <c r="EL145">
        <v>18.98603799424798</v>
      </c>
      <c r="EM145">
        <v>8.4481768494343257</v>
      </c>
      <c r="EN145">
        <v>13.204827044811752</v>
      </c>
      <c r="EO145">
        <v>6.1040764472288256</v>
      </c>
      <c r="EP145">
        <v>6.935101637710714</v>
      </c>
      <c r="EQ145">
        <v>1008.5236396709089</v>
      </c>
      <c r="ER145">
        <v>19.075597766085764</v>
      </c>
      <c r="ES145">
        <v>8.786618479134205</v>
      </c>
      <c r="ET145">
        <v>14.402380757988876</v>
      </c>
      <c r="EU145">
        <v>6.2329108703518949</v>
      </c>
      <c r="EV145">
        <v>7.4437391116595935</v>
      </c>
      <c r="EW145">
        <v>1041.8047014523106</v>
      </c>
      <c r="EX145">
        <v>20.39798373644955</v>
      </c>
      <c r="EY145">
        <v>8.987110328264011</v>
      </c>
      <c r="EZ145">
        <v>15.152831333726944</v>
      </c>
      <c r="FA145">
        <v>7.4110160093158575</v>
      </c>
      <c r="FB145">
        <v>8.1202017642727089</v>
      </c>
      <c r="FC145">
        <v>1156.5348454511702</v>
      </c>
      <c r="FD145">
        <v>19.741624080530165</v>
      </c>
      <c r="FE145">
        <v>9.4424992949491511</v>
      </c>
      <c r="FF145">
        <v>15.320870150818738</v>
      </c>
      <c r="FG145">
        <v>7.6357456027753079</v>
      </c>
      <c r="FH145">
        <v>8.4935821549011354</v>
      </c>
      <c r="FI145">
        <v>1277.9315566273417</v>
      </c>
      <c r="FJ145">
        <v>18.655591943780877</v>
      </c>
      <c r="FK145">
        <v>9.0220125294429376</v>
      </c>
    </row>
    <row r="146" spans="2:167" x14ac:dyDescent="0.25">
      <c r="B146">
        <v>601.20625038839387</v>
      </c>
      <c r="C146">
        <v>1.6633226939240497</v>
      </c>
      <c r="D146">
        <v>645.69394725378049</v>
      </c>
      <c r="E146">
        <v>1.5487213474017045</v>
      </c>
      <c r="F146">
        <v>732.9125212748321</v>
      </c>
      <c r="G146">
        <v>1.3644193146824597</v>
      </c>
      <c r="H146">
        <v>821.81558446105635</v>
      </c>
      <c r="I146">
        <v>1.2168180050464683</v>
      </c>
      <c r="J146">
        <v>911.78290900060495</v>
      </c>
      <c r="K146">
        <v>1.0967522972064576</v>
      </c>
      <c r="L146">
        <v>690.73753805648187</v>
      </c>
      <c r="M146">
        <v>1.4477278921508818</v>
      </c>
      <c r="N146">
        <v>688.72549731865342</v>
      </c>
      <c r="O146">
        <v>1.4519572803579956</v>
      </c>
      <c r="Q146">
        <v>0.28609522182535652</v>
      </c>
      <c r="R146">
        <v>0.28671538608504632</v>
      </c>
      <c r="S146">
        <v>0.28633694755863603</v>
      </c>
      <c r="T146">
        <v>0.28738126932366043</v>
      </c>
      <c r="U146">
        <v>0.28773088935088698</v>
      </c>
      <c r="V146">
        <v>0.28651717221190826</v>
      </c>
      <c r="W146">
        <v>0.28644298080530878</v>
      </c>
      <c r="Y146">
        <v>2.1478538101915015</v>
      </c>
      <c r="Z146">
        <v>2.2065577053811301</v>
      </c>
      <c r="AA146">
        <v>2.234133780666002</v>
      </c>
      <c r="AB146">
        <v>2.3827331312248705</v>
      </c>
      <c r="AC146">
        <v>2.4483108740272961</v>
      </c>
      <c r="AD146">
        <v>2.2216074271870125</v>
      </c>
      <c r="AE146">
        <v>2.2171917690982887</v>
      </c>
      <c r="AG146">
        <v>0.86576771256102381</v>
      </c>
      <c r="AH146">
        <v>0.89970376840872512</v>
      </c>
      <c r="AI146">
        <v>0.90622832773697537</v>
      </c>
      <c r="AJ146">
        <v>0.97729234987096747</v>
      </c>
      <c r="AK146">
        <v>1.0107642139356952</v>
      </c>
      <c r="AL146">
        <v>0.90432236902957741</v>
      </c>
      <c r="AM146">
        <v>0.90023465911755041</v>
      </c>
      <c r="AO146">
        <v>150</v>
      </c>
      <c r="AP146">
        <v>16.931063736981372</v>
      </c>
      <c r="AQ146">
        <v>7.4361298436703311</v>
      </c>
      <c r="AR146">
        <v>7.7395305624900557</v>
      </c>
      <c r="AS146">
        <v>904.16224501111219</v>
      </c>
      <c r="AT146">
        <v>24.938814980416925</v>
      </c>
      <c r="AU146">
        <v>11.063922643475367</v>
      </c>
      <c r="AV146">
        <v>17.832022222466019</v>
      </c>
      <c r="AW146">
        <v>7.7510731453464325</v>
      </c>
      <c r="AX146">
        <v>8.1382071172396042</v>
      </c>
      <c r="AY146">
        <v>955.54478763527595</v>
      </c>
      <c r="AZ146">
        <v>24.975685885604534</v>
      </c>
      <c r="BA146">
        <v>10.997400941403823</v>
      </c>
      <c r="BB146">
        <v>19.179895760802655</v>
      </c>
      <c r="BC146">
        <v>8.14354885679594</v>
      </c>
      <c r="BD146">
        <v>8.7013340885286503</v>
      </c>
      <c r="BE146">
        <v>1031.5503644807181</v>
      </c>
      <c r="BF146">
        <v>25.232146927404056</v>
      </c>
      <c r="BG146">
        <v>10.92864892212525</v>
      </c>
      <c r="BH146">
        <v>20.427192307563793</v>
      </c>
      <c r="BI146">
        <v>8.6713172965250322</v>
      </c>
      <c r="BJ146">
        <v>9.3310730435690257</v>
      </c>
      <c r="BK146">
        <v>1107.4195265903045</v>
      </c>
      <c r="BL146">
        <v>25.379936378136442</v>
      </c>
      <c r="BM146">
        <v>10.999337159486762</v>
      </c>
      <c r="BN146">
        <v>20.9203131034675</v>
      </c>
      <c r="BO146">
        <v>8.8300012319782741</v>
      </c>
      <c r="BP146">
        <v>9.8742906991828843</v>
      </c>
      <c r="BQ146">
        <v>1217.532701813288</v>
      </c>
      <c r="BR146">
        <v>24.180059033587963</v>
      </c>
      <c r="BS146">
        <v>10.450454534745287</v>
      </c>
      <c r="BU146">
        <v>150</v>
      </c>
      <c r="BV146">
        <v>16.196522227113306</v>
      </c>
      <c r="BW146">
        <v>6.5623482779259827</v>
      </c>
      <c r="BX146">
        <v>7.5000152703769531</v>
      </c>
      <c r="BY146">
        <v>904.59571555643413</v>
      </c>
      <c r="BZ146">
        <v>24.11485380220282</v>
      </c>
      <c r="CA146">
        <v>10.092684956609267</v>
      </c>
      <c r="CB146">
        <v>16.944108239524365</v>
      </c>
      <c r="CC146">
        <v>6.8616911413101667</v>
      </c>
      <c r="CD146">
        <v>7.8653783327379827</v>
      </c>
      <c r="CE146">
        <v>956.54433700802804</v>
      </c>
      <c r="CF146">
        <v>24.021335544711761</v>
      </c>
      <c r="CG146">
        <v>10.056122618576232</v>
      </c>
      <c r="CH146">
        <v>18.322976594219522</v>
      </c>
      <c r="CI146">
        <v>7.3610943215725717</v>
      </c>
      <c r="CJ146">
        <v>8.3988547185886713</v>
      </c>
      <c r="CK146">
        <v>1033.6452387948036</v>
      </c>
      <c r="CL146">
        <v>24.35198291278396</v>
      </c>
      <c r="CM146">
        <v>10.149514407775824</v>
      </c>
      <c r="CN146">
        <v>19.533824420756684</v>
      </c>
      <c r="CO146">
        <v>7.7751440625397477</v>
      </c>
      <c r="CP146">
        <v>9.0382984475836032</v>
      </c>
      <c r="CQ146">
        <v>1110.0772109006214</v>
      </c>
      <c r="CR146">
        <v>24.514393210434985</v>
      </c>
      <c r="CS146">
        <v>10.165696048138171</v>
      </c>
      <c r="CT146">
        <v>19.85488957733952</v>
      </c>
      <c r="CU146">
        <v>7.8443549908599701</v>
      </c>
      <c r="CV146">
        <v>9.4212243552239254</v>
      </c>
      <c r="CW146">
        <v>1220.5525075818673</v>
      </c>
      <c r="CX146">
        <v>23.247331763920837</v>
      </c>
      <c r="CY146">
        <v>9.6170577102023849</v>
      </c>
      <c r="DA146">
        <v>150</v>
      </c>
      <c r="DB146">
        <v>13.437726216437587</v>
      </c>
      <c r="DC146">
        <v>6.0380348766909941</v>
      </c>
      <c r="DD146">
        <v>7.1174054859616307</v>
      </c>
      <c r="DE146">
        <v>945.79240068479953</v>
      </c>
      <c r="DF146">
        <v>20.147547607984276</v>
      </c>
      <c r="DG146">
        <v>9.0987051310032108</v>
      </c>
      <c r="DH146">
        <v>14.051310290053296</v>
      </c>
      <c r="DI146">
        <v>6.7689233510866638</v>
      </c>
      <c r="DJ146">
        <v>7.4990341612662892</v>
      </c>
      <c r="DK146">
        <v>993.88266455320434</v>
      </c>
      <c r="DL146">
        <v>20.20829545530065</v>
      </c>
      <c r="DM146">
        <v>9.5849939762421208</v>
      </c>
      <c r="DN146">
        <v>15.618851331698355</v>
      </c>
      <c r="DO146">
        <v>6.8867399515162218</v>
      </c>
      <c r="DP146">
        <v>8.0550784516489742</v>
      </c>
      <c r="DQ146">
        <v>1072.2449236160171</v>
      </c>
      <c r="DR146">
        <v>20.953408531627741</v>
      </c>
      <c r="DS146">
        <v>9.3417489353462884</v>
      </c>
      <c r="DT146">
        <v>16.785478446374917</v>
      </c>
      <c r="DU146">
        <v>8.1420893796370333</v>
      </c>
      <c r="DV146">
        <v>8.7874826743225789</v>
      </c>
      <c r="DW146">
        <v>1169.4850911235153</v>
      </c>
      <c r="DX146">
        <v>20.919055277631756</v>
      </c>
      <c r="DY146">
        <v>9.9630623096565696</v>
      </c>
      <c r="DZ146">
        <v>17.071106978735219</v>
      </c>
      <c r="EA146">
        <v>8.4332966555873838</v>
      </c>
      <c r="EB146">
        <v>9.1867521062920332</v>
      </c>
      <c r="EC146">
        <v>1284.7743147403987</v>
      </c>
      <c r="ED146">
        <v>19.918522799553124</v>
      </c>
      <c r="EE146">
        <v>9.5947322631253495</v>
      </c>
      <c r="EG146">
        <v>150</v>
      </c>
      <c r="EH146">
        <v>12.608885517820566</v>
      </c>
      <c r="EI146">
        <v>5.5427807943530443</v>
      </c>
      <c r="EJ146">
        <v>6.5462800453587962</v>
      </c>
      <c r="EK146">
        <v>961.01463595308223</v>
      </c>
      <c r="EL146">
        <v>18.965951234835885</v>
      </c>
      <c r="EM146">
        <v>8.439238886922249</v>
      </c>
      <c r="EN146">
        <v>13.204827044811752</v>
      </c>
      <c r="EO146">
        <v>6.1040764472288256</v>
      </c>
      <c r="EP146">
        <v>6.935101637710714</v>
      </c>
      <c r="EQ146">
        <v>1009.5860755525633</v>
      </c>
      <c r="ER146">
        <v>19.055523599037056</v>
      </c>
      <c r="ES146">
        <v>8.7773718988012384</v>
      </c>
      <c r="ET146">
        <v>14.402380757988876</v>
      </c>
      <c r="EU146">
        <v>6.2329108703518949</v>
      </c>
      <c r="EV146">
        <v>7.4437391116595935</v>
      </c>
      <c r="EW146">
        <v>1042.82611710484</v>
      </c>
      <c r="EX146">
        <v>20.378004547659863</v>
      </c>
      <c r="EY146">
        <v>8.9783077340349902</v>
      </c>
      <c r="EZ146">
        <v>15.152831333726944</v>
      </c>
      <c r="FA146">
        <v>7.42811609912886</v>
      </c>
      <c r="FB146">
        <v>8.1202017642727089</v>
      </c>
      <c r="FC146">
        <v>1157.7099267148365</v>
      </c>
      <c r="FD146">
        <v>19.721586235094048</v>
      </c>
      <c r="FE146">
        <v>9.4476857286755695</v>
      </c>
      <c r="FF146">
        <v>15.320870150818738</v>
      </c>
      <c r="FG146">
        <v>7.6562763299734033</v>
      </c>
      <c r="FH146">
        <v>8.4935821549011354</v>
      </c>
      <c r="FI146">
        <v>1279.0521615130751</v>
      </c>
      <c r="FJ146">
        <v>18.639247381684424</v>
      </c>
      <c r="FK146">
        <v>9.0301596685448509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CF05-8EAF-4D01-8321-255F06830B4B}">
  <dimension ref="A1:KQ150"/>
  <sheetViews>
    <sheetView topLeftCell="P76" workbookViewId="0">
      <selection activeCell="AI110" sqref="AI110"/>
    </sheetView>
  </sheetViews>
  <sheetFormatPr baseColWidth="10" defaultRowHeight="13.2" x14ac:dyDescent="0.25"/>
  <cols>
    <col min="2" max="2" width="24.109375" customWidth="1"/>
    <col min="3" max="3" width="25.88671875" customWidth="1"/>
    <col min="4" max="4" width="25.6640625" customWidth="1"/>
    <col min="5" max="6" width="23.33203125" customWidth="1"/>
    <col min="7" max="7" width="52.33203125" customWidth="1"/>
    <col min="8" max="8" width="18.5546875" customWidth="1"/>
    <col min="10" max="10" width="11.44140625" customWidth="1"/>
    <col min="70" max="81" width="11.5546875" customWidth="1"/>
    <col min="82" max="82" width="4.33203125" customWidth="1"/>
    <col min="83" max="91" width="11.5546875" customWidth="1"/>
    <col min="92" max="92" width="5.6640625" customWidth="1"/>
    <col min="93" max="93" width="17.44140625" customWidth="1"/>
    <col min="94" max="98" width="13.6640625" customWidth="1"/>
    <col min="99" max="99" width="17.44140625" customWidth="1"/>
    <col min="100" max="104" width="13.6640625" customWidth="1"/>
    <col min="105" max="105" width="17.44140625" customWidth="1"/>
    <col min="106" max="107" width="13.33203125" customWidth="1"/>
    <col min="108" max="110" width="13.6640625" customWidth="1"/>
    <col min="111" max="111" width="17.44140625" customWidth="1"/>
    <col min="112" max="113" width="13.33203125" customWidth="1"/>
    <col min="114" max="116" width="13.6640625" customWidth="1"/>
    <col min="117" max="117" width="17.44140625" customWidth="1"/>
    <col min="118" max="121" width="13.33203125" customWidth="1"/>
    <col min="122" max="122" width="13.6640625" customWidth="1"/>
    <col min="123" max="123" width="11.5546875" customWidth="1"/>
    <col min="124" max="124" width="4" customWidth="1"/>
    <col min="125" max="125" width="17.109375" customWidth="1"/>
    <col min="126" max="127" width="13.6640625" customWidth="1"/>
    <col min="128" max="130" width="12.88671875" customWidth="1"/>
    <col min="131" max="131" width="18.88671875" customWidth="1"/>
    <col min="132" max="133" width="14" customWidth="1"/>
    <col min="134" max="136" width="12.44140625" customWidth="1"/>
    <col min="137" max="137" width="20.5546875" customWidth="1"/>
    <col min="138" max="139" width="14.33203125" customWidth="1"/>
    <col min="140" max="142" width="12.109375" customWidth="1"/>
    <col min="143" max="143" width="20" customWidth="1"/>
    <col min="144" max="145" width="13.5546875" customWidth="1"/>
    <col min="146" max="148" width="13.6640625" customWidth="1"/>
    <col min="149" max="149" width="18.6640625" customWidth="1"/>
    <col min="150" max="151" width="13.88671875" customWidth="1"/>
    <col min="152" max="154" width="14.33203125" customWidth="1"/>
    <col min="155" max="155" width="13.88671875" customWidth="1"/>
    <col min="156" max="156" width="11.5546875" customWidth="1"/>
    <col min="157" max="157" width="17.6640625" style="790" customWidth="1"/>
    <col min="158" max="159" width="11.5546875" style="790" customWidth="1"/>
    <col min="160" max="162" width="11.88671875" style="790" customWidth="1"/>
    <col min="163" max="163" width="18.33203125" style="790" customWidth="1"/>
    <col min="164" max="165" width="11.5546875" style="790" customWidth="1"/>
    <col min="166" max="168" width="12.5546875" style="790" customWidth="1"/>
    <col min="169" max="169" width="17.33203125" style="790" customWidth="1"/>
    <col min="170" max="171" width="11.5546875" style="790" customWidth="1"/>
    <col min="172" max="174" width="12.88671875" style="790" customWidth="1"/>
    <col min="175" max="175" width="17.6640625" style="790" customWidth="1"/>
    <col min="176" max="177" width="11.5546875" style="790" customWidth="1"/>
    <col min="178" max="180" width="10.6640625" style="790" customWidth="1"/>
    <col min="181" max="181" width="17.109375" style="790" customWidth="1"/>
    <col min="182" max="183" width="11.5546875" style="790" customWidth="1"/>
    <col min="184" max="186" width="11.88671875" style="790" customWidth="1"/>
    <col min="187" max="188" width="11.5546875" customWidth="1"/>
    <col min="189" max="189" width="17.6640625" customWidth="1"/>
    <col min="190" max="194" width="11.5546875" customWidth="1"/>
    <col min="195" max="195" width="19.109375" customWidth="1"/>
    <col min="196" max="197" width="11.5546875" customWidth="1"/>
    <col min="198" max="200" width="12.33203125" customWidth="1"/>
    <col min="201" max="201" width="17.44140625" customWidth="1"/>
    <col min="202" max="206" width="11.5546875" customWidth="1"/>
    <col min="207" max="207" width="17.6640625" customWidth="1"/>
    <col min="208" max="212" width="11.5546875" customWidth="1"/>
    <col min="213" max="213" width="16.44140625" customWidth="1"/>
    <col min="214" max="221" width="11.5546875" customWidth="1"/>
    <col min="222" max="222" width="21" customWidth="1"/>
    <col min="223" max="227" width="11.5546875" customWidth="1"/>
    <col min="228" max="228" width="16.6640625" customWidth="1"/>
    <col min="229" max="235" width="11.5546875" customWidth="1"/>
    <col min="236" max="236" width="21" customWidth="1"/>
    <col min="237" max="241" width="11.5546875" customWidth="1"/>
    <col min="242" max="242" width="16.6640625" customWidth="1"/>
    <col min="243" max="249" width="11.5546875" customWidth="1"/>
    <col min="250" max="250" width="21" customWidth="1"/>
    <col min="251" max="255" width="11.5546875" customWidth="1"/>
    <col min="256" max="256" width="16.6640625" customWidth="1"/>
    <col min="257" max="263" width="11.5546875" customWidth="1"/>
    <col min="264" max="264" width="21" customWidth="1"/>
    <col min="265" max="269" width="11.5546875" customWidth="1"/>
    <col min="270" max="270" width="16.6640625" customWidth="1"/>
    <col min="271" max="276" width="11.5546875" customWidth="1"/>
  </cols>
  <sheetData>
    <row r="1" spans="1:303" ht="34.200000000000003" customHeight="1" thickBot="1" x14ac:dyDescent="0.35">
      <c r="B1" s="773" t="s">
        <v>7779</v>
      </c>
      <c r="C1" s="774"/>
      <c r="D1" s="774"/>
      <c r="E1" s="774"/>
      <c r="F1" s="774"/>
      <c r="G1" s="774"/>
      <c r="H1" s="775"/>
      <c r="AR1" t="s">
        <v>7661</v>
      </c>
      <c r="AS1" s="1620"/>
      <c r="AT1" s="1620"/>
      <c r="AU1" s="1620"/>
      <c r="AV1" s="1620"/>
      <c r="AW1" s="1620"/>
      <c r="AX1" s="1620"/>
      <c r="AY1" s="1620"/>
      <c r="AZ1" s="1620"/>
      <c r="BA1" s="1620"/>
      <c r="BB1" s="1620"/>
      <c r="BC1" s="1620"/>
      <c r="BD1" s="1620"/>
      <c r="BE1" s="1620"/>
      <c r="BF1" s="1620"/>
      <c r="BG1" s="1620"/>
      <c r="BH1" s="1620"/>
      <c r="BI1" s="1620"/>
      <c r="BJ1" s="1620"/>
      <c r="BK1" s="1620"/>
      <c r="BL1" s="1620"/>
      <c r="BM1" s="1620"/>
      <c r="BN1" s="1620"/>
      <c r="BO1" s="1620"/>
      <c r="BP1" s="1620"/>
      <c r="BQ1" s="1620"/>
      <c r="BR1" s="1620"/>
      <c r="BS1" s="1620"/>
      <c r="BT1" s="1620"/>
      <c r="BU1" s="1620"/>
      <c r="BV1" s="1620"/>
      <c r="BW1" s="1620"/>
      <c r="BX1" s="1620"/>
      <c r="BY1" s="1041"/>
      <c r="BZ1" s="1041"/>
      <c r="CA1" s="1041"/>
      <c r="CB1" s="1041"/>
      <c r="CC1" s="1041"/>
      <c r="CO1" s="776"/>
      <c r="CP1" s="776"/>
      <c r="CQ1" s="776"/>
      <c r="CR1" s="776"/>
      <c r="CS1" s="776"/>
      <c r="CT1" s="776"/>
      <c r="CU1" s="776"/>
      <c r="CV1" s="776"/>
      <c r="CW1" s="776"/>
      <c r="CX1" s="776"/>
      <c r="CY1" s="776"/>
      <c r="CZ1" s="776"/>
      <c r="DA1" s="776"/>
      <c r="DB1" s="776"/>
      <c r="DC1" s="776"/>
      <c r="DD1" s="776"/>
      <c r="DE1" s="776"/>
      <c r="DF1" s="776"/>
      <c r="DG1" s="776"/>
      <c r="DH1" s="776"/>
      <c r="DI1" s="776"/>
      <c r="DJ1" s="776"/>
      <c r="DK1" s="776"/>
      <c r="DL1" s="776"/>
      <c r="DM1" s="776"/>
      <c r="DN1" s="776"/>
      <c r="DO1" s="776"/>
      <c r="DP1" s="776"/>
      <c r="DQ1" s="776"/>
      <c r="DR1" s="776"/>
      <c r="DU1" s="776"/>
      <c r="DV1" s="776"/>
      <c r="DW1" s="776"/>
      <c r="DX1" s="776"/>
      <c r="DY1" s="776"/>
      <c r="DZ1" s="776"/>
      <c r="EA1" s="776"/>
      <c r="EB1" s="776"/>
      <c r="EC1" s="776"/>
      <c r="ED1" s="776"/>
      <c r="EE1" s="776"/>
      <c r="EF1" s="776"/>
      <c r="EG1" s="776"/>
      <c r="EH1" s="776"/>
      <c r="EI1" s="776"/>
      <c r="EJ1" s="776"/>
      <c r="EK1" s="776"/>
      <c r="EL1" s="776"/>
      <c r="EM1" s="776"/>
      <c r="EN1" s="776"/>
      <c r="EO1" s="776"/>
      <c r="EP1" s="776"/>
      <c r="EQ1" s="776"/>
      <c r="ER1" s="776"/>
      <c r="ES1" s="776"/>
      <c r="ET1" s="776"/>
      <c r="EU1" s="776"/>
      <c r="EV1" s="776"/>
      <c r="EW1" s="777"/>
      <c r="EX1" s="777"/>
      <c r="EY1" s="778"/>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80"/>
      <c r="GD1" s="780"/>
      <c r="GG1" s="781"/>
      <c r="GH1" s="781"/>
      <c r="GI1" s="781"/>
      <c r="GJ1" s="781"/>
      <c r="GK1" s="781"/>
      <c r="GL1" s="781"/>
      <c r="GM1" s="781"/>
      <c r="GN1" s="781"/>
      <c r="GO1" s="781"/>
      <c r="GP1" s="781"/>
      <c r="GQ1" s="781"/>
      <c r="GR1" s="781"/>
      <c r="GS1" s="781"/>
      <c r="GT1" s="781"/>
      <c r="GU1" s="781"/>
      <c r="GV1" s="781"/>
      <c r="GW1" s="781"/>
      <c r="GX1" s="781"/>
      <c r="GY1" s="781"/>
      <c r="GZ1" s="781"/>
      <c r="HA1" s="781"/>
      <c r="HB1" s="781"/>
      <c r="HC1" s="781"/>
      <c r="HD1" s="781"/>
      <c r="HE1" s="781"/>
      <c r="HF1" s="781"/>
      <c r="HG1" s="781"/>
      <c r="HH1" s="781"/>
      <c r="HI1" s="782"/>
      <c r="HJ1" s="782"/>
      <c r="HK1" s="782"/>
      <c r="HN1" s="776"/>
      <c r="HO1" s="776"/>
      <c r="HP1" s="776"/>
      <c r="HQ1" s="776"/>
      <c r="HR1" s="776"/>
      <c r="HS1" s="776"/>
      <c r="HT1" s="776"/>
      <c r="HU1" s="776"/>
      <c r="HV1" s="776"/>
      <c r="HW1" s="776"/>
      <c r="HX1" s="777"/>
      <c r="HY1" s="777"/>
      <c r="IB1" s="776"/>
      <c r="IC1" s="776"/>
      <c r="ID1" s="776"/>
      <c r="IE1" s="776"/>
      <c r="IF1" s="776"/>
      <c r="IG1" s="776"/>
      <c r="IH1" s="776"/>
      <c r="II1" s="776"/>
      <c r="IJ1" s="776"/>
      <c r="IK1" s="776"/>
      <c r="IL1" s="777"/>
      <c r="IM1" s="777"/>
      <c r="IP1" s="776"/>
      <c r="IQ1" s="776"/>
      <c r="IR1" s="776"/>
      <c r="IS1" s="776"/>
      <c r="IT1" s="776"/>
      <c r="IU1" s="776"/>
      <c r="IV1" s="776"/>
      <c r="IW1" s="776"/>
      <c r="IX1" s="776"/>
      <c r="IY1" s="776"/>
      <c r="IZ1" s="777"/>
      <c r="JA1" s="777"/>
      <c r="JD1" s="776"/>
      <c r="JE1" s="776"/>
      <c r="JF1" s="776"/>
      <c r="JG1" s="776"/>
      <c r="JH1" s="776"/>
      <c r="JI1" s="776"/>
      <c r="JJ1" s="776"/>
      <c r="JK1" s="776"/>
      <c r="JL1" s="776"/>
      <c r="JM1" s="776"/>
      <c r="JN1" s="777"/>
      <c r="JO1" s="777"/>
      <c r="JZ1" s="783"/>
      <c r="KA1" s="783"/>
      <c r="KB1" s="783"/>
      <c r="KC1" s="783"/>
      <c r="KD1" s="783"/>
      <c r="KE1" s="783"/>
      <c r="KF1" s="783"/>
      <c r="KG1" s="783"/>
      <c r="KH1" s="783"/>
      <c r="KI1" s="783"/>
      <c r="KJ1" s="783"/>
      <c r="KK1" s="783"/>
      <c r="KL1" s="783"/>
      <c r="KM1" s="783"/>
      <c r="KN1" s="783"/>
      <c r="KO1" s="783"/>
      <c r="KP1" s="783"/>
      <c r="KQ1" s="783"/>
    </row>
    <row r="2" spans="1:303" ht="14.4" customHeight="1" x14ac:dyDescent="0.35">
      <c r="H2" s="784"/>
      <c r="I2" s="784"/>
      <c r="L2" s="818"/>
      <c r="W2" s="1620" t="s">
        <v>7674</v>
      </c>
      <c r="X2" s="1620"/>
      <c r="Y2" s="1620"/>
      <c r="AP2" t="s">
        <v>7773</v>
      </c>
      <c r="AS2" s="1636" t="s">
        <v>7675</v>
      </c>
      <c r="AT2" s="1636"/>
      <c r="AU2" s="1636"/>
      <c r="AV2" s="1636"/>
      <c r="AW2" s="1636"/>
      <c r="AX2" s="1637" t="s">
        <v>7676</v>
      </c>
      <c r="AY2" s="1637"/>
      <c r="AZ2" s="1637"/>
      <c r="BA2" s="1637"/>
      <c r="BB2" s="1637"/>
      <c r="BC2" s="1636" t="s">
        <v>7677</v>
      </c>
      <c r="BD2" s="1636"/>
      <c r="BE2" s="1636"/>
      <c r="BF2" s="1636"/>
      <c r="BG2" s="1636"/>
      <c r="BH2" s="1637" t="s">
        <v>7678</v>
      </c>
      <c r="BI2" s="1637"/>
      <c r="BJ2" s="1637"/>
      <c r="BK2" s="1637"/>
      <c r="BL2" s="1637"/>
      <c r="BM2" s="1636" t="s">
        <v>7679</v>
      </c>
      <c r="BN2" s="1636"/>
      <c r="BO2" s="1636"/>
      <c r="BP2" s="1636"/>
      <c r="BQ2" s="1636"/>
      <c r="BR2" s="1637" t="s">
        <v>7680</v>
      </c>
      <c r="BS2" s="1637"/>
      <c r="BT2" s="1637"/>
      <c r="BU2" s="1637"/>
      <c r="BV2" s="1637"/>
      <c r="BW2" s="1637"/>
      <c r="BX2" s="1637"/>
      <c r="BY2" s="1636" t="s">
        <v>7681</v>
      </c>
      <c r="BZ2" s="1636"/>
      <c r="CA2" s="1636"/>
      <c r="CB2" s="1636"/>
      <c r="CC2" s="1636"/>
      <c r="CT2" s="1041"/>
      <c r="CX2" s="1041"/>
      <c r="CY2" s="1041"/>
      <c r="CZ2" s="1041"/>
      <c r="DD2" s="1041"/>
      <c r="DE2" s="1041"/>
      <c r="DF2" s="1041"/>
      <c r="DJ2" s="1041"/>
      <c r="DK2" s="1041"/>
      <c r="DL2" s="1041"/>
      <c r="DP2" s="1041"/>
      <c r="DQ2" s="1041"/>
      <c r="DR2" s="1041"/>
      <c r="DU2" s="1041"/>
      <c r="DV2" s="1041"/>
      <c r="DW2" s="1041"/>
      <c r="DX2" s="1041"/>
      <c r="DY2" s="1041"/>
      <c r="DZ2" s="1041"/>
      <c r="EA2" s="1041"/>
      <c r="EB2" s="1041"/>
      <c r="EC2" s="1041"/>
      <c r="ED2" s="1041"/>
      <c r="EE2" s="1041"/>
      <c r="EF2" s="1041"/>
      <c r="EG2" s="1041"/>
      <c r="EH2" s="1041"/>
      <c r="EI2" s="1041"/>
      <c r="EJ2" s="1041"/>
      <c r="EK2" s="1041"/>
      <c r="EL2" s="1041"/>
      <c r="EM2" s="1041"/>
      <c r="EN2" s="1041"/>
      <c r="EO2" s="1041"/>
      <c r="EP2" s="1041"/>
      <c r="EQ2" s="1041"/>
      <c r="ER2" s="1041"/>
      <c r="ES2" s="1041"/>
      <c r="ET2" s="1041"/>
      <c r="EU2" s="1041"/>
      <c r="EV2" s="1041"/>
      <c r="EW2" s="1041"/>
      <c r="EX2" s="1041"/>
      <c r="EY2" s="1041"/>
      <c r="FA2" s="786"/>
      <c r="FB2" s="786"/>
      <c r="FC2" s="786"/>
      <c r="FD2" s="786"/>
      <c r="FE2" s="786"/>
      <c r="FF2" s="786"/>
      <c r="FG2" s="786"/>
      <c r="FH2" s="786"/>
      <c r="FI2" s="786"/>
      <c r="FJ2" s="786"/>
      <c r="FK2" s="786"/>
      <c r="FL2" s="786"/>
      <c r="FM2" s="786"/>
      <c r="FN2" s="786"/>
      <c r="FO2" s="786"/>
      <c r="FP2" s="786"/>
      <c r="FQ2" s="786"/>
      <c r="FR2" s="786"/>
      <c r="FS2" s="786"/>
      <c r="FT2" s="786"/>
      <c r="FU2" s="786"/>
      <c r="FV2" s="786"/>
      <c r="FW2" s="786"/>
      <c r="FX2" s="786"/>
      <c r="FY2" s="786"/>
      <c r="FZ2" s="786"/>
      <c r="GA2" s="786"/>
      <c r="GB2" s="786"/>
      <c r="GC2" s="786"/>
      <c r="GD2" s="786"/>
      <c r="GG2" s="786"/>
      <c r="GH2" s="786"/>
      <c r="GI2" s="786"/>
      <c r="GJ2" s="786"/>
      <c r="GK2" s="786"/>
      <c r="GL2" s="786"/>
      <c r="GM2" s="786"/>
      <c r="GN2" s="786"/>
      <c r="GO2" s="786"/>
      <c r="GP2" s="786"/>
      <c r="GQ2" s="786"/>
      <c r="GR2" s="786"/>
      <c r="GS2" s="786"/>
      <c r="GT2" s="786"/>
      <c r="GU2" s="786"/>
      <c r="GV2" s="786"/>
      <c r="GW2" s="786"/>
      <c r="GX2" s="786"/>
      <c r="GY2" s="786"/>
      <c r="GZ2" s="786"/>
      <c r="HA2" s="786"/>
      <c r="HB2" s="786"/>
      <c r="HC2" s="786"/>
      <c r="HD2" s="786"/>
      <c r="HE2" s="786"/>
      <c r="HF2" s="786"/>
      <c r="HG2" s="786"/>
      <c r="HH2" s="786"/>
      <c r="HI2" s="786"/>
      <c r="HJ2" s="786"/>
      <c r="HK2" s="786"/>
      <c r="HN2" s="1041"/>
      <c r="HO2" s="1041"/>
      <c r="HP2" s="1041"/>
      <c r="HQ2" s="1041"/>
      <c r="HR2" s="1041"/>
      <c r="HS2" s="1041"/>
      <c r="HT2" s="1041"/>
      <c r="HU2" s="1041"/>
      <c r="HV2" s="1041"/>
      <c r="HW2" s="1041"/>
      <c r="HX2" s="1041"/>
      <c r="HY2" s="1041"/>
      <c r="IB2" s="1041"/>
      <c r="IC2" s="1041"/>
      <c r="ID2" s="1041"/>
      <c r="IE2" s="1041"/>
      <c r="IF2" s="1041"/>
      <c r="IG2" s="1041"/>
      <c r="IH2" s="1041"/>
      <c r="II2" s="1041"/>
      <c r="IJ2" s="1041"/>
      <c r="IK2" s="1041"/>
      <c r="IL2" s="1041"/>
      <c r="IM2" s="1041"/>
      <c r="IP2" s="1041"/>
      <c r="IQ2" s="1041"/>
      <c r="IR2" s="1041"/>
      <c r="IS2" s="1041"/>
      <c r="IT2" s="1041"/>
      <c r="IU2" s="1041"/>
      <c r="IV2" s="1041"/>
      <c r="IW2" s="1041"/>
      <c r="IX2" s="1041"/>
      <c r="IY2" s="1041"/>
      <c r="IZ2" s="1041"/>
      <c r="JA2" s="1041"/>
      <c r="JD2" s="1041"/>
      <c r="JE2" s="1041"/>
      <c r="JF2" s="1041"/>
      <c r="JG2" s="1041"/>
      <c r="JH2" s="1041"/>
      <c r="JI2" s="1041"/>
      <c r="JJ2" s="1041"/>
      <c r="JK2" s="1041"/>
      <c r="JL2" s="1041"/>
      <c r="JM2" s="1041"/>
      <c r="JN2" s="1041"/>
      <c r="JO2" s="1041"/>
    </row>
    <row r="3" spans="1:303" ht="18" x14ac:dyDescent="0.35">
      <c r="B3" s="787" t="s">
        <v>7780</v>
      </c>
      <c r="C3" s="788"/>
      <c r="D3" s="788"/>
      <c r="E3" s="788"/>
      <c r="F3" s="788"/>
      <c r="G3" s="788"/>
      <c r="H3" s="788"/>
      <c r="I3" s="789"/>
      <c r="L3" s="129" t="s">
        <v>255</v>
      </c>
      <c r="Q3" s="1620" t="s">
        <v>7781</v>
      </c>
      <c r="R3" s="1620"/>
      <c r="S3" s="1620"/>
      <c r="T3" s="1620" t="s">
        <v>7782</v>
      </c>
      <c r="U3" s="1620"/>
      <c r="V3" s="1620"/>
      <c r="W3" t="s">
        <v>7687</v>
      </c>
      <c r="X3" t="s">
        <v>7688</v>
      </c>
      <c r="Y3" t="s">
        <v>7689</v>
      </c>
      <c r="Z3" t="s">
        <v>7783</v>
      </c>
      <c r="AG3" t="s">
        <v>7784</v>
      </c>
      <c r="AJ3" t="s">
        <v>7785</v>
      </c>
      <c r="AP3" s="142" t="s">
        <v>7774</v>
      </c>
      <c r="AR3" t="s">
        <v>7690</v>
      </c>
      <c r="AS3" s="790" t="s">
        <v>7786</v>
      </c>
      <c r="AT3" s="790" t="s">
        <v>7787</v>
      </c>
      <c r="AU3" s="790" t="s">
        <v>7788</v>
      </c>
      <c r="AV3" s="790" t="s">
        <v>7789</v>
      </c>
      <c r="AW3" s="790" t="s">
        <v>7790</v>
      </c>
      <c r="AX3" s="790" t="s">
        <v>7786</v>
      </c>
      <c r="AY3" s="790" t="s">
        <v>7787</v>
      </c>
      <c r="AZ3" s="790" t="s">
        <v>7788</v>
      </c>
      <c r="BA3" s="790" t="s">
        <v>7789</v>
      </c>
      <c r="BB3" s="790" t="s">
        <v>7790</v>
      </c>
      <c r="BC3" s="790" t="s">
        <v>7786</v>
      </c>
      <c r="BD3" s="790" t="s">
        <v>7787</v>
      </c>
      <c r="BE3" s="790" t="s">
        <v>7788</v>
      </c>
      <c r="BF3" s="790" t="s">
        <v>7789</v>
      </c>
      <c r="BG3" s="790" t="s">
        <v>7790</v>
      </c>
      <c r="BH3" s="790" t="s">
        <v>7786</v>
      </c>
      <c r="BI3" s="790" t="s">
        <v>7787</v>
      </c>
      <c r="BJ3" s="790" t="s">
        <v>7788</v>
      </c>
      <c r="BK3" s="790" t="s">
        <v>7789</v>
      </c>
      <c r="BL3" s="790" t="s">
        <v>7790</v>
      </c>
      <c r="BM3" s="790" t="s">
        <v>7786</v>
      </c>
      <c r="BN3" s="790" t="s">
        <v>7787</v>
      </c>
      <c r="BO3" s="790" t="s">
        <v>7788</v>
      </c>
      <c r="BP3" s="790" t="s">
        <v>7789</v>
      </c>
      <c r="BQ3" s="790" t="s">
        <v>7790</v>
      </c>
      <c r="BR3" s="790" t="s">
        <v>7791</v>
      </c>
      <c r="BS3" s="790" t="s">
        <v>7792</v>
      </c>
      <c r="BT3" s="790" t="s">
        <v>7793</v>
      </c>
      <c r="BU3" s="790" t="s">
        <v>7794</v>
      </c>
      <c r="BV3" s="790" t="s">
        <v>7795</v>
      </c>
      <c r="BW3" s="790" t="s">
        <v>7796</v>
      </c>
      <c r="BX3" s="790" t="s">
        <v>7797</v>
      </c>
      <c r="BY3" s="790" t="s">
        <v>7791</v>
      </c>
      <c r="BZ3" s="790" t="s">
        <v>7792</v>
      </c>
      <c r="CA3" s="790" t="s">
        <v>7793</v>
      </c>
      <c r="CB3" s="790" t="s">
        <v>7794</v>
      </c>
      <c r="CC3" s="790" t="s">
        <v>7795</v>
      </c>
    </row>
    <row r="4" spans="1:303" ht="14.4" x14ac:dyDescent="0.3">
      <c r="A4" s="791" t="s">
        <v>7727</v>
      </c>
      <c r="B4" t="s">
        <v>7699</v>
      </c>
      <c r="E4" t="s">
        <v>7700</v>
      </c>
      <c r="F4" t="s">
        <v>196</v>
      </c>
      <c r="G4" t="s">
        <v>7701</v>
      </c>
      <c r="H4" t="s">
        <v>7702</v>
      </c>
      <c r="I4" t="s">
        <v>7703</v>
      </c>
      <c r="J4" t="s">
        <v>596</v>
      </c>
      <c r="K4" t="s">
        <v>7704</v>
      </c>
      <c r="L4" s="129" t="s">
        <v>7705</v>
      </c>
      <c r="M4" t="s">
        <v>7706</v>
      </c>
      <c r="N4" t="s">
        <v>7707</v>
      </c>
      <c r="O4" t="s">
        <v>7708</v>
      </c>
      <c r="P4" t="s">
        <v>7709</v>
      </c>
      <c r="Q4" t="s">
        <v>39</v>
      </c>
      <c r="R4" t="s">
        <v>40</v>
      </c>
      <c r="S4" t="s">
        <v>41</v>
      </c>
      <c r="T4" t="s">
        <v>39</v>
      </c>
      <c r="U4" t="s">
        <v>40</v>
      </c>
      <c r="V4" t="s">
        <v>41</v>
      </c>
      <c r="AP4" s="792" t="s">
        <v>7775</v>
      </c>
      <c r="AR4" s="793">
        <v>8</v>
      </c>
      <c r="AS4" s="794">
        <f>IF(OR($C$12=$AR4,$D$12=$AR4),Schweine_Werte!$C4*0.5,IF(OR($C$12&gt;$AR4,$D$12&lt;$AR4),0,Schweine_Werte!$C4))</f>
        <v>0</v>
      </c>
      <c r="AT4" s="794">
        <f>IF(OR($C$24=$AR4,$D$24=$AR4),Schweine_Werte!$C4*0.5,IF(OR($C$24&gt;$AR4,$D$24&lt;$AR4),0,Schweine_Werte!$C4))</f>
        <v>0</v>
      </c>
      <c r="AU4" s="794">
        <f>IF(OR($C$36=$AR4,$D$36=$AR4),Schweine_Werte!$C4*0.5,IF(OR($C$36&gt;$AR4,$D$36&lt;$AR4),0,Schweine_Werte!$C4))</f>
        <v>0</v>
      </c>
      <c r="AV4" s="794">
        <f>IF(OR($C$48=$AR4,$D$48=$AR4),Schweine_Werte!$C4*0.5,IF(OR($C$48&gt;$AR4,$D$48&lt;$AR4),0,Schweine_Werte!$C4))</f>
        <v>0</v>
      </c>
      <c r="AW4" s="794">
        <f>IF(OR($C$60=$AR4,$D$60=$AR4),Schweine_Werte!$C4*0.5,IF(OR($C$60&gt;$AR4,$D$60&lt;$AR4),0,Schweine_Werte!$C4))</f>
        <v>0</v>
      </c>
      <c r="AX4" s="794">
        <f>IF(OR($C$12=$AR4,$D$12=$AR4),Schweine_Werte!$E4*0.5,IF(OR($C$12&gt;$AR4,$D$12&lt;$AR4),0,Schweine_Werte!$E4))</f>
        <v>0</v>
      </c>
      <c r="AY4" s="794">
        <f>IF(OR($C$24=$AR4,$D$24=$AR4),Schweine_Werte!$E4*0.5,IF(OR($C$24&gt;$AR4,$D$24&lt;$AR4),0,Schweine_Werte!$E4))</f>
        <v>0</v>
      </c>
      <c r="AZ4" s="794">
        <f>IF(OR($C$36=$AR4,$D$36=$AR4),Schweine_Werte!$E4*0.5,IF(OR($C$36&gt;$AR4,$D$36&lt;$AR4),0,Schweine_Werte!$E4))</f>
        <v>0</v>
      </c>
      <c r="BA4" s="794">
        <f>IF(OR($C$48=$AR4,$D$48=$AR4),Schweine_Werte!$E4*0.5,IF(OR($C$48&gt;$AR4,$D$48&lt;$AR4),0,Schweine_Werte!$E4))</f>
        <v>0</v>
      </c>
      <c r="BB4" s="794">
        <f>IF(OR($C$60=$AR4,$D$60=$AR4),Schweine_Werte!$E4*0.5,IF(OR($C$60&gt;$AR4,$D$60&lt;$AR4),0,Schweine_Werte!$E4))</f>
        <v>0</v>
      </c>
      <c r="BC4" s="794">
        <f>IF(OR($C$12=$AR4,$D$12=$AR4),Schweine_Werte!$G4*0.5,IF(OR($C$12&gt;$AR4,$D$12&lt;$AR4),0,Schweine_Werte!$G4))</f>
        <v>0</v>
      </c>
      <c r="BD4" s="794">
        <f>IF(OR($C$24=$AR4,$D$24=$AR4),Schweine_Werte!$G4*0.5,IF(OR($C$24&gt;$AR4,$D$24&lt;$AR4),0,Schweine_Werte!$G4))</f>
        <v>0</v>
      </c>
      <c r="BE4" s="794">
        <f>IF(OR($C$36=$AR4,$D$36=$AR4),Schweine_Werte!$G4*0.5,IF(OR($C$36&gt;$AR4,$D$36&lt;$AR4),0,Schweine_Werte!$G4))</f>
        <v>0</v>
      </c>
      <c r="BF4" s="794">
        <f>IF(OR($C$48=$AR4,$D$48=$AR4),Schweine_Werte!$G4*0.5,IF(OR($C$48&gt;$AR4,$D$48&lt;$AR4),0,Schweine_Werte!$G4))</f>
        <v>0</v>
      </c>
      <c r="BG4" s="794">
        <f>IF(OR($C$60=$AR4,$D$60=$AR4),Schweine_Werte!$G4*0.5,IF(OR($C$60&gt;$AR4,$D$60&lt;$AR4),0,Schweine_Werte!$G4))</f>
        <v>0</v>
      </c>
      <c r="BH4" s="794">
        <f>IF(OR($C$12=$AR4,$D$12=$AR4),Schweine_Werte!$I4*0.5,IF(OR($C$12&gt;$AR4,$D$12&lt;$AR4),0,Schweine_Werte!$I4))</f>
        <v>0</v>
      </c>
      <c r="BI4" s="794">
        <f>IF(OR($C$24=$AR4,$D$24=$AR4),Schweine_Werte!$I4*0.5,IF(OR($C$24&gt;$AR4,$D$24&lt;$AR4),0,Schweine_Werte!$I4))</f>
        <v>0</v>
      </c>
      <c r="BJ4" s="794">
        <f>IF(OR($C$36=$AR4,$D$36=$AR4),Schweine_Werte!$I4*0.5,IF(OR($C$36&gt;$AR4,$D$36&lt;$AR4),0,Schweine_Werte!$I4))</f>
        <v>0</v>
      </c>
      <c r="BK4" s="794">
        <f>IF(OR($C$48=$AR4,$D$48=$AR4),Schweine_Werte!$I4*0.5,IF(OR($C$48&gt;$AR4,$D$48&lt;$AR4),0,Schweine_Werte!$I4))</f>
        <v>0</v>
      </c>
      <c r="BL4" s="794">
        <f>IF(OR($C$60=$AR4,$D$60=$AR4),Schweine_Werte!$I4*0.5,IF(OR($C$60&gt;$AR4,$D$60&lt;$AR4),0,Schweine_Werte!$I4))</f>
        <v>0</v>
      </c>
      <c r="BM4" s="794"/>
      <c r="BN4" s="794"/>
      <c r="BO4" s="794"/>
      <c r="BP4" s="794"/>
      <c r="BQ4" s="794"/>
      <c r="BR4" s="795">
        <f>IF(OR($C$74=$AR4,$D$74=$AR4),Schweine_Werte!$M4*0.5,IF(OR($C$74&gt;$AR4,$D$74&lt;$AR4),0,Schweine_Werte!$M4))</f>
        <v>0</v>
      </c>
      <c r="BS4" s="795">
        <f>IF(OR($C$83=$AR4,$D$83=$AR4),Schweine_Werte!$M4*0.5,IF(OR($C$83&gt;$AR4,$D$83&lt;$AR4),0,Schweine_Werte!$M4))</f>
        <v>0</v>
      </c>
      <c r="BT4" s="795">
        <f>IF(OR($C$92=$AR4,$D$92=$AR4),Schweine_Werte!$M4*0.5,IF(OR($C$92&gt;$AR4,$D$92&lt;$AR4),0,Schweine_Werte!$M4))</f>
        <v>0</v>
      </c>
      <c r="BU4" s="795">
        <f>IF(OR($C$101=$AR4,$D$101=$AR4),Schweine_Werte!$M4*0.5,IF(OR($C$101&gt;$AR4,$D$101&lt;$AR4),0,Schweine_Werte!$M4))</f>
        <v>0</v>
      </c>
      <c r="BV4" s="795">
        <f>IF(OR($C$110=$AR4,$D$110=$AR4),Schweine_Werte!$M4*0.5,IF(OR($C$110&gt;$AR4,$D$110&lt;$AR4),0,Schweine_Werte!$M4))</f>
        <v>0</v>
      </c>
      <c r="BW4" s="795">
        <f>IF(OR(8=$AR4,$E$127=$AR4),Schweine_Werte!$M4*0.5,IF(OR(8&gt;$AR4,$E$127&lt;$AR4),0,Schweine_Werte!$M4))</f>
        <v>1.6700354626182841</v>
      </c>
      <c r="BX4" s="795">
        <f>IF(OR(8=$AR4,$E$145=$AR4),Schweine_Werte!$M4*0.5,IF(OR(8&gt;$AR4,$E$145&lt;$AR4),0,Schweine_Werte!$M4))</f>
        <v>1.6700354626182841</v>
      </c>
      <c r="BY4" s="795">
        <f>IF(OR($C$74=$AR4,$D$74=$AR4),Schweine_Werte!$O4*0.5,IF(OR($C$74&gt;$AR4,$D$74&lt;$AR4),0,Schweine_Werte!$O4))</f>
        <v>0</v>
      </c>
      <c r="BZ4" s="795">
        <f>IF(OR($C$83=$AR4,$D$83=$AR4),Schweine_Werte!$O4*0.5,IF(OR($C$83&gt;$AR4,$D$83&lt;$AR4),0,Schweine_Werte!$O4))</f>
        <v>0</v>
      </c>
      <c r="CA4" s="795">
        <f>IF(OR($C$92=$AR4,$D$92=$AR4),Schweine_Werte!$O4*0.5,IF(OR($C$92&gt;$AR4,$D$92&lt;$AR4),0,Schweine_Werte!$O4))</f>
        <v>0</v>
      </c>
      <c r="CB4" s="795">
        <f>IF(OR($C$101=$AR4,$D$101=$AR4),Schweine_Werte!$O4*0.5,IF(OR($C$101&gt;$AR4,$D$101&lt;$AR4),0,Schweine_Werte!$O4))</f>
        <v>0</v>
      </c>
      <c r="CC4" s="795">
        <f>IF(OR($C$110=$AR4,$D$110=$AR4),Schweine_Werte!$O4*0.5,IF(OR($C$110&gt;$AR4,$D$110&lt;$AR4),0,Schweine_Werte!$O4))</f>
        <v>0</v>
      </c>
    </row>
    <row r="5" spans="1:303" ht="14.4" x14ac:dyDescent="0.3">
      <c r="A5" s="796" t="s">
        <v>7746</v>
      </c>
      <c r="B5" s="705">
        <v>700</v>
      </c>
      <c r="D5" s="730"/>
      <c r="E5" s="730" t="e">
        <f>($D12-$C12)*1000/SUM($AS$4:$AS$146)</f>
        <v>#VALUE!</v>
      </c>
      <c r="F5" s="730" t="e">
        <f>SUMPRODUCT($AS$4:$AS$146,Schweine_Werte!$Q$4:$Q$146)/SUM($AS$4:$AS$146)</f>
        <v>#DIV/0!</v>
      </c>
      <c r="G5" s="730" t="e">
        <f>IF($B12=$A$8,SUMPRODUCT($AS$4:$AS$146,Schweine_Werte!EH$4:EH$146)/SUM($AS$4:$AS$146),IF($B12=$A$7,SUMPRODUCT($AS$4:$AS$146,Schweine_Werte!DB$4:DB$146)/SUM($AS$4:$AS$146),IF($B12=$A$6,SUMPRODUCT($AS$4:$AS$146,Schweine_Werte!BV$4:BV$146)/SUM($AS$4:$AS$146),SUMPRODUCT($AS$4:$AS$146,Schweine_Werte!AP$4:AP$146)/SUM($AS$4:$AS$146))))</f>
        <v>#DIV/0!</v>
      </c>
      <c r="H5" s="730" t="e">
        <f>IF($B12=$A$8,SUMPRODUCT($AS$4:$AS$146,Schweine_Werte!EI$4:EI$146)/SUM($AS$4:$AS$146),IF($B12=$A$7,SUMPRODUCT($AS$4:$AS$146,Schweine_Werte!DC$4:DC$146)/SUM($AS$4:$AS$146),IF($B12=$A$6,SUMPRODUCT($AS$4:$AS$146,Schweine_Werte!BW$4:BW$146)/SUM($AS$4:$AS$146),SUMPRODUCT($AS$4:$AS$146,Schweine_Werte!AQ$4:AQ$146)/SUM($AS$4:$AS$146))))</f>
        <v>#DIV/0!</v>
      </c>
      <c r="I5" s="730" t="e">
        <f>IF($B12=$A$8,SUMPRODUCT($AS$4:$AS$146,Schweine_Werte!EJ$4:EJ$146)/SUM($AS$4:$AS$146),IF($B12=$A$7,SUMPRODUCT($AS$4:$AS$146,Schweine_Werte!DD$4:DD$146)/SUM($AS$4:$AS$146),IF($B12=$A$6,SUMPRODUCT($AS$4:$AS$146,Schweine_Werte!BX$4:BX$146)/SUM($AS$4:$AS$146),SUMPRODUCT($AS$4:$AS$146,Schweine_Werte!AR$4:AR$146)/SUM($AS$4:$AS$146))))</f>
        <v>#DIV/0!</v>
      </c>
      <c r="J5" s="730" t="e">
        <f>SUMPRODUCT($AS$4:$AS$146,Schweine_Werte!$Y$4:$Y$146)/SUM($AS$4:$AS$146)</f>
        <v>#DIV/0!</v>
      </c>
      <c r="K5" s="730" t="e">
        <f>SUMPRODUCT($AS$4:$AS$146,Schweine_Werte!$AG$4:$AG$146)/SUM($AS$4:$AS$146)</f>
        <v>#DIV/0!</v>
      </c>
      <c r="L5" s="818" t="e">
        <f>T5*$F5*365/1000+$J5-$K5</f>
        <v>#DIV/0!</v>
      </c>
      <c r="M5" s="730" t="e">
        <f>U5*$F5*365/1000+$J5-$K5/2</f>
        <v>#DIV/0!</v>
      </c>
      <c r="N5" s="730" t="e">
        <f>V5*$F5*365/1000+$J5</f>
        <v>#DIV/0!</v>
      </c>
      <c r="O5" s="730">
        <f>IF($C12&lt;28,SUM($AS$4:$AS$23)+IF($D12&gt;28,$AS$24*0.5,$AS$24),0)</f>
        <v>0</v>
      </c>
      <c r="P5" s="730">
        <f>IF($D12&gt;28,SUM($AS$25:$AS$146)+IF($C12&lt;28,$AS$24*0.5,$AS$24),0)</f>
        <v>0</v>
      </c>
      <c r="Q5" s="730" t="e">
        <f t="shared" ref="Q5:S8" si="0">+T5*$F5</f>
        <v>#DIV/0!</v>
      </c>
      <c r="R5" s="730" t="e">
        <f t="shared" si="0"/>
        <v>#DIV/0!</v>
      </c>
      <c r="S5" s="730" t="e">
        <f t="shared" si="0"/>
        <v>#DIV/0!</v>
      </c>
      <c r="T5" s="730" t="e">
        <f>+($O5*Schweine_Werte!$HT$5+$P5*Schweine_Werte!$HU$5)/SUM($O5:$P5)</f>
        <v>#DIV/0!</v>
      </c>
      <c r="U5" s="730" t="e">
        <f>+($O5*Schweine_Werte!$HV$5+$P5*Schweine_Werte!$HW$5)/SUM($O5:$P5)</f>
        <v>#DIV/0!</v>
      </c>
      <c r="V5" s="730" t="e">
        <f>+($O5*Schweine_Werte!$HX$5+$P5*Schweine_Werte!$HY$5)/SUM($O5:$P5)</f>
        <v>#DIV/0!</v>
      </c>
      <c r="W5" s="785" t="e">
        <f>($J5*0.055+T5*0.365*0.86*$F5-$K5*0.018)/L5*100</f>
        <v>#DIV/0!</v>
      </c>
      <c r="X5" s="730" t="e">
        <f>($J5*0.055+U5*0.365*0.86*$F5-$K5*0.018/2)/M5*100</f>
        <v>#DIV/0!</v>
      </c>
      <c r="Y5" s="730" t="e">
        <f>($J5*0.055+V5*0.365*0.86*$F5)/N5*100</f>
        <v>#DIV/0!</v>
      </c>
      <c r="Z5" s="730" t="e">
        <f>IF($B12=$A$8,SUMPRODUCT($AS$4:$AS$146,Schweine_Werte!$EK$4:$EK$146,Schweine_Werte!$EL$4:$EL$146)/SUMPRODUCT($AS$4:$AS$146,Schweine_Werte!$EK$4:$EK$146),IF($B12=$A$7,SUMPRODUCT($AS$4:$AS$146,Schweine_Werte!$DE$4:$DE$146,Schweine_Werte!$DF$4:$DF$146)/SUMPRODUCT($AS$4:$AS$146,Schweine_Werte!$DE$4:$DE$146),IF($B12=$A$6,SUMPRODUCT($AS$4:$AS$146,Schweine_Werte!$BY$4:$BY$146,Schweine_Werte!$BZ$4:$BZ$146)/SUMPRODUCT($AS$4:$AS$146,Schweine_Werte!$BY$4:$BY$146),SUMPRODUCT($AS$4:$AS$146,Schweine_Werte!$AS$4:$AS$146,Schweine_Werte!$AT$4:$AT$146)/SUMPRODUCT($AS$4:$AS$146,Schweine_Werte!$AS$4:$AS$146))))</f>
        <v>#DIV/0!</v>
      </c>
      <c r="AA5" s="730"/>
      <c r="AB5" s="730">
        <f>IF($B12=$A$8,SUMIF(Schweine_Werte!$AO$4:$AO$146,$C12,Schweine_Werte!$EL$4:$EL$146),IF($B12=$A$7,SUMIF(Schweine_Werte!$AO$4:$AO$146,$C12,Schweine_Werte!$DF$4:$DF$146),IF($B12=$A$6,SUMIF(Schweine_Werte!$AO$4:$AO$146,$C12,Schweine_Werte!$BZ$4:$BZ$146),SUMIF(Schweine_Werte!$AO$4:$AO$146,$C12,Schweine_Werte!$AT$4:$AT$146))))</f>
        <v>0</v>
      </c>
      <c r="AC5" s="730"/>
      <c r="AD5" s="730">
        <f>IF($B12=$A$8,SUMIF(Schweine_Werte!$AO$4:$AO$146,$D12,Schweine_Werte!$EL$4:$EL$146),IF($B12=$A$7,SUMIF(Schweine_Werte!$AO$4:$AO$146,$D12,Schweine_Werte!$DF$4:$DF$146),IF($B12=$A$6,SUMIF(Schweine_Werte!$AO$4:$AO$146,$D12,Schweine_Werte!$BZ$4:$BZ$146),SUMIF(Schweine_Werte!$AO$4:$AO$146,$D12,Schweine_Werte!$AT$4:$AT$146))))</f>
        <v>0</v>
      </c>
      <c r="AE5" s="730"/>
      <c r="AF5" s="730"/>
      <c r="AG5" s="730" t="e">
        <f>IF($B12=$A$8,SUMPRODUCT($AS$4:$AS$146,Schweine_Werte!$EK$4:$EK$146)/SUM($AS$4:$AS$146),IF($B12=$A$7,SUMPRODUCT($AS$4:$AS$146,Schweine_Werte!$DE$4:$DE$146)/SUM($AS$4:$AS$146),IF($B12=$A$6,SUMPRODUCT($AS$4:$AS$146,Schweine_Werte!$BY$4:$BY$146)/SUM($AS$4:$AS$146),SUMPRODUCT($AS$4:$AS$146,Schweine_Werte!$AS$4:$AS$146)/SUM($AS$4:$AS$146))))</f>
        <v>#DIV/0!</v>
      </c>
      <c r="AH5" s="730"/>
      <c r="AI5" s="730"/>
      <c r="AJ5" s="730" t="e">
        <f>IF($B12=$A$8,SUMPRODUCT($AS$4:$AS$146,Schweine_Werte!$EK$4:$EK$146,Schweine_Werte!$EM$4:$EM$146)/SUMPRODUCT($AS$4:$AS$146,Schweine_Werte!$EK$4:$EK$146),IF($B12=$A$7,SUMPRODUCT($AS$4:$AS$146,Schweine_Werte!$DE$4:$DE$146,Schweine_Werte!$DG$4:$DG$146)/SUMPRODUCT($AS$4:$AS$146,Schweine_Werte!$DE$4:$DE$146),IF($B12=$A$6,SUMPRODUCT($AS$4:$AS$146,Schweine_Werte!$BY$4:$BY$146,Schweine_Werte!$CA$4:$CA$146)/SUMPRODUCT($AS$4:$AS$146,Schweine_Werte!$BY$4:$BY$146),SUMPRODUCT($AS$4:$AS$146,Schweine_Werte!$AS$4:$AS$146,Schweine_Werte!$AU$4:$AU$146)/SUMPRODUCT($AS$4:$AS$146,Schweine_Werte!$AS$4:$AS$146))))</f>
        <v>#DIV/0!</v>
      </c>
      <c r="AK5" s="730"/>
      <c r="AL5" s="730">
        <f>IF($B12=$A$8,SUMIF(Schweine_Werte!$AO$4:$AO$146,$C12,Schweine_Werte!$EM$4:$EM$146),IF($B12=$A$7,SUMIF(Schweine_Werte!$AO$4:$AO$146,$C12,Schweine_Werte!$DG$4:$DG$146),IF($B12=$A$6,SUMIF(Schweine_Werte!$AO$4:$AO$146,$C12,Schweine_Werte!$CA$4:$CA$146),SUMIF(Schweine_Werte!$AO$4:$AO$146,$C12,Schweine_Werte!$AU$4:$AU$146))))</f>
        <v>0</v>
      </c>
      <c r="AM5" s="730"/>
      <c r="AN5" s="730">
        <f>IF($B12=$A$8,SUMIF(Schweine_Werte!$AO$4:$AO$146,$D12,Schweine_Werte!$EM$4:$EM$146),IF($B12=$A$7,SUMIF(Schweine_Werte!$AO$4:$AO$146,$D12,Schweine_Werte!$DG$4:$DG$146),IF($B12=$A$6,SUMIF(Schweine_Werte!$AO$4:$AO$146,$D12,Schweine_Werte!$CA$4:$CA$146),SUMIF(Schweine_Werte!$AO$4:$AO$146,$D12,Schweine_Werte!$AU$4:$AU$146))))</f>
        <v>0</v>
      </c>
      <c r="AR5" s="793">
        <v>9</v>
      </c>
      <c r="AS5" s="794">
        <f>IF(OR($C$12=$AR5,$D$12=$AR5),Schweine_Werte!$C5*0.5,IF(OR($C$12&gt;$AR5,$D$12&lt;$AR5),0,Schweine_Werte!$C5))</f>
        <v>0</v>
      </c>
      <c r="AT5" s="794">
        <f>IF(OR($C$24=$AR5,$D$24=$AR5),Schweine_Werte!$C5*0.5,IF(OR($C$24&gt;$AR5,$D$24&lt;$AR5),0,Schweine_Werte!$C5))</f>
        <v>0</v>
      </c>
      <c r="AU5" s="794">
        <f>IF(OR($C$36=$AR5,$D$36=$AR5),Schweine_Werte!$C5*0.5,IF(OR($C$36&gt;$AR5,$D$36&lt;$AR5),0,Schweine_Werte!$C5))</f>
        <v>0</v>
      </c>
      <c r="AV5" s="794">
        <f>IF(OR($C$48=$AR5,$D$48=$AR5),Schweine_Werte!$C5*0.5,IF(OR($C$48&gt;$AR5,$D$48&lt;$AR5),0,Schweine_Werte!$C5))</f>
        <v>0</v>
      </c>
      <c r="AW5" s="794">
        <f>IF(OR($C$60=$AR5,$D$60=$AR5),Schweine_Werte!$C5*0.5,IF(OR($C$60&gt;$AR5,$D$60&lt;$AR5),0,Schweine_Werte!$C5))</f>
        <v>0</v>
      </c>
      <c r="AX5" s="794">
        <f>IF(OR($C$12=$AR5,$D$12=$AR5),Schweine_Werte!$E5*0.5,IF(OR($C$12&gt;$AR5,$D$12&lt;$AR5),0,Schweine_Werte!$E5))</f>
        <v>0</v>
      </c>
      <c r="AY5" s="794">
        <f>IF(OR($C$24=$AR5,$D$24=$AR5),Schweine_Werte!$E5*0.5,IF(OR($C$24&gt;$AR5,$D$24&lt;$AR5),0,Schweine_Werte!$E5))</f>
        <v>0</v>
      </c>
      <c r="AZ5" s="797">
        <f>IF(OR($C$36=$AR5,$D$36=$AR5),Schweine_Werte!$E5*0.5,IF(OR($C$36&gt;$AR5,$D$36&lt;$AR5),0,Schweine_Werte!$E5))</f>
        <v>0</v>
      </c>
      <c r="BA5" s="797">
        <f>IF(OR($C$48=$AR5,$D$48=$AR5),Schweine_Werte!$E5*0.5,IF(OR($C$48&gt;$AR5,$D$48&lt;$AR5),0,Schweine_Werte!$E5))</f>
        <v>0</v>
      </c>
      <c r="BB5" s="797">
        <f>IF(OR($C$60=$AR5,$D$60=$AR5),Schweine_Werte!$E5*0.5,IF(OR($C$60&gt;$AR5,$D$60&lt;$AR5),0,Schweine_Werte!$E5))</f>
        <v>0</v>
      </c>
      <c r="BC5" s="794">
        <f>IF(OR($C$12=$AR5,$D$12=$AR5),Schweine_Werte!$G5*0.5,IF(OR($C$12&gt;$AR5,$D$12&lt;$AR5),0,Schweine_Werte!$G5))</f>
        <v>0</v>
      </c>
      <c r="BD5" s="794">
        <f>IF(OR($C$24=$AR5,$D$24=$AR5),Schweine_Werte!$G5*0.5,IF(OR($C$24&gt;$AR5,$D$24&lt;$AR5),0,Schweine_Werte!$G5))</f>
        <v>0</v>
      </c>
      <c r="BE5" s="797">
        <f>IF(OR($C$36=$AR5,$D$36=$AR5),Schweine_Werte!$G5*0.5,IF(OR($C$36&gt;$AR5,$D$36&lt;$AR5),0,Schweine_Werte!$G5))</f>
        <v>0</v>
      </c>
      <c r="BF5" s="797">
        <f>IF(OR($C$48=$AR5,$D$48=$AR5),Schweine_Werte!$G5*0.5,IF(OR($C$48&gt;$AR5,$D$48&lt;$AR5),0,Schweine_Werte!$G5))</f>
        <v>0</v>
      </c>
      <c r="BG5" s="797">
        <f>IF(OR($C$60=$AR5,$D$60=$AR5),Schweine_Werte!$G5*0.5,IF(OR($C$60&gt;$AR5,$D$60&lt;$AR5),0,Schweine_Werte!$G5))</f>
        <v>0</v>
      </c>
      <c r="BH5" s="794">
        <f>IF(OR($C$12=$AR5,$D$12=$AR5),Schweine_Werte!$I5*0.5,IF(OR($C$12&gt;$AR5,$D$12&lt;$AR5),0,Schweine_Werte!$I5))</f>
        <v>0</v>
      </c>
      <c r="BI5" s="794">
        <f>IF(OR($C$24=$AR5,$D$24=$AR5),Schweine_Werte!$I5*0.5,IF(OR($C$24&gt;$AR5,$D$24&lt;$AR5),0,Schweine_Werte!$I5))</f>
        <v>0</v>
      </c>
      <c r="BJ5" s="797">
        <f>IF(OR($C$36=$AR5,$D$36=$AR5),Schweine_Werte!$I5*0.5,IF(OR($C$36&gt;$AR5,$D$36&lt;$AR5),0,Schweine_Werte!$I5))</f>
        <v>0</v>
      </c>
      <c r="BK5" s="797">
        <f>IF(OR($C$48=$AR5,$D$48=$AR5),Schweine_Werte!$I5*0.5,IF(OR($C$48&gt;$AR5,$D$48&lt;$AR5),0,Schweine_Werte!$I5))</f>
        <v>0</v>
      </c>
      <c r="BL5" s="797">
        <f>IF(OR($C$60=$AR5,$D$60=$AR5),Schweine_Werte!$I5*0.5,IF(OR($C$60&gt;$AR5,$D$60&lt;$AR5),0,Schweine_Werte!$I5))</f>
        <v>0</v>
      </c>
      <c r="BM5" s="794"/>
      <c r="BN5" s="794"/>
      <c r="BO5" s="797"/>
      <c r="BP5" s="797"/>
      <c r="BQ5" s="797"/>
      <c r="BR5" s="795">
        <f>IF(OR($C$74=$AR5,$D$74=$AR5),Schweine_Werte!$M5*0.5,IF(OR($C$74&gt;$AR5,$D$74&lt;$AR5),0,Schweine_Werte!$M5))</f>
        <v>0</v>
      </c>
      <c r="BS5" s="795">
        <f>IF(OR($C$83=$AR5,$D$83=$AR5),Schweine_Werte!$M5*0.5,IF(OR($C$83&gt;$AR5,$D$83&lt;$AR5),0,Schweine_Werte!$M5))</f>
        <v>0</v>
      </c>
      <c r="BT5" s="730">
        <f>IF(OR($C$92=$AR5,$D$92=$AR5),Schweine_Werte!$M5*0.5,IF(OR($C$92&gt;$AR5,$D$92&lt;$AR5),0,Schweine_Werte!$M5))</f>
        <v>0</v>
      </c>
      <c r="BU5" s="730">
        <f>IF(OR($C$101=$AR5,$D$101=$AR5),Schweine_Werte!$M5*0.5,IF(OR($C$101&gt;$AR5,$D$101&lt;$AR5),0,Schweine_Werte!$M5))</f>
        <v>0</v>
      </c>
      <c r="BV5" s="730">
        <f>IF(OR($C$110=$AR5,$D$110=$AR5),Schweine_Werte!$M5*0.5,IF(OR($C$110&gt;$AR5,$D$110&lt;$AR5),0,Schweine_Werte!$M5))</f>
        <v>0</v>
      </c>
      <c r="BW5" s="730">
        <f>IF(OR(8=$AR5,$E$127=$AR5),Schweine_Werte!$M5*0.5,IF(OR(8&gt;$AR5,$E$127&lt;$AR5),0,Schweine_Werte!$M5))</f>
        <v>3.141935976776089</v>
      </c>
      <c r="BX5" s="730">
        <f>IF(OR(8=$AR5,$E$145=$AR5),Schweine_Werte!$M5*0.5,IF(OR(8&gt;$AR5,$E$145&lt;$AR5),0,Schweine_Werte!$M5))</f>
        <v>3.141935976776089</v>
      </c>
      <c r="BY5" s="795">
        <f>IF(OR($C$74=$AR5,$D$74=$AR5),Schweine_Werte!$O5*0.5,IF(OR($C$74&gt;$AR5,$D$74&lt;$AR5),0,Schweine_Werte!$O5))</f>
        <v>0</v>
      </c>
      <c r="BZ5" s="795">
        <f>IF(OR($C$83=$AR5,$D$83=$AR5),Schweine_Werte!$O5*0.5,IF(OR($C$83&gt;$AR5,$D$83&lt;$AR5),0,Schweine_Werte!$O5))</f>
        <v>0</v>
      </c>
      <c r="CA5" s="730">
        <f>IF(OR($C$92=$AR5,$D$92=$AR5),Schweine_Werte!$O5*0.5,IF(OR($C$92&gt;$AR5,$D$92&lt;$AR5),0,Schweine_Werte!$O5))</f>
        <v>0</v>
      </c>
      <c r="CB5" s="730">
        <f>IF(OR($C$101=$AR5,$D$101=$AR5),Schweine_Werte!$O5*0.5,IF(OR($C$101&gt;$AR5,$D$101&lt;$AR5),0,Schweine_Werte!$O5))</f>
        <v>0</v>
      </c>
      <c r="CC5" s="730">
        <f>IF(OR($C$110=$AR5,$D$110=$AR5),Schweine_Werte!$O5*0.5,IF(OR($C$110&gt;$AR5,$D$110&lt;$AR5),0,Schweine_Werte!$O5))</f>
        <v>0</v>
      </c>
    </row>
    <row r="6" spans="1:303" ht="14.4" x14ac:dyDescent="0.3">
      <c r="A6" s="796" t="s">
        <v>7747</v>
      </c>
      <c r="B6" s="705">
        <v>750</v>
      </c>
      <c r="D6" s="798"/>
      <c r="E6" s="730" t="e">
        <f>($D12-$C12)*1000/SUM($AX$4:$AX$146)</f>
        <v>#VALUE!</v>
      </c>
      <c r="F6" s="730" t="e">
        <f>SUMPRODUCT($AX$4:$AX$146,Schweine_Werte!$R$4:$R$146)/SUM($AX$4:$AX$146)</f>
        <v>#DIV/0!</v>
      </c>
      <c r="G6" s="730" t="e">
        <f>IF($B12=$A$8,SUMPRODUCT($AX$4:$AX$146,Schweine_Werte!EN$4:EN$146)/SUM($AX$4:$AX$146),IF($B12=$A$7,SUMPRODUCT($AX$4:$AX$146,Schweine_Werte!DH$4:DH$146)/SUM($AX$4:$AX$146),IF($B12=$A$6,SUMPRODUCT($AX$4:$AX$146,Schweine_Werte!CB$4:CB$146)/SUM($AX$4:$AX$146),SUMPRODUCT($AX$4:$AX$146,Schweine_Werte!AV$4:AV$146)/SUM($AX$4:$AX$146))))</f>
        <v>#DIV/0!</v>
      </c>
      <c r="H6" s="730" t="e">
        <f>IF($B12=$A$8,SUMPRODUCT($AX$4:$AX$146,Schweine_Werte!EO$4:EO$146)/SUM($AX$4:$AX$146),IF($B12=$A$7,SUMPRODUCT($AX$4:$AX$146,Schweine_Werte!DI$4:DI$146)/SUM($AX$4:$AX$146),IF($B12=$A$6,SUMPRODUCT($AX$4:$AX$146,Schweine_Werte!CC$4:CC$146)/SUM($AX$4:$AX$146),SUMPRODUCT($AX$4:$AX$146,Schweine_Werte!AW$4:AW$146)/SUM($AX$4:$AX$146))))</f>
        <v>#DIV/0!</v>
      </c>
      <c r="I6" s="730" t="e">
        <f>IF($B12=$A$8,SUMPRODUCT($AX$4:$AX$146,Schweine_Werte!EP$4:EP$146)/SUM($AX$4:$AX$146),IF($B12=$A$7,SUMPRODUCT($AX$4:$AX$146,Schweine_Werte!DJ$4:DJ$146)/SUM($AX$4:$AX$146),IF($B12=$A$6,SUMPRODUCT($AX$4:$AX$146,Schweine_Werte!CD$4:CD$146)/SUM($AX$4:$AX$146),SUMPRODUCT($AX$4:$AX$146,Schweine_Werte!AX$4:AX$146)/SUM($AX$4:$AX$146))))</f>
        <v>#DIV/0!</v>
      </c>
      <c r="J6" s="730" t="e">
        <f>SUMPRODUCT($AX$4:$AX$146,Schweine_Werte!$Z$4:$Z$146)/SUM($AX$4:$AX$146)</f>
        <v>#DIV/0!</v>
      </c>
      <c r="K6" s="730" t="e">
        <f>SUMPRODUCT($AX$4:$AX$146,Schweine_Werte!$AH$4:$AH$146)/SUM($AX$4:$AX$146)</f>
        <v>#DIV/0!</v>
      </c>
      <c r="L6" s="818" t="e">
        <f>T6*$F6*365/1000+$J6-$K6</f>
        <v>#DIV/0!</v>
      </c>
      <c r="M6" s="730" t="e">
        <f>U6*$F6*365/1000+$J6-$K6/2</f>
        <v>#DIV/0!</v>
      </c>
      <c r="N6" s="730" t="e">
        <f>V6*$F6*365/1000+$J6</f>
        <v>#DIV/0!</v>
      </c>
      <c r="O6" s="730">
        <f>IF($C12&lt;28,SUM($AX$4:$AX$23)+IF($D12&gt;28,$AX$24*0.5,$AX$24),0)</f>
        <v>0</v>
      </c>
      <c r="P6" s="730">
        <f>IF($D12&gt;28,SUM($AX$25:$AX$146)+IF($C12&lt;28,$AX$24*0.5,$AX$24),0)</f>
        <v>0</v>
      </c>
      <c r="Q6" s="730" t="e">
        <f t="shared" si="0"/>
        <v>#DIV/0!</v>
      </c>
      <c r="R6" s="730" t="e">
        <f t="shared" si="0"/>
        <v>#DIV/0!</v>
      </c>
      <c r="S6" s="730" t="e">
        <f t="shared" si="0"/>
        <v>#DIV/0!</v>
      </c>
      <c r="T6" s="730" t="e">
        <f>+($O6*Schweine_Werte!$HT$6+$P6*Schweine_Werte!$HU$6)/SUM($O6:$P6)</f>
        <v>#DIV/0!</v>
      </c>
      <c r="U6" s="730" t="e">
        <f>+($O6*Schweine_Werte!$HV$6+$P6*Schweine_Werte!$HW$6)/SUM($O6:$P6)</f>
        <v>#DIV/0!</v>
      </c>
      <c r="V6" s="730" t="e">
        <f>+($O6*Schweine_Werte!$HX$6+$P6*Schweine_Werte!$HY$6)/SUM($O6:$P6)</f>
        <v>#DIV/0!</v>
      </c>
      <c r="W6" s="785" t="e">
        <f>($J6*0.055+T6*0.365*0.86*$F6-$K6*0.018)/L6*100</f>
        <v>#DIV/0!</v>
      </c>
      <c r="X6" s="730" t="e">
        <f>($J6*0.055+U6*0.365*0.86*$F6-$K6*0.018/2)/M6*100</f>
        <v>#DIV/0!</v>
      </c>
      <c r="Y6" s="730" t="e">
        <f>($J6*0.055+V6*0.365*0.86*$F6)/N6*100</f>
        <v>#DIV/0!</v>
      </c>
      <c r="Z6" s="730" t="e">
        <f>IF($B12=$A$8,SUMPRODUCT($AX$4:$AX$146,Schweine_Werte!$EQ$4:$EQ$146,Schweine_Werte!$ER$4:$ER$146)/SUMPRODUCT($AX$4:$AX$146,Schweine_Werte!$EQ$4:$EQ$146),IF($B12=$A$7,SUMPRODUCT($AX$4:$AX$146,Schweine_Werte!$DK$4:$DK$146,Schweine_Werte!$DL$4:$DL$146)/SUMPRODUCT($AX$4:$AX$146,Schweine_Werte!$DK$4:$DK$146),IF($B12=$A$6,SUMPRODUCT($AX$4:$AX$146,Schweine_Werte!$CE$4:$CE$146,Schweine_Werte!$CF$4:$CF$146)/SUMPRODUCT($AX$4:$AX$146,Schweine_Werte!$CE$4:$CE$146),SUMPRODUCT($AX$4:$AX$146,Schweine_Werte!$AY$4:$AY$146,Schweine_Werte!$AZ$4:$AZ$146)/SUMPRODUCT($AX$4:$AX$146,Schweine_Werte!$AY$4:$AY$146))))</f>
        <v>#DIV/0!</v>
      </c>
      <c r="AA6" s="730"/>
      <c r="AB6" s="730">
        <f>IF($B12=$A$8,SUMIF(Schweine_Werte!$AO$4:$AO$146,$C12,Schweine_Werte!$ER$4:$ER$146),IF($B12=$A$7,SUMIF(Schweine_Werte!$AO$4:$AO$146,$C12,Schweine_Werte!$DL$4:$DL$146),IF($B12=$A$6,SUMIF(Schweine_Werte!$AO$4:$AO$146,$C12,Schweine_Werte!$CF$4:$CF$146),SUMIF(Schweine_Werte!$AO$4:$AO$146,$C12,Schweine_Werte!$AZ$4:$AZ$146))))</f>
        <v>0</v>
      </c>
      <c r="AC6" s="730"/>
      <c r="AD6" s="730">
        <f>IF($B12=$A$8,SUMIF(Schweine_Werte!$AO$4:$AO$146,$D12,Schweine_Werte!$ER$4:$ER$146),IF($B12=$A$7,SUMIF(Schweine_Werte!$AO$4:$AO$146,$D12,Schweine_Werte!$DL$4:$DL$146),IF($B12=$A$6,SUMIF(Schweine_Werte!$AO$4:$AO$146,$D12,Schweine_Werte!$CF$4:$CF$146),SUMIF(Schweine_Werte!$AO$4:$AO$146,$D12,Schweine_Werte!$AZ$4:$AZ$146))))</f>
        <v>0</v>
      </c>
      <c r="AE6" s="730"/>
      <c r="AF6" s="730"/>
      <c r="AG6" s="730" t="e">
        <f>IF($B12=$A$8,SUMPRODUCT($AX$4:$AX$146,Schweine_Werte!$EQ$4:$EQ$146)/SUM($AX$4:$AX$146),IF($B12=$A$7,SUMPRODUCT($AX$4:$AX$146,Schweine_Werte!$DK$4:$DK$146)/SUM($AX$4:$AX$146),IF($B12=$A$6,SUMPRODUCT($AX$4:$AX$146,Schweine_Werte!$CE$4:$CE$146)/SUM($AX$4:$AX$146),SUMPRODUCT($AX$4:$AX$146,Schweine_Werte!$AY$4:$AY$146)/SUM($AX$4:$AX$146))))</f>
        <v>#DIV/0!</v>
      </c>
      <c r="AH6" s="730"/>
      <c r="AI6" s="730"/>
      <c r="AJ6" s="730" t="e">
        <f>IF($B12=$A$8,SUMPRODUCT($AX$4:$AX$146,Schweine_Werte!$EQ$4:$EQ$146,Schweine_Werte!$ES$4:$ES$146)/SUMPRODUCT($AX$4:$AX$146,Schweine_Werte!$EQ$4:$EQ$146),IF($B12=$A$7,SUMPRODUCT($AX$4:$AX$146,Schweine_Werte!$DK$4:$DK$146,Schweine_Werte!$DM$4:$DM$146)/SUMPRODUCT($AX$4:$AX$146,Schweine_Werte!$DK$4:$DK$146),IF($B12=$A$6,SUMPRODUCT($AX$4:$AX$146,Schweine_Werte!$CE$4:$CE$146,Schweine_Werte!$CG$4:$CG$146)/SUMPRODUCT($AX$4:$AX$146,Schweine_Werte!$CE$4:$CE$146),SUMPRODUCT($AX$4:$AX$146,Schweine_Werte!$AY$4:$AY$146,Schweine_Werte!$BA$4:$BA$146)/SUMPRODUCT($AX$4:$AX$146,Schweine_Werte!$AY$4:$AY$146))))</f>
        <v>#DIV/0!</v>
      </c>
      <c r="AK6" s="730"/>
      <c r="AL6" s="730">
        <f>IF($B12=$A$8,SUMIF(Schweine_Werte!$AO$4:$AO$146,$C12,Schweine_Werte!$ES$4:$ES$146),IF($B12=$A$7,SUMIF(Schweine_Werte!$AO$4:$AO$146,$C12,Schweine_Werte!$DM$4:$DM$146),IF($B12=$A$6,SUMIF(Schweine_Werte!$AO$4:$AO$146,$C12,Schweine_Werte!$CG$4:$CG$146),SUMIF(Schweine_Werte!$AO$4:$AO$146,$C12,Schweine_Werte!$BA$4:$BA$146))))</f>
        <v>0</v>
      </c>
      <c r="AM6" s="730"/>
      <c r="AN6" s="730">
        <f>IF($B12=$A$8,SUMIF(Schweine_Werte!$AO$4:$AO$146,$D12,Schweine_Werte!$ES$4:$ES$146),IF($B12=$A$7,SUMIF(Schweine_Werte!$AO$4:$AO$146,$D12,Schweine_Werte!$DM$4:$DM$146),IF($B12=$A$6,SUMIF(Schweine_Werte!$AO$4:$AO$146,$D12,Schweine_Werte!$CG$4:$CG$146),SUMIF(Schweine_Werte!$AO$4:$AO$146,$D12,Schweine_Werte!$BA$4:$BA$146))))</f>
        <v>0</v>
      </c>
      <c r="AR6" s="793">
        <v>10</v>
      </c>
      <c r="AS6" s="794">
        <f>IF(OR($C$12=$AR6,$D$12=$AR6),Schweine_Werte!$C6*0.5,IF(OR($C$12&gt;$AR6,$D$12&lt;$AR6),0,Schweine_Werte!$C6))</f>
        <v>0</v>
      </c>
      <c r="AT6" s="794">
        <f>IF(OR($C$24=$AR6,$D$24=$AR6),Schweine_Werte!$C6*0.5,IF(OR($C$24&gt;$AR6,$D$24&lt;$AR6),0,Schweine_Werte!$C6))</f>
        <v>0</v>
      </c>
      <c r="AU6" s="794">
        <f>IF(OR($C$36=$AR6,$D$36=$AR6),Schweine_Werte!$C6*0.5,IF(OR($C$36&gt;$AR6,$D$36&lt;$AR6),0,Schweine_Werte!$C6))</f>
        <v>0</v>
      </c>
      <c r="AV6" s="794">
        <f>IF(OR($C$48=$AR6,$D$48=$AR6),Schweine_Werte!$C6*0.5,IF(OR($C$48&gt;$AR6,$D$48&lt;$AR6),0,Schweine_Werte!$C6))</f>
        <v>0</v>
      </c>
      <c r="AW6" s="794">
        <f>IF(OR($C$60=$AR6,$D$60=$AR6),Schweine_Werte!$C6*0.5,IF(OR($C$60&gt;$AR6,$D$60&lt;$AR6),0,Schweine_Werte!$C6))</f>
        <v>0</v>
      </c>
      <c r="AX6" s="794">
        <f>IF(OR($C$12=$AR6,$D$12=$AR6),Schweine_Werte!$E6*0.5,IF(OR($C$12&gt;$AR6,$D$12&lt;$AR6),0,Schweine_Werte!$E6))</f>
        <v>0</v>
      </c>
      <c r="AY6" s="794">
        <f>IF(OR($C$24=$AR6,$D$24=$AR6),Schweine_Werte!$E6*0.5,IF(OR($C$24&gt;$AR6,$D$24&lt;$AR6),0,Schweine_Werte!$E6))</f>
        <v>0</v>
      </c>
      <c r="AZ6" s="797">
        <f>IF(OR($C$36=$AR6,$D$36=$AR6),Schweine_Werte!$E6*0.5,IF(OR($C$36&gt;$AR6,$D$36&lt;$AR6),0,Schweine_Werte!$E6))</f>
        <v>0</v>
      </c>
      <c r="BA6" s="797">
        <f>IF(OR($C$48=$AR6,$D$48=$AR6),Schweine_Werte!$E6*0.5,IF(OR($C$48&gt;$AR6,$D$48&lt;$AR6),0,Schweine_Werte!$E6))</f>
        <v>0</v>
      </c>
      <c r="BB6" s="797">
        <f>IF(OR($C$60=$AR6,$D$60=$AR6),Schweine_Werte!$E6*0.5,IF(OR($C$60&gt;$AR6,$D$60&lt;$AR6),0,Schweine_Werte!$E6))</f>
        <v>0</v>
      </c>
      <c r="BC6" s="794">
        <f>IF(OR($C$12=$AR6,$D$12=$AR6),Schweine_Werte!$G6*0.5,IF(OR($C$12&gt;$AR6,$D$12&lt;$AR6),0,Schweine_Werte!$G6))</f>
        <v>0</v>
      </c>
      <c r="BD6" s="794">
        <f>IF(OR($C$24=$AR6,$D$24=$AR6),Schweine_Werte!$G6*0.5,IF(OR($C$24&gt;$AR6,$D$24&lt;$AR6),0,Schweine_Werte!$G6))</f>
        <v>0</v>
      </c>
      <c r="BE6" s="797">
        <f>IF(OR($C$36=$AR6,$D$36=$AR6),Schweine_Werte!$G6*0.5,IF(OR($C$36&gt;$AR6,$D$36&lt;$AR6),0,Schweine_Werte!$G6))</f>
        <v>0</v>
      </c>
      <c r="BF6" s="797">
        <f>IF(OR($C$48=$AR6,$D$48=$AR6),Schweine_Werte!$G6*0.5,IF(OR($C$48&gt;$AR6,$D$48&lt;$AR6),0,Schweine_Werte!$G6))</f>
        <v>0</v>
      </c>
      <c r="BG6" s="797">
        <f>IF(OR($C$60=$AR6,$D$60=$AR6),Schweine_Werte!$G6*0.5,IF(OR($C$60&gt;$AR6,$D$60&lt;$AR6),0,Schweine_Werte!$G6))</f>
        <v>0</v>
      </c>
      <c r="BH6" s="794">
        <f>IF(OR($C$12=$AR6,$D$12=$AR6),Schweine_Werte!$I6*0.5,IF(OR($C$12&gt;$AR6,$D$12&lt;$AR6),0,Schweine_Werte!$I6))</f>
        <v>0</v>
      </c>
      <c r="BI6" s="794">
        <f>IF(OR($C$24=$AR6,$D$24=$AR6),Schweine_Werte!$I6*0.5,IF(OR($C$24&gt;$AR6,$D$24&lt;$AR6),0,Schweine_Werte!$I6))</f>
        <v>0</v>
      </c>
      <c r="BJ6" s="797">
        <f>IF(OR($C$36=$AR6,$D$36=$AR6),Schweine_Werte!$I6*0.5,IF(OR($C$36&gt;$AR6,$D$36&lt;$AR6),0,Schweine_Werte!$I6))</f>
        <v>0</v>
      </c>
      <c r="BK6" s="797">
        <f>IF(OR($C$48=$AR6,$D$48=$AR6),Schweine_Werte!$I6*0.5,IF(OR($C$48&gt;$AR6,$D$48&lt;$AR6),0,Schweine_Werte!$I6))</f>
        <v>0</v>
      </c>
      <c r="BL6" s="797">
        <f>IF(OR($C$60=$AR6,$D$60=$AR6),Schweine_Werte!$I6*0.5,IF(OR($C$60&gt;$AR6,$D$60&lt;$AR6),0,Schweine_Werte!$I6))</f>
        <v>0</v>
      </c>
      <c r="BM6" s="794"/>
      <c r="BN6" s="794"/>
      <c r="BO6" s="797"/>
      <c r="BP6" s="797"/>
      <c r="BQ6" s="797"/>
      <c r="BR6" s="795">
        <f>IF(OR($C$74=$AR6,$D$74=$AR6),Schweine_Werte!$M6*0.5,IF(OR($C$74&gt;$AR6,$D$74&lt;$AR6),0,Schweine_Werte!$M6))</f>
        <v>0</v>
      </c>
      <c r="BS6" s="795">
        <f>IF(OR($C$83=$AR6,$D$83=$AR6),Schweine_Werte!$M6*0.5,IF(OR($C$83&gt;$AR6,$D$83&lt;$AR6),0,Schweine_Werte!$M6))</f>
        <v>0</v>
      </c>
      <c r="BT6" s="730">
        <f>IF(OR($C$92=$AR6,$D$92=$AR6),Schweine_Werte!$M6*0.5,IF(OR($C$92&gt;$AR6,$D$92&lt;$AR6),0,Schweine_Werte!$M6))</f>
        <v>0</v>
      </c>
      <c r="BU6" s="730">
        <f>IF(OR($C$101=$AR6,$D$101=$AR6),Schweine_Werte!$M6*0.5,IF(OR($C$101&gt;$AR6,$D$101&lt;$AR6),0,Schweine_Werte!$M6))</f>
        <v>0</v>
      </c>
      <c r="BV6" s="730">
        <f>IF(OR($C$110=$AR6,$D$110=$AR6),Schweine_Werte!$M6*0.5,IF(OR($C$110&gt;$AR6,$D$110&lt;$AR6),0,Schweine_Werte!$M6))</f>
        <v>0</v>
      </c>
      <c r="BW6" s="730">
        <f>IF(OR(8=$AR6,$E$127=$AR6),Schweine_Werte!$M6*0.5,IF(OR(8&gt;$AR6,$E$127&lt;$AR6),0,Schweine_Werte!$M6))</f>
        <v>2.9682487532941839</v>
      </c>
      <c r="BX6" s="730">
        <f>IF(OR(8=$AR6,$E$145=$AR6),Schweine_Werte!$M6*0.5,IF(OR(8&gt;$AR6,$E$145&lt;$AR6),0,Schweine_Werte!$M6))</f>
        <v>2.9682487532941839</v>
      </c>
      <c r="BY6" s="795">
        <f>IF(OR($C$74=$AR6,$D$74=$AR6),Schweine_Werte!$O6*0.5,IF(OR($C$74&gt;$AR6,$D$74&lt;$AR6),0,Schweine_Werte!$O6))</f>
        <v>0</v>
      </c>
      <c r="BZ6" s="795">
        <f>IF(OR($C$83=$AR6,$D$83=$AR6),Schweine_Werte!$O6*0.5,IF(OR($C$83&gt;$AR6,$D$83&lt;$AR6),0,Schweine_Werte!$O6))</f>
        <v>0</v>
      </c>
      <c r="CA6" s="730">
        <f>IF(OR($C$92=$AR6,$D$92=$AR6),Schweine_Werte!$O6*0.5,IF(OR($C$92&gt;$AR6,$D$92&lt;$AR6),0,Schweine_Werte!$O6))</f>
        <v>0</v>
      </c>
      <c r="CB6" s="730">
        <f>IF(OR($C$101=$AR6,$D$101=$AR6),Schweine_Werte!$O6*0.5,IF(OR($C$101&gt;$AR6,$D$101&lt;$AR6),0,Schweine_Werte!$O6))</f>
        <v>0</v>
      </c>
      <c r="CC6" s="730">
        <f>IF(OR($C$110=$AR6,$D$110=$AR6),Schweine_Werte!$O6*0.5,IF(OR($C$110&gt;$AR6,$D$110&lt;$AR6),0,Schweine_Werte!$O6))</f>
        <v>0</v>
      </c>
    </row>
    <row r="7" spans="1:303" ht="14.4" x14ac:dyDescent="0.3">
      <c r="A7" s="796" t="s">
        <v>7745</v>
      </c>
      <c r="B7" s="705">
        <v>850</v>
      </c>
      <c r="D7" s="730"/>
      <c r="E7" s="730" t="e">
        <f>($D12-$C12)*1000/SUM($BC$4:$BC$146)</f>
        <v>#VALUE!</v>
      </c>
      <c r="F7" s="730" t="e">
        <f>SUMPRODUCT($BC$4:$BC$146,Schweine_Werte!$S$4:$S$146)/SUM($BC$4:$BC$146)</f>
        <v>#DIV/0!</v>
      </c>
      <c r="G7" s="730" t="e">
        <f>IF($B12=$A$8,SUMPRODUCT($BC$4:$BC$146,Schweine_Werte!ET$4:ET$146)/SUM($BC$4:$BC$146),IF($B12=$A$7,SUMPRODUCT($BC$4:$BC$146,Schweine_Werte!DN$4:DN$146)/SUM($BC$4:$BC$146),IF($B12=$A$6,SUMPRODUCT($BC$4:$BC$146,Schweine_Werte!CH$4:CH$146)/SUM($BC$4:$BC$146),SUMPRODUCT($BC$4:$BC$146,Schweine_Werte!BB$4:BB$146)/SUM($BC$4:$BC$146))))</f>
        <v>#DIV/0!</v>
      </c>
      <c r="H7" s="730" t="e">
        <f>IF($B12=$A$8,SUMPRODUCT($BC$4:$BC$146,Schweine_Werte!EU$4:EU$146)/SUM($BC$4:$BC$146),IF($B12=$A$7,SUMPRODUCT($BC$4:$BC$146,Schweine_Werte!DO$4:DO$146)/SUM($BC$4:$BC$146),IF($B12=$A$6,SUMPRODUCT($BC$4:$BC$146,Schweine_Werte!CI$4:CI$146)/SUM($BC$4:$BC$146),SUMPRODUCT($BC$4:$BC$146,Schweine_Werte!BC$4:BC$146)/SUM($BC$4:$BC$146))))</f>
        <v>#DIV/0!</v>
      </c>
      <c r="I7" s="730" t="e">
        <f>IF($B12=$A$8,SUMPRODUCT($BC$4:$BC$146,Schweine_Werte!EV$4:EV$146)/SUM($BC$4:$BC$146),IF($B12=$A$7,SUMPRODUCT($BC$4:$BC$146,Schweine_Werte!DP$4:DP$146)/SUM($BC$4:$BC$146),IF($B12=$A$6,SUMPRODUCT($BC$4:$BC$146,Schweine_Werte!CJ$4:CJ$146)/SUM($BC$4:$BC$146),SUMPRODUCT($BC$4:$BC$146,Schweine_Werte!BD$4:BD$146)/SUM($BC$4:$BC$146))))</f>
        <v>#DIV/0!</v>
      </c>
      <c r="J7" s="730" t="e">
        <f>SUMPRODUCT($BC$4:$BC$146,Schweine_Werte!$AA$4:$AA$146)/SUM($BC$4:$BC$146)</f>
        <v>#DIV/0!</v>
      </c>
      <c r="K7" s="730" t="e">
        <f>SUMPRODUCT($BC$4:$BC$146,Schweine_Werte!$AI$4:$AI$146)/SUM($BC$4:$BC$146)</f>
        <v>#DIV/0!</v>
      </c>
      <c r="L7" s="818" t="e">
        <f>T7*$F7*365/1000+$J7-$K7</f>
        <v>#DIV/0!</v>
      </c>
      <c r="M7" s="730" t="e">
        <f>U7*$F7*365/1000+$J7-$K7/2</f>
        <v>#DIV/0!</v>
      </c>
      <c r="N7" s="730" t="e">
        <f>V7*$F7*365/1000+$J7</f>
        <v>#DIV/0!</v>
      </c>
      <c r="O7" s="730">
        <f>IF($C12&lt;28,SUM($BC$4:$BC$23)+IF($D12&gt;28,$BC$24*0.5,$BC$24),0)</f>
        <v>0</v>
      </c>
      <c r="P7" s="730">
        <f>IF($D12&gt;28,SUM($BC$25:$BC$146)+IF($C12&lt;28,$BC$24*0.5,$BC$24),0)</f>
        <v>0</v>
      </c>
      <c r="Q7" s="730" t="e">
        <f t="shared" si="0"/>
        <v>#DIV/0!</v>
      </c>
      <c r="R7" s="730" t="e">
        <f t="shared" si="0"/>
        <v>#DIV/0!</v>
      </c>
      <c r="S7" s="730" t="e">
        <f t="shared" si="0"/>
        <v>#DIV/0!</v>
      </c>
      <c r="T7" s="730" t="e">
        <f>+($O7*Schweine_Werte!$HT$7+$P7*Schweine_Werte!$HU$7)/SUM($O7:$P7)</f>
        <v>#DIV/0!</v>
      </c>
      <c r="U7" s="730" t="e">
        <f>+($O7*Schweine_Werte!$HV$7+$P7*Schweine_Werte!$HW$7)/SUM($O7:$P7)</f>
        <v>#DIV/0!</v>
      </c>
      <c r="V7" s="730" t="e">
        <f>+($O7*Schweine_Werte!$HX$7+$P7*Schweine_Werte!$HY$7)/SUM($O7:$P7)</f>
        <v>#DIV/0!</v>
      </c>
      <c r="W7" s="730" t="e">
        <f>($J7*0.055+T7*0.365*0.86*$F7-$K7*0.018)/L7*100</f>
        <v>#DIV/0!</v>
      </c>
      <c r="X7" s="730" t="e">
        <f>($J7*0.055+U7*0.365*0.86*$F7-$K7*0.018/2)/M7*100</f>
        <v>#DIV/0!</v>
      </c>
      <c r="Y7" s="730" t="e">
        <f>($J7*0.055+V7*0.365*0.86*$F7)/N7*100</f>
        <v>#DIV/0!</v>
      </c>
      <c r="Z7" s="730" t="e">
        <f>IF($B12=$A$8,SUMPRODUCT($BC$4:$BC$146,Schweine_Werte!$EW$4:$EW$146,Schweine_Werte!$EX$4:$EX$146)/SUMPRODUCT($BC$4:$BC$146,Schweine_Werte!$EW$4:$EW$146),IF($B12=$A$7,SUMPRODUCT($BC$4:$BC$146,Schweine_Werte!$DQ$4:$DQ$146,Schweine_Werte!$DR$4:$DR$146)/SUMPRODUCT($BC$4:$BC$146,Schweine_Werte!$DQ$4:$DQ$146),IF($B12=$A$6,SUMPRODUCT($BC$4:$BC$146,Schweine_Werte!$CK$4:$CK$146,Schweine_Werte!$CL$4:$CL$146)/SUMPRODUCT($BC$4:$BC$146,Schweine_Werte!$CK$4:$CK$146),SUMPRODUCT($BC$4:$BC$146,Schweine_Werte!$BE$4:$BE$146,Schweine_Werte!$BF$4:$BF$146)/SUMPRODUCT($BC$4:$BC$146,Schweine_Werte!$BE$4:$BE$146))))</f>
        <v>#DIV/0!</v>
      </c>
      <c r="AA7" s="730"/>
      <c r="AB7" s="730">
        <f>IF($B12=$A$8,SUMIF(Schweine_Werte!$AO$4:$AO$146,$C12,Schweine_Werte!$EX$4:$EX$146),IF($B12=$A$7,SUMIF(Schweine_Werte!$AO$4:$AO$146,$C12,Schweine_Werte!$DR$4:$DR$146),IF($B12=$A$6,SUMIF(Schweine_Werte!$AO$4:$AO$146,$C12,Schweine_Werte!$CL$4:$CL$146),SUMIF(Schweine_Werte!$AO$4:$AO$146,$C12,Schweine_Werte!$BF$4:$BF$146))))</f>
        <v>0</v>
      </c>
      <c r="AC7" s="730"/>
      <c r="AD7" s="730">
        <f>IF($B12=$A$8,SUMIF(Schweine_Werte!$AO$4:$AO$146,$D12,Schweine_Werte!$EX$4:$EX$146),IF($B12=$A$7,SUMIF(Schweine_Werte!$AO$4:$AO$146,$D12,Schweine_Werte!$DR$4:$DR$146),IF($B12=$A$6,SUMIF(Schweine_Werte!$AO$4:$AO$146,$D12,Schweine_Werte!$CL$4:$CL$146),SUMIF(Schweine_Werte!$AO$4:$AO$146,$D12,Schweine_Werte!$BF$4:$BF$146))))</f>
        <v>0</v>
      </c>
      <c r="AE7" s="730"/>
      <c r="AF7" s="730"/>
      <c r="AG7" s="730" t="e">
        <f>IF($B12=$A$8,SUMPRODUCT($BC$4:$BC$146,Schweine_Werte!$EW$4:$EW$146)/SUM($BC$4:$BC$146),IF($B12=$A$7,SUMPRODUCT($BC$4:$BC$146,Schweine_Werte!$DQ$4:$DQ$146)/SUM($BC$4:$BC$146),IF($B12=$A$6,SUMPRODUCT($BC$4:$BC$146,Schweine_Werte!$CK$4:$CK$146)/SUM($BC$4:$BC$146),SUMPRODUCT($BC$4:$BC$146,Schweine_Werte!$BE$4:$BE$146)/SUM($BC$4:$BC$146))))</f>
        <v>#DIV/0!</v>
      </c>
      <c r="AH7" s="730"/>
      <c r="AI7" s="730"/>
      <c r="AJ7" s="730" t="e">
        <f>IF($B12=$A$8,SUMPRODUCT($BC$4:$BC$146,Schweine_Werte!$EW$4:$EW$146,Schweine_Werte!$EY$4:$EY$146)/SUMPRODUCT($BC$4:$BC$146,Schweine_Werte!$EW$4:$EW$146),IF($B12=$A$7,SUMPRODUCT($BC$4:$BC$146,Schweine_Werte!$DQ$4:$DQ$146,Schweine_Werte!$DS$4:$DS$146)/SUMPRODUCT($BC$4:$BC$146,Schweine_Werte!$DQ$4:$DQ$146),IF($B12=$A$6,SUMPRODUCT($BC$4:$BC$146,Schweine_Werte!$CK$4:$CK$146,Schweine_Werte!$CM$4:$CM$146)/SUMPRODUCT($BC$4:$BC$146,Schweine_Werte!$CK$4:$CK$146),SUMPRODUCT($BC$4:$BC$146,Schweine_Werte!$BE$4:$BE$146,Schweine_Werte!$BG$4:$BG$146)/SUMPRODUCT($BC$4:$BC$146,Schweine_Werte!$BE$4:$BE$146))))</f>
        <v>#DIV/0!</v>
      </c>
      <c r="AK7" s="730"/>
      <c r="AL7" s="730">
        <f>IF($B12=$A$8,SUMIF(Schweine_Werte!$AO$4:$AO$146,$C12,Schweine_Werte!$EY$4:$EY$146),IF($B12=$A$7,SUMIF(Schweine_Werte!$AO$4:$AO$146,$C12,Schweine_Werte!$DS$4:$DS$146),IF($B12=$A$6,SUMIF(Schweine_Werte!$AO$4:$AO$146,$C12,Schweine_Werte!$CM$4:$CM$146),SUMIF(Schweine_Werte!$AO$4:$AO$146,$C12,Schweine_Werte!$BG$4:$BG$146))))</f>
        <v>0</v>
      </c>
      <c r="AM7" s="730"/>
      <c r="AN7" s="730">
        <f>IF($B12=$A$8,SUMIF(Schweine_Werte!$AO$4:$AO$146,$D12,Schweine_Werte!$EY$4:$EY$146),IF($B12=$A$7,SUMIF(Schweine_Werte!$AO$4:$AO$146,$D12,Schweine_Werte!$DS$4:$DS$146),IF($B12=$A$6,SUMIF(Schweine_Werte!$AO$4:$AO$146,$D12,Schweine_Werte!$CM$4:$CM$146),SUMIF(Schweine_Werte!$AO$4:$AO$146,$D12,Schweine_Werte!$BG$4:$BG$146))))</f>
        <v>0</v>
      </c>
      <c r="AR7" s="793">
        <v>11</v>
      </c>
      <c r="AS7" s="794">
        <f>IF(OR($C$12=$AR7,$D$12=$AR7),Schweine_Werte!$C7*0.5,IF(OR($C$12&gt;$AR7,$D$12&lt;$AR7),0,Schweine_Werte!$C7))</f>
        <v>0</v>
      </c>
      <c r="AT7" s="794">
        <f>IF(OR($C$24=$AR7,$D$24=$AR7),Schweine_Werte!$C7*0.5,IF(OR($C$24&gt;$AR7,$D$24&lt;$AR7),0,Schweine_Werte!$C7))</f>
        <v>0</v>
      </c>
      <c r="AU7" s="794">
        <f>IF(OR($C$36=$AR7,$D$36=$AR7),Schweine_Werte!$C7*0.5,IF(OR($C$36&gt;$AR7,$D$36&lt;$AR7),0,Schweine_Werte!$C7))</f>
        <v>0</v>
      </c>
      <c r="AV7" s="794">
        <f>IF(OR($C$48=$AR7,$D$48=$AR7),Schweine_Werte!$C7*0.5,IF(OR($C$48&gt;$AR7,$D$48&lt;$AR7),0,Schweine_Werte!$C7))</f>
        <v>0</v>
      </c>
      <c r="AW7" s="794">
        <f>IF(OR($C$60=$AR7,$D$60=$AR7),Schweine_Werte!$C7*0.5,IF(OR($C$60&gt;$AR7,$D$60&lt;$AR7),0,Schweine_Werte!$C7))</f>
        <v>0</v>
      </c>
      <c r="AX7" s="794">
        <f>IF(OR($C$12=$AR7,$D$12=$AR7),Schweine_Werte!$E7*0.5,IF(OR($C$12&gt;$AR7,$D$12&lt;$AR7),0,Schweine_Werte!$E7))</f>
        <v>0</v>
      </c>
      <c r="AY7" s="794">
        <f>IF(OR($C$24=$AR7,$D$24=$AR7),Schweine_Werte!$E7*0.5,IF(OR($C$24&gt;$AR7,$D$24&lt;$AR7),0,Schweine_Werte!$E7))</f>
        <v>0</v>
      </c>
      <c r="AZ7" s="797">
        <f>IF(OR($C$36=$AR7,$D$36=$AR7),Schweine_Werte!$E7*0.5,IF(OR($C$36&gt;$AR7,$D$36&lt;$AR7),0,Schweine_Werte!$E7))</f>
        <v>0</v>
      </c>
      <c r="BA7" s="797">
        <f>IF(OR($C$48=$AR7,$D$48=$AR7),Schweine_Werte!$E7*0.5,IF(OR($C$48&gt;$AR7,$D$48&lt;$AR7),0,Schweine_Werte!$E7))</f>
        <v>0</v>
      </c>
      <c r="BB7" s="797">
        <f>IF(OR($C$60=$AR7,$D$60=$AR7),Schweine_Werte!$E7*0.5,IF(OR($C$60&gt;$AR7,$D$60&lt;$AR7),0,Schweine_Werte!$E7))</f>
        <v>0</v>
      </c>
      <c r="BC7" s="794">
        <f>IF(OR($C$12=$AR7,$D$12=$AR7),Schweine_Werte!$G7*0.5,IF(OR($C$12&gt;$AR7,$D$12&lt;$AR7),0,Schweine_Werte!$G7))</f>
        <v>0</v>
      </c>
      <c r="BD7" s="794">
        <f>IF(OR($C$24=$AR7,$D$24=$AR7),Schweine_Werte!$G7*0.5,IF(OR($C$24&gt;$AR7,$D$24&lt;$AR7),0,Schweine_Werte!$G7))</f>
        <v>0</v>
      </c>
      <c r="BE7" s="797">
        <f>IF(OR($C$36=$AR7,$D$36=$AR7),Schweine_Werte!$G7*0.5,IF(OR($C$36&gt;$AR7,$D$36&lt;$AR7),0,Schweine_Werte!$G7))</f>
        <v>0</v>
      </c>
      <c r="BF7" s="797">
        <f>IF(OR($C$48=$AR7,$D$48=$AR7),Schweine_Werte!$G7*0.5,IF(OR($C$48&gt;$AR7,$D$48&lt;$AR7),0,Schweine_Werte!$G7))</f>
        <v>0</v>
      </c>
      <c r="BG7" s="797">
        <f>IF(OR($C$60=$AR7,$D$60=$AR7),Schweine_Werte!$G7*0.5,IF(OR($C$60&gt;$AR7,$D$60&lt;$AR7),0,Schweine_Werte!$G7))</f>
        <v>0</v>
      </c>
      <c r="BH7" s="794">
        <f>IF(OR($C$12=$AR7,$D$12=$AR7),Schweine_Werte!$I7*0.5,IF(OR($C$12&gt;$AR7,$D$12&lt;$AR7),0,Schweine_Werte!$I7))</f>
        <v>0</v>
      </c>
      <c r="BI7" s="794">
        <f>IF(OR($C$24=$AR7,$D$24=$AR7),Schweine_Werte!$I7*0.5,IF(OR($C$24&gt;$AR7,$D$24&lt;$AR7),0,Schweine_Werte!$I7))</f>
        <v>0</v>
      </c>
      <c r="BJ7" s="797">
        <f>IF(OR($C$36=$AR7,$D$36=$AR7),Schweine_Werte!$I7*0.5,IF(OR($C$36&gt;$AR7,$D$36&lt;$AR7),0,Schweine_Werte!$I7))</f>
        <v>0</v>
      </c>
      <c r="BK7" s="797">
        <f>IF(OR($C$48=$AR7,$D$48=$AR7),Schweine_Werte!$I7*0.5,IF(OR($C$48&gt;$AR7,$D$48&lt;$AR7),0,Schweine_Werte!$I7))</f>
        <v>0</v>
      </c>
      <c r="BL7" s="797">
        <f>IF(OR($C$60=$AR7,$D$60=$AR7),Schweine_Werte!$I7*0.5,IF(OR($C$60&gt;$AR7,$D$60&lt;$AR7),0,Schweine_Werte!$I7))</f>
        <v>0</v>
      </c>
      <c r="BM7" s="794"/>
      <c r="BN7" s="794"/>
      <c r="BO7" s="797"/>
      <c r="BP7" s="797"/>
      <c r="BQ7" s="797"/>
      <c r="BR7" s="795">
        <f>IF(OR($C$74=$AR7,$D$74=$AR7),Schweine_Werte!$M7*0.5,IF(OR($C$74&gt;$AR7,$D$74&lt;$AR7),0,Schweine_Werte!$M7))</f>
        <v>0</v>
      </c>
      <c r="BS7" s="795">
        <f>IF(OR($C$83=$AR7,$D$83=$AR7),Schweine_Werte!$M7*0.5,IF(OR($C$83&gt;$AR7,$D$83&lt;$AR7),0,Schweine_Werte!$M7))</f>
        <v>0</v>
      </c>
      <c r="BT7" s="730">
        <f>IF(OR($C$92=$AR7,$D$92=$AR7),Schweine_Werte!$M7*0.5,IF(OR($C$92&gt;$AR7,$D$92&lt;$AR7),0,Schweine_Werte!$M7))</f>
        <v>0</v>
      </c>
      <c r="BU7" s="730">
        <f>IF(OR($C$101=$AR7,$D$101=$AR7),Schweine_Werte!$M7*0.5,IF(OR($C$101&gt;$AR7,$D$101&lt;$AR7),0,Schweine_Werte!$M7))</f>
        <v>0</v>
      </c>
      <c r="BV7" s="730">
        <f>IF(OR($C$110=$AR7,$D$110=$AR7),Schweine_Werte!$M7*0.5,IF(OR($C$110&gt;$AR7,$D$110&lt;$AR7),0,Schweine_Werte!$M7))</f>
        <v>0</v>
      </c>
      <c r="BW7" s="730">
        <f>IF(OR(8=$AR7,$E$127=$AR7),Schweine_Werte!$M7*0.5,IF(OR(8&gt;$AR7,$E$127&lt;$AR7),0,Schweine_Werte!$M7))</f>
        <v>2.8148019927048371</v>
      </c>
      <c r="BX7" s="730">
        <f>IF(OR(8=$AR7,$E$145=$AR7),Schweine_Werte!$M7*0.5,IF(OR(8&gt;$AR7,$E$145&lt;$AR7),0,Schweine_Werte!$M7))</f>
        <v>2.8148019927048371</v>
      </c>
      <c r="BY7" s="795">
        <f>IF(OR($C$74=$AR7,$D$74=$AR7),Schweine_Werte!$O7*0.5,IF(OR($C$74&gt;$AR7,$D$74&lt;$AR7),0,Schweine_Werte!$O7))</f>
        <v>0</v>
      </c>
      <c r="BZ7" s="795">
        <f>IF(OR($C$83=$AR7,$D$83=$AR7),Schweine_Werte!$O7*0.5,IF(OR($C$83&gt;$AR7,$D$83&lt;$AR7),0,Schweine_Werte!$O7))</f>
        <v>0</v>
      </c>
      <c r="CA7" s="730">
        <f>IF(OR($C$92=$AR7,$D$92=$AR7),Schweine_Werte!$O7*0.5,IF(OR($C$92&gt;$AR7,$D$92&lt;$AR7),0,Schweine_Werte!$O7))</f>
        <v>0</v>
      </c>
      <c r="CB7" s="730">
        <f>IF(OR($C$101=$AR7,$D$101=$AR7),Schweine_Werte!$O7*0.5,IF(OR($C$101&gt;$AR7,$D$101&lt;$AR7),0,Schweine_Werte!$O7))</f>
        <v>0</v>
      </c>
      <c r="CC7" s="730">
        <f>IF(OR($C$110=$AR7,$D$110=$AR7),Schweine_Werte!$O7*0.5,IF(OR($C$110&gt;$AR7,$D$110&lt;$AR7),0,Schweine_Werte!$O7))</f>
        <v>0</v>
      </c>
    </row>
    <row r="8" spans="1:303" ht="14.4" x14ac:dyDescent="0.3">
      <c r="A8" s="799" t="s">
        <v>7748</v>
      </c>
      <c r="B8" s="705">
        <v>950</v>
      </c>
      <c r="D8" s="730"/>
      <c r="E8" s="730" t="e">
        <f>($D12-$C12)*1000/SUM($BH$4:$BH$146)</f>
        <v>#VALUE!</v>
      </c>
      <c r="F8" s="730" t="e">
        <f>SUMPRODUCT($BH$4:$BH$146,Schweine_Werte!$T$4:$T$146)/SUM($BH$4:$BH$146)</f>
        <v>#DIV/0!</v>
      </c>
      <c r="G8" s="730" t="e">
        <f>IF($B12=$A$8,SUMPRODUCT($BH$4:$BH$146,Schweine_Werte!EZ$4:EZ$146)/SUM($BH$4:$BH$146),IF($B12=$A$7,SUMPRODUCT($BH$4:$BH$146,Schweine_Werte!DT$4:DT$146)/SUM($BH$4:$BH$146),IF($B12=$A$6,SUMPRODUCT($BH$4:$BH$146,Schweine_Werte!CN$4:CN$146)/SUM($BH$4:$BH$146),SUMPRODUCT($BH$4:$BH$146,Schweine_Werte!BH$4:BH$146)/SUM($BH$4:$BH$146))))</f>
        <v>#DIV/0!</v>
      </c>
      <c r="H8" s="730" t="e">
        <f>IF($B12=$A$8,SUMPRODUCT($BH$4:$BH$146,Schweine_Werte!FA$4:FA$146)/SUM($BH$4:$BH$146),IF($B12=$A$7,SUMPRODUCT($BH$4:$BH$146,Schweine_Werte!DU$4:DU$146)/SUM($BH$4:$BH$146),IF($B12=$A$6,SUMPRODUCT($BH$4:$BH$146,Schweine_Werte!CO$4:CO$146)/SUM($BH$4:$BH$146),SUMPRODUCT($BH$4:$BH$146,Schweine_Werte!BI$4:BI$146)/SUM($BH$4:$BH$146))))</f>
        <v>#DIV/0!</v>
      </c>
      <c r="I8" s="730" t="e">
        <f>IF($B12=$A$8,SUMPRODUCT($BH$4:$BH$146,Schweine_Werte!FB$4:FB$146)/SUM($BH$4:$BH$146),IF($B12=$A$7,SUMPRODUCT($BH$4:$BH$146,Schweine_Werte!DV$4:DV$146)/SUM($BH$4:$BH$146),IF($B12=$A$6,SUMPRODUCT($BH$4:$BH$146,Schweine_Werte!CP$4:CP$146)/SUM($BH$4:$BH$146),SUMPRODUCT($BH$4:$BH$146,Schweine_Werte!BJ$4:BJ$146)/SUM($BH$4:$BH$146))))</f>
        <v>#DIV/0!</v>
      </c>
      <c r="J8" s="730" t="e">
        <f>SUMPRODUCT($BH$4:$BH$146,Schweine_Werte!$AB$4:$AB$146)/SUM($BH$4:$BH$146)</f>
        <v>#DIV/0!</v>
      </c>
      <c r="K8" s="730" t="e">
        <f>SUMPRODUCT($BH$4:$BH$146,Schweine_Werte!$AJ$4:$AJ$146)/SUM($BH$4:$BH$146)</f>
        <v>#DIV/0!</v>
      </c>
      <c r="L8" s="818" t="e">
        <f>T8*$F8*365/1000+$J8-$K8</f>
        <v>#DIV/0!</v>
      </c>
      <c r="M8" s="730" t="e">
        <f>U8*$F8*365/1000+$J8-$K8/2</f>
        <v>#DIV/0!</v>
      </c>
      <c r="N8" s="730" t="e">
        <f>V8*$F8*365/1000+$J8</f>
        <v>#DIV/0!</v>
      </c>
      <c r="O8" s="730">
        <f>IF($C12&lt;28,SUM($BH$4:$BH$23)+IF($D12&gt;28,$BH$24*0.5,$BH$24),0)</f>
        <v>0</v>
      </c>
      <c r="P8" s="730">
        <f>IF($D12&gt;28,SUM($BH$25:$BH$146)+IF($C12&lt;28,$BH$24*0.5,$BH$24),0)</f>
        <v>0</v>
      </c>
      <c r="Q8" s="730" t="e">
        <f t="shared" si="0"/>
        <v>#DIV/0!</v>
      </c>
      <c r="R8" s="730" t="e">
        <f t="shared" si="0"/>
        <v>#DIV/0!</v>
      </c>
      <c r="S8" s="730" t="e">
        <f t="shared" si="0"/>
        <v>#DIV/0!</v>
      </c>
      <c r="T8" s="730" t="e">
        <f>+($O8*Schweine_Werte!$HT$8+$P8*Schweine_Werte!$HU$8)/SUM($O8:$P8)</f>
        <v>#DIV/0!</v>
      </c>
      <c r="U8" s="730" t="e">
        <f>+($O8*Schweine_Werte!$HV$8+$P8*Schweine_Werte!$HW$8)/SUM($O8:$P8)</f>
        <v>#DIV/0!</v>
      </c>
      <c r="V8" s="730" t="e">
        <f>+($O8*Schweine_Werte!$HX$8+$P8*Schweine_Werte!$HY$8)/SUM($O8:$P8)</f>
        <v>#DIV/0!</v>
      </c>
      <c r="W8" s="785" t="e">
        <f>($J8*0.055+T8*0.365*0.86*$F8-$K8*0.018)/L8*100</f>
        <v>#DIV/0!</v>
      </c>
      <c r="X8" s="730" t="e">
        <f>($J8*0.055+U8*0.365*0.86*$F8-$K8*0.018/2)/M8*100</f>
        <v>#DIV/0!</v>
      </c>
      <c r="Y8" s="730" t="e">
        <f>($J8*0.055+V8*0.365*0.86*$F8)/N8*100</f>
        <v>#DIV/0!</v>
      </c>
      <c r="Z8" s="730" t="e">
        <f>IF($B12=$A$8,SUMPRODUCT($BH$4:$BH$146,Schweine_Werte!$FC$4:$FC$146,Schweine_Werte!$FD$4:$FD$146)/SUMPRODUCT($BH$4:$BH$146,Schweine_Werte!$FC$4:$FC$146),IF($B12=$A$7,SUMPRODUCT($BH$4:$BH$146,Schweine_Werte!$DW$4:$DW$146,Schweine_Werte!$DX$4:$DX$146)/SUMPRODUCT($BH$4:$BH$146,Schweine_Werte!$DW$4:$DW$146),IF($B12=$A$6,SUMPRODUCT($BH$4:$BH$146,Schweine_Werte!$CQ$4:$CQ$146,Schweine_Werte!$CR$4:$CR$146)/SUMPRODUCT($BH$4:$BH$146,Schweine_Werte!$CQ$4:$CQ$146),SUMPRODUCT($BH$4:$BH$146,Schweine_Werte!$BK$4:$BK$146,Schweine_Werte!$BL$4:$BL$146)/SUMPRODUCT($BH$4:$BH$146,Schweine_Werte!$BK$4:$BK$146))))</f>
        <v>#DIV/0!</v>
      </c>
      <c r="AA8" s="730"/>
      <c r="AB8" s="730">
        <f>IF($B12=$A$8,SUMIF(Schweine_Werte!$AO$4:$AO$146,$C12,Schweine_Werte!$FD$4:$FD$146),IF($B12=$A$7,SUMIF(Schweine_Werte!$AO$4:$AO$146,$C12,Schweine_Werte!$DX$4:$DX$146),IF($B12=$A$6,SUMIF(Schweine_Werte!$AO$4:$AO$146,$C12,Schweine_Werte!$CR$4:$CR$146),SUMIF(Schweine_Werte!$AO$4:$AO$146,$C12,Schweine_Werte!$BL$4:$BL$146))))</f>
        <v>0</v>
      </c>
      <c r="AC8" s="730"/>
      <c r="AD8" s="730">
        <f>IF($B12=$A$8,SUMIF(Schweine_Werte!$AO$4:$AO$146,$D12,Schweine_Werte!$FD$4:$FD$146),IF($B12=$A$7,SUMIF(Schweine_Werte!$AO$4:$AO$146,$D12,Schweine_Werte!$DX$4:$DX$146),IF($B12=$A$6,SUMIF(Schweine_Werte!$AO$4:$AO$146,$D12,Schweine_Werte!$CR$4:$CR$146),SUMIF(Schweine_Werte!$AO$4:$AO$146,$D12,Schweine_Werte!$BL$4:$BL$146))))</f>
        <v>0</v>
      </c>
      <c r="AE8" s="730"/>
      <c r="AF8" s="730"/>
      <c r="AG8" s="730" t="e">
        <f>IF($B12=$A$8,SUMPRODUCT($BH$4:$BH$146,Schweine_Werte!$FC$4:$FC$146)/SUM($BH$4:$BH$146),IF($B12=$A$7,SUMPRODUCT($BH$4:$BH$146,Schweine_Werte!$DW$4:$DW$146)/SUM($BH$4:$BH$146),IF($B12=$A$6,SUMPRODUCT($BH$4:$BH$146,Schweine_Werte!$CQ$4:$CQ$146)/SUM($BH$4:$BH$146),SUMPRODUCT($BH$4:$BH$146,Schweine_Werte!$BK$4:$BK$146)/SUM($BH$4:$BH$146))))</f>
        <v>#DIV/0!</v>
      </c>
      <c r="AH8" s="730"/>
      <c r="AI8" s="730"/>
      <c r="AJ8" s="730" t="e">
        <f>IF($B12=$A$8,SUMPRODUCT($BH$4:$BH$146,Schweine_Werte!$FC$4:$FC$146,Schweine_Werte!$FE$4:$FE$146)/SUMPRODUCT($BH$4:$BH$146,Schweine_Werte!$FC$4:$FC$146),IF($B12=$A$7,SUMPRODUCT($BH$4:$BH$146,Schweine_Werte!$DW$4:$DW$146,Schweine_Werte!$DY$4:$DY$146)/SUMPRODUCT($BH$4:$BH$146,Schweine_Werte!$DW$4:$DW$146),IF($B12=$A$6,SUMPRODUCT($BH$4:$BH$146,Schweine_Werte!$CQ$4:$CQ$146,Schweine_Werte!$CS$4:$CS$146)/SUMPRODUCT($BH$4:$BH$146,Schweine_Werte!$CQ$4:$CQ$146),SUMPRODUCT($BH$4:$BH$146,Schweine_Werte!$BK$4:$BK$146,Schweine_Werte!$BM$4:$BM$146)/SUMPRODUCT($BH$4:$BH$146,Schweine_Werte!$BK$4:$BK$146))))</f>
        <v>#DIV/0!</v>
      </c>
      <c r="AK8" s="730"/>
      <c r="AL8" s="730">
        <f>IF($B12=$A$8,SUMIF(Schweine_Werte!$AO$4:$AO$146,$C12,Schweine_Werte!$FE$4:$FE$146),IF($B12=$A$7,SUMIF(Schweine_Werte!$AO$4:$AO$146,$C12,Schweine_Werte!$DY$4:$DY$146),IF($B12=$A$6,SUMIF(Schweine_Werte!$AO$4:$AO$146,$C12,Schweine_Werte!$CS$4:$CS$146),SUMIF(Schweine_Werte!$AO$4:$AO$146,$C12,Schweine_Werte!$BM$4:$BM$146))))</f>
        <v>0</v>
      </c>
      <c r="AM8" s="730"/>
      <c r="AN8" s="730">
        <f>IF($B12=$A$8,SUMIF(Schweine_Werte!$AO$4:$AO$146,$D12,Schweine_Werte!$FE$4:$FE$146),IF($B12=$A$7,SUMIF(Schweine_Werte!$AO$4:$AO$146,$D12,Schweine_Werte!$DY$4:$DY$146),IF($B12=$A$6,SUMIF(Schweine_Werte!$AO$4:$AO$146,$D12,Schweine_Werte!$CS$4:$CS$146),SUMIF(Schweine_Werte!$AO$4:$AO$146,$D12,Schweine_Werte!$BM$4:$BM$146))))</f>
        <v>0</v>
      </c>
      <c r="AR8" s="793">
        <v>12</v>
      </c>
      <c r="AS8" s="794">
        <f>IF(OR($C$12=$AR8,$D$12=$AR8),Schweine_Werte!$C8*0.5,IF(OR($C$12&gt;$AR8,$D$12&lt;$AR8),0,Schweine_Werte!$C8))</f>
        <v>0</v>
      </c>
      <c r="AT8" s="794">
        <f>IF(OR($C$24=$AR8,$D$24=$AR8),Schweine_Werte!$C8*0.5,IF(OR($C$24&gt;$AR8,$D$24&lt;$AR8),0,Schweine_Werte!$C8))</f>
        <v>0</v>
      </c>
      <c r="AU8" s="794">
        <f>IF(OR($C$36=$AR8,$D$36=$AR8),Schweine_Werte!$C8*0.5,IF(OR($C$36&gt;$AR8,$D$36&lt;$AR8),0,Schweine_Werte!$C8))</f>
        <v>0</v>
      </c>
      <c r="AV8" s="794">
        <f>IF(OR($C$48=$AR8,$D$48=$AR8),Schweine_Werte!$C8*0.5,IF(OR($C$48&gt;$AR8,$D$48&lt;$AR8),0,Schweine_Werte!$C8))</f>
        <v>0</v>
      </c>
      <c r="AW8" s="794">
        <f>IF(OR($C$60=$AR8,$D$60=$AR8),Schweine_Werte!$C8*0.5,IF(OR($C$60&gt;$AR8,$D$60&lt;$AR8),0,Schweine_Werte!$C8))</f>
        <v>0</v>
      </c>
      <c r="AX8" s="794">
        <f>IF(OR($C$12=$AR8,$D$12=$AR8),Schweine_Werte!$E8*0.5,IF(OR($C$12&gt;$AR8,$D$12&lt;$AR8),0,Schweine_Werte!$E8))</f>
        <v>0</v>
      </c>
      <c r="AY8" s="794">
        <f>IF(OR($C$24=$AR8,$D$24=$AR8),Schweine_Werte!$E8*0.5,IF(OR($C$24&gt;$AR8,$D$24&lt;$AR8),0,Schweine_Werte!$E8))</f>
        <v>0</v>
      </c>
      <c r="AZ8" s="797">
        <f>IF(OR($C$36=$AR8,$D$36=$AR8),Schweine_Werte!$E8*0.5,IF(OR($C$36&gt;$AR8,$D$36&lt;$AR8),0,Schweine_Werte!$E8))</f>
        <v>0</v>
      </c>
      <c r="BA8" s="797">
        <f>IF(OR($C$48=$AR8,$D$48=$AR8),Schweine_Werte!$E8*0.5,IF(OR($C$48&gt;$AR8,$D$48&lt;$AR8),0,Schweine_Werte!$E8))</f>
        <v>0</v>
      </c>
      <c r="BB8" s="797">
        <f>IF(OR($C$60=$AR8,$D$60=$AR8),Schweine_Werte!$E8*0.5,IF(OR($C$60&gt;$AR8,$D$60&lt;$AR8),0,Schweine_Werte!$E8))</f>
        <v>0</v>
      </c>
      <c r="BC8" s="794">
        <f>IF(OR($C$12=$AR8,$D$12=$AR8),Schweine_Werte!$G8*0.5,IF(OR($C$12&gt;$AR8,$D$12&lt;$AR8),0,Schweine_Werte!$G8))</f>
        <v>0</v>
      </c>
      <c r="BD8" s="794">
        <f>IF(OR($C$24=$AR8,$D$24=$AR8),Schweine_Werte!$G8*0.5,IF(OR($C$24&gt;$AR8,$D$24&lt;$AR8),0,Schweine_Werte!$G8))</f>
        <v>0</v>
      </c>
      <c r="BE8" s="797">
        <f>IF(OR($C$36=$AR8,$D$36=$AR8),Schweine_Werte!$G8*0.5,IF(OR($C$36&gt;$AR8,$D$36&lt;$AR8),0,Schweine_Werte!$G8))</f>
        <v>0</v>
      </c>
      <c r="BF8" s="797">
        <f>IF(OR($C$48=$AR8,$D$48=$AR8),Schweine_Werte!$G8*0.5,IF(OR($C$48&gt;$AR8,$D$48&lt;$AR8),0,Schweine_Werte!$G8))</f>
        <v>0</v>
      </c>
      <c r="BG8" s="797">
        <f>IF(OR($C$60=$AR8,$D$60=$AR8),Schweine_Werte!$G8*0.5,IF(OR($C$60&gt;$AR8,$D$60&lt;$AR8),0,Schweine_Werte!$G8))</f>
        <v>0</v>
      </c>
      <c r="BH8" s="794">
        <f>IF(OR($C$12=$AR8,$D$12=$AR8),Schweine_Werte!$I8*0.5,IF(OR($C$12&gt;$AR8,$D$12&lt;$AR8),0,Schweine_Werte!$I8))</f>
        <v>0</v>
      </c>
      <c r="BI8" s="794">
        <f>IF(OR($C$24=$AR8,$D$24=$AR8),Schweine_Werte!$I8*0.5,IF(OR($C$24&gt;$AR8,$D$24&lt;$AR8),0,Schweine_Werte!$I8))</f>
        <v>0</v>
      </c>
      <c r="BJ8" s="797">
        <f>IF(OR($C$36=$AR8,$D$36=$AR8),Schweine_Werte!$I8*0.5,IF(OR($C$36&gt;$AR8,$D$36&lt;$AR8),0,Schweine_Werte!$I8))</f>
        <v>0</v>
      </c>
      <c r="BK8" s="797">
        <f>IF(OR($C$48=$AR8,$D$48=$AR8),Schweine_Werte!$I8*0.5,IF(OR($C$48&gt;$AR8,$D$48&lt;$AR8),0,Schweine_Werte!$I8))</f>
        <v>0</v>
      </c>
      <c r="BL8" s="797">
        <f>IF(OR($C$60=$AR8,$D$60=$AR8),Schweine_Werte!$I8*0.5,IF(OR($C$60&gt;$AR8,$D$60&lt;$AR8),0,Schweine_Werte!$I8))</f>
        <v>0</v>
      </c>
      <c r="BM8" s="794"/>
      <c r="BN8" s="794"/>
      <c r="BO8" s="797"/>
      <c r="BP8" s="797"/>
      <c r="BQ8" s="797"/>
      <c r="BR8" s="795">
        <f>IF(OR($C$74=$AR8,$D$74=$AR8),Schweine_Werte!$M8*0.5,IF(OR($C$74&gt;$AR8,$D$74&lt;$AR8),0,Schweine_Werte!$M8))</f>
        <v>0</v>
      </c>
      <c r="BS8" s="795">
        <f>IF(OR($C$83=$AR8,$D$83=$AR8),Schweine_Werte!$M8*0.5,IF(OR($C$83&gt;$AR8,$D$83&lt;$AR8),0,Schweine_Werte!$M8))</f>
        <v>0</v>
      </c>
      <c r="BT8" s="730">
        <f>IF(OR($C$92=$AR8,$D$92=$AR8),Schweine_Werte!$M8*0.5,IF(OR($C$92&gt;$AR8,$D$92&lt;$AR8),0,Schweine_Werte!$M8))</f>
        <v>0</v>
      </c>
      <c r="BU8" s="730">
        <f>IF(OR($C$101=$AR8,$D$101=$AR8),Schweine_Werte!$M8*0.5,IF(OR($C$101&gt;$AR8,$D$101&lt;$AR8),0,Schweine_Werte!$M8))</f>
        <v>0</v>
      </c>
      <c r="BV8" s="730">
        <f>IF(OR($C$110=$AR8,$D$110=$AR8),Schweine_Werte!$M8*0.5,IF(OR($C$110&gt;$AR8,$D$110&lt;$AR8),0,Schweine_Werte!$M8))</f>
        <v>0</v>
      </c>
      <c r="BW8" s="730">
        <f>IF(OR(8=$AR8,$E$127=$AR8),Schweine_Werte!$M8*0.5,IF(OR(8&gt;$AR8,$E$127&lt;$AR8),0,Schweine_Werte!$M8))</f>
        <v>2.6783028291716549</v>
      </c>
      <c r="BX8" s="730">
        <f>IF(OR(8=$AR8,$E$145=$AR8),Schweine_Werte!$M8*0.5,IF(OR(8&gt;$AR8,$E$145&lt;$AR8),0,Schweine_Werte!$M8))</f>
        <v>2.6783028291716549</v>
      </c>
      <c r="BY8" s="795">
        <f>IF(OR($C$74=$AR8,$D$74=$AR8),Schweine_Werte!$O8*0.5,IF(OR($C$74&gt;$AR8,$D$74&lt;$AR8),0,Schweine_Werte!$O8))</f>
        <v>0</v>
      </c>
      <c r="BZ8" s="795">
        <f>IF(OR($C$83=$AR8,$D$83=$AR8),Schweine_Werte!$O8*0.5,IF(OR($C$83&gt;$AR8,$D$83&lt;$AR8),0,Schweine_Werte!$O8))</f>
        <v>0</v>
      </c>
      <c r="CA8" s="730">
        <f>IF(OR($C$92=$AR8,$D$92=$AR8),Schweine_Werte!$O8*0.5,IF(OR($C$92&gt;$AR8,$D$92&lt;$AR8),0,Schweine_Werte!$O8))</f>
        <v>0</v>
      </c>
      <c r="CB8" s="730">
        <f>IF(OR($C$101=$AR8,$D$101=$AR8),Schweine_Werte!$O8*0.5,IF(OR($C$101&gt;$AR8,$D$101&lt;$AR8),0,Schweine_Werte!$O8))</f>
        <v>0</v>
      </c>
      <c r="CC8" s="730">
        <f>IF(OR($C$110=$AR8,$D$110=$AR8),Schweine_Werte!$O8*0.5,IF(OR($C$110&gt;$AR8,$D$110&lt;$AR8),0,Schweine_Werte!$O8))</f>
        <v>0</v>
      </c>
    </row>
    <row r="9" spans="1:303" x14ac:dyDescent="0.25">
      <c r="B9" s="705"/>
      <c r="D9" s="730"/>
      <c r="E9" s="730"/>
      <c r="F9" s="730"/>
      <c r="G9" s="730"/>
      <c r="H9" s="730"/>
      <c r="I9" s="730"/>
      <c r="J9" s="730"/>
      <c r="K9" s="730"/>
      <c r="L9" s="818"/>
      <c r="M9" s="730"/>
      <c r="N9" s="730"/>
      <c r="O9" s="730"/>
      <c r="P9" s="730"/>
      <c r="Q9" s="730"/>
      <c r="R9" s="730"/>
      <c r="S9" s="730"/>
      <c r="T9" s="730"/>
      <c r="U9" s="730"/>
      <c r="V9" s="730"/>
      <c r="W9" s="785"/>
      <c r="X9" s="730"/>
      <c r="Y9" s="730"/>
      <c r="Z9" s="730"/>
      <c r="AA9" s="730"/>
      <c r="AB9" s="730"/>
      <c r="AC9" s="730"/>
      <c r="AD9" s="730"/>
      <c r="AE9" s="730"/>
      <c r="AF9" s="730"/>
      <c r="AG9" s="730"/>
      <c r="AH9" s="730"/>
      <c r="AI9" s="730"/>
      <c r="AJ9" s="730"/>
      <c r="AK9" s="730"/>
      <c r="AL9" s="730"/>
      <c r="AM9" s="730"/>
      <c r="AN9" s="730"/>
      <c r="AR9" s="793">
        <v>13</v>
      </c>
      <c r="AS9" s="794">
        <f>IF(OR($C$12=$AR9,$D$12=$AR9),Schweine_Werte!$C9*0.5,IF(OR($C$12&gt;$AR9,$D$12&lt;$AR9),0,Schweine_Werte!$C9))</f>
        <v>0</v>
      </c>
      <c r="AT9" s="794">
        <f>IF(OR($C$24=$AR9,$D$24=$AR9),Schweine_Werte!$C9*0.5,IF(OR($C$24&gt;$AR9,$D$24&lt;$AR9),0,Schweine_Werte!$C9))</f>
        <v>0</v>
      </c>
      <c r="AU9" s="794">
        <f>IF(OR($C$36=$AR9,$D$36=$AR9),Schweine_Werte!$C9*0.5,IF(OR($C$36&gt;$AR9,$D$36&lt;$AR9),0,Schweine_Werte!$C9))</f>
        <v>0</v>
      </c>
      <c r="AV9" s="794">
        <f>IF(OR($C$48=$AR9,$D$48=$AR9),Schweine_Werte!$C9*0.5,IF(OR($C$48&gt;$AR9,$D$48&lt;$AR9),0,Schweine_Werte!$C9))</f>
        <v>0</v>
      </c>
      <c r="AW9" s="794">
        <f>IF(OR($C$60=$AR9,$D$60=$AR9),Schweine_Werte!$C9*0.5,IF(OR($C$60&gt;$AR9,$D$60&lt;$AR9),0,Schweine_Werte!$C9))</f>
        <v>0</v>
      </c>
      <c r="AX9" s="794">
        <f>IF(OR($C$12=$AR9,$D$12=$AR9),Schweine_Werte!$E9*0.5,IF(OR($C$12&gt;$AR9,$D$12&lt;$AR9),0,Schweine_Werte!$E9))</f>
        <v>0</v>
      </c>
      <c r="AY9" s="794">
        <f>IF(OR($C$24=$AR9,$D$24=$AR9),Schweine_Werte!$E9*0.5,IF(OR($C$24&gt;$AR9,$D$24&lt;$AR9),0,Schweine_Werte!$E9))</f>
        <v>0</v>
      </c>
      <c r="AZ9" s="797">
        <f>IF(OR($C$36=$AR9,$D$36=$AR9),Schweine_Werte!$E9*0.5,IF(OR($C$36&gt;$AR9,$D$36&lt;$AR9),0,Schweine_Werte!$E9))</f>
        <v>0</v>
      </c>
      <c r="BA9" s="797">
        <f>IF(OR($C$48=$AR9,$D$48=$AR9),Schweine_Werte!$E9*0.5,IF(OR($C$48&gt;$AR9,$D$48&lt;$AR9),0,Schweine_Werte!$E9))</f>
        <v>0</v>
      </c>
      <c r="BB9" s="797">
        <f>IF(OR($C$60=$AR9,$D$60=$AR9),Schweine_Werte!$E9*0.5,IF(OR($C$60&gt;$AR9,$D$60&lt;$AR9),0,Schweine_Werte!$E9))</f>
        <v>0</v>
      </c>
      <c r="BC9" s="794">
        <f>IF(OR($C$12=$AR9,$D$12=$AR9),Schweine_Werte!$G9*0.5,IF(OR($C$12&gt;$AR9,$D$12&lt;$AR9),0,Schweine_Werte!$G9))</f>
        <v>0</v>
      </c>
      <c r="BD9" s="794">
        <f>IF(OR($C$24=$AR9,$D$24=$AR9),Schweine_Werte!$G9*0.5,IF(OR($C$24&gt;$AR9,$D$24&lt;$AR9),0,Schweine_Werte!$G9))</f>
        <v>0</v>
      </c>
      <c r="BE9" s="797">
        <f>IF(OR($C$36=$AR9,$D$36=$AR9),Schweine_Werte!$G9*0.5,IF(OR($C$36&gt;$AR9,$D$36&lt;$AR9),0,Schweine_Werte!$G9))</f>
        <v>0</v>
      </c>
      <c r="BF9" s="797">
        <f>IF(OR($C$48=$AR9,$D$48=$AR9),Schweine_Werte!$G9*0.5,IF(OR($C$48&gt;$AR9,$D$48&lt;$AR9),0,Schweine_Werte!$G9))</f>
        <v>0</v>
      </c>
      <c r="BG9" s="797">
        <f>IF(OR($C$60=$AR9,$D$60=$AR9),Schweine_Werte!$G9*0.5,IF(OR($C$60&gt;$AR9,$D$60&lt;$AR9),0,Schweine_Werte!$G9))</f>
        <v>0</v>
      </c>
      <c r="BH9" s="794">
        <f>IF(OR($C$12=$AR9,$D$12=$AR9),Schweine_Werte!$I9*0.5,IF(OR($C$12&gt;$AR9,$D$12&lt;$AR9),0,Schweine_Werte!$I9))</f>
        <v>0</v>
      </c>
      <c r="BI9" s="794">
        <f>IF(OR($C$24=$AR9,$D$24=$AR9),Schweine_Werte!$I9*0.5,IF(OR($C$24&gt;$AR9,$D$24&lt;$AR9),0,Schweine_Werte!$I9))</f>
        <v>0</v>
      </c>
      <c r="BJ9" s="797">
        <f>IF(OR($C$36=$AR9,$D$36=$AR9),Schweine_Werte!$I9*0.5,IF(OR($C$36&gt;$AR9,$D$36&lt;$AR9),0,Schweine_Werte!$I9))</f>
        <v>0</v>
      </c>
      <c r="BK9" s="797">
        <f>IF(OR($C$48=$AR9,$D$48=$AR9),Schweine_Werte!$I9*0.5,IF(OR($C$48&gt;$AR9,$D$48&lt;$AR9),0,Schweine_Werte!$I9))</f>
        <v>0</v>
      </c>
      <c r="BL9" s="797">
        <f>IF(OR($C$60=$AR9,$D$60=$AR9),Schweine_Werte!$I9*0.5,IF(OR($C$60&gt;$AR9,$D$60&lt;$AR9),0,Schweine_Werte!$I9))</f>
        <v>0</v>
      </c>
      <c r="BM9" s="794"/>
      <c r="BN9" s="794"/>
      <c r="BO9" s="797"/>
      <c r="BP9" s="797"/>
      <c r="BQ9" s="797"/>
      <c r="BR9" s="795">
        <f>IF(OR($C$74=$AR9,$D$74=$AR9),Schweine_Werte!$M9*0.5,IF(OR($C$74&gt;$AR9,$D$74&lt;$AR9),0,Schweine_Werte!$M9))</f>
        <v>0</v>
      </c>
      <c r="BS9" s="795">
        <f>IF(OR($C$83=$AR9,$D$83=$AR9),Schweine_Werte!$M9*0.5,IF(OR($C$83&gt;$AR9,$D$83&lt;$AR9),0,Schweine_Werte!$M9))</f>
        <v>0</v>
      </c>
      <c r="BT9" s="730">
        <f>IF(OR($C$92=$AR9,$D$92=$AR9),Schweine_Werte!$M9*0.5,IF(OR($C$92&gt;$AR9,$D$92&lt;$AR9),0,Schweine_Werte!$M9))</f>
        <v>0</v>
      </c>
      <c r="BU9" s="730">
        <f>IF(OR($C$101=$AR9,$D$101=$AR9),Schweine_Werte!$M9*0.5,IF(OR($C$101&gt;$AR9,$D$101&lt;$AR9),0,Schweine_Werte!$M9))</f>
        <v>0</v>
      </c>
      <c r="BV9" s="730">
        <f>IF(OR($C$110=$AR9,$D$110=$AR9),Schweine_Werte!$M9*0.5,IF(OR($C$110&gt;$AR9,$D$110&lt;$AR9),0,Schweine_Werte!$M9))</f>
        <v>0</v>
      </c>
      <c r="BW9" s="730">
        <f>IF(OR(8=$AR9,$E$127=$AR9),Schweine_Werte!$M9*0.5,IF(OR(8&gt;$AR9,$E$127&lt;$AR9),0,Schweine_Werte!$M9))</f>
        <v>2.5561372243616485</v>
      </c>
      <c r="BX9" s="730">
        <f>IF(OR(8=$AR9,$E$145=$AR9),Schweine_Werte!$M9*0.5,IF(OR(8&gt;$AR9,$E$145&lt;$AR9),0,Schweine_Werte!$M9))</f>
        <v>2.5561372243616485</v>
      </c>
      <c r="BY9" s="795">
        <f>IF(OR($C$74=$AR9,$D$74=$AR9),Schweine_Werte!$O9*0.5,IF(OR($C$74&gt;$AR9,$D$74&lt;$AR9),0,Schweine_Werte!$O9))</f>
        <v>0</v>
      </c>
      <c r="BZ9" s="795">
        <f>IF(OR($C$83=$AR9,$D$83=$AR9),Schweine_Werte!$O9*0.5,IF(OR($C$83&gt;$AR9,$D$83&lt;$AR9),0,Schweine_Werte!$O9))</f>
        <v>0</v>
      </c>
      <c r="CA9" s="730">
        <f>IF(OR($C$92=$AR9,$D$92=$AR9),Schweine_Werte!$O9*0.5,IF(OR($C$92&gt;$AR9,$D$92&lt;$AR9),0,Schweine_Werte!$O9))</f>
        <v>0</v>
      </c>
      <c r="CB9" s="730">
        <f>IF(OR($C$101=$AR9,$D$101=$AR9),Schweine_Werte!$O9*0.5,IF(OR($C$101&gt;$AR9,$D$101&lt;$AR9),0,Schweine_Werte!$O9))</f>
        <v>0</v>
      </c>
      <c r="CC9" s="730">
        <f>IF(OR($C$110=$AR9,$D$110=$AR9),Schweine_Werte!$O9*0.5,IF(OR($C$110&gt;$AR9,$D$110&lt;$AR9),0,Schweine_Werte!$O9))</f>
        <v>0</v>
      </c>
    </row>
    <row r="10" spans="1:303" ht="15.6" x14ac:dyDescent="0.3">
      <c r="F10" s="357"/>
      <c r="G10" s="1626" t="s">
        <v>7713</v>
      </c>
      <c r="H10" s="1627"/>
      <c r="I10" s="1628"/>
      <c r="J10" s="1039" t="s">
        <v>596</v>
      </c>
      <c r="K10" s="1039" t="s">
        <v>226</v>
      </c>
      <c r="L10" s="1621" t="s">
        <v>7714</v>
      </c>
      <c r="M10" s="1622"/>
      <c r="N10" s="1623"/>
      <c r="O10" s="1621" t="s">
        <v>7715</v>
      </c>
      <c r="P10" s="1623"/>
      <c r="Q10" s="1621" t="s">
        <v>7770</v>
      </c>
      <c r="R10" s="1622"/>
      <c r="S10" s="1623"/>
      <c r="T10" s="1621" t="s">
        <v>7716</v>
      </c>
      <c r="U10" s="1622"/>
      <c r="V10" s="1623"/>
      <c r="W10" s="1621" t="s">
        <v>7798</v>
      </c>
      <c r="X10" s="1622"/>
      <c r="Y10" s="1623"/>
      <c r="Z10" s="1632" t="s">
        <v>7799</v>
      </c>
      <c r="AA10" s="1633"/>
      <c r="AB10" s="1632" t="s">
        <v>7800</v>
      </c>
      <c r="AC10" s="1633"/>
      <c r="AD10" s="1632" t="s">
        <v>7801</v>
      </c>
      <c r="AE10" s="1633"/>
      <c r="AF10" s="1040" t="s">
        <v>7910</v>
      </c>
      <c r="AG10" s="1624" t="s">
        <v>7804</v>
      </c>
      <c r="AH10" s="1625"/>
      <c r="AI10" s="1148" t="s">
        <v>7931</v>
      </c>
      <c r="AJ10" s="1632" t="s">
        <v>7799</v>
      </c>
      <c r="AK10" s="1633"/>
      <c r="AL10" s="1632" t="s">
        <v>7800</v>
      </c>
      <c r="AM10" s="1633"/>
      <c r="AN10" s="1632" t="s">
        <v>7801</v>
      </c>
      <c r="AO10" s="1633"/>
      <c r="AR10" s="793">
        <v>14</v>
      </c>
      <c r="AS10" s="794">
        <f>IF(OR($C$12=$AR10,$D$12=$AR10),Schweine_Werte!$C10*0.5,IF(OR($C$12&gt;$AR10,$D$12&lt;$AR10),0,Schweine_Werte!$C10))</f>
        <v>0</v>
      </c>
      <c r="AT10" s="794">
        <f>IF(OR($C$24=$AR10,$D$24=$AR10),Schweine_Werte!$C10*0.5,IF(OR($C$24&gt;$AR10,$D$24&lt;$AR10),0,Schweine_Werte!$C10))</f>
        <v>0</v>
      </c>
      <c r="AU10" s="794">
        <f>IF(OR($C$36=$AR10,$D$36=$AR10),Schweine_Werte!$C10*0.5,IF(OR($C$36&gt;$AR10,$D$36&lt;$AR10),0,Schweine_Werte!$C10))</f>
        <v>0</v>
      </c>
      <c r="AV10" s="794">
        <f>IF(OR($C$48=$AR10,$D$48=$AR10),Schweine_Werte!$C10*0.5,IF(OR($C$48&gt;$AR10,$D$48&lt;$AR10),0,Schweine_Werte!$C10))</f>
        <v>0</v>
      </c>
      <c r="AW10" s="794">
        <f>IF(OR($C$60=$AR10,$D$60=$AR10),Schweine_Werte!$C10*0.5,IF(OR($C$60&gt;$AR10,$D$60&lt;$AR10),0,Schweine_Werte!$C10))</f>
        <v>0</v>
      </c>
      <c r="AX10" s="794">
        <f>IF(OR($C$12=$AR10,$D$12=$AR10),Schweine_Werte!$E10*0.5,IF(OR($C$12&gt;$AR10,$D$12&lt;$AR10),0,Schweine_Werte!$E10))</f>
        <v>0</v>
      </c>
      <c r="AY10" s="794">
        <f>IF(OR($C$24=$AR10,$D$24=$AR10),Schweine_Werte!$E10*0.5,IF(OR($C$24&gt;$AR10,$D$24&lt;$AR10),0,Schweine_Werte!$E10))</f>
        <v>0</v>
      </c>
      <c r="AZ10" s="797">
        <f>IF(OR($C$36=$AR10,$D$36=$AR10),Schweine_Werte!$E10*0.5,IF(OR($C$36&gt;$AR10,$D$36&lt;$AR10),0,Schweine_Werte!$E10))</f>
        <v>0</v>
      </c>
      <c r="BA10" s="797">
        <f>IF(OR($C$48=$AR10,$D$48=$AR10),Schweine_Werte!$E10*0.5,IF(OR($C$48&gt;$AR10,$D$48&lt;$AR10),0,Schweine_Werte!$E10))</f>
        <v>0</v>
      </c>
      <c r="BB10" s="797">
        <f>IF(OR($C$60=$AR10,$D$60=$AR10),Schweine_Werte!$E10*0.5,IF(OR($C$60&gt;$AR10,$D$60&lt;$AR10),0,Schweine_Werte!$E10))</f>
        <v>0</v>
      </c>
      <c r="BC10" s="794">
        <f>IF(OR($C$12=$AR10,$D$12=$AR10),Schweine_Werte!$G10*0.5,IF(OR($C$12&gt;$AR10,$D$12&lt;$AR10),0,Schweine_Werte!$G10))</f>
        <v>0</v>
      </c>
      <c r="BD10" s="794">
        <f>IF(OR($C$24=$AR10,$D$24=$AR10),Schweine_Werte!$G10*0.5,IF(OR($C$24&gt;$AR10,$D$24&lt;$AR10),0,Schweine_Werte!$G10))</f>
        <v>0</v>
      </c>
      <c r="BE10" s="797">
        <f>IF(OR($C$36=$AR10,$D$36=$AR10),Schweine_Werte!$G10*0.5,IF(OR($C$36&gt;$AR10,$D$36&lt;$AR10),0,Schweine_Werte!$G10))</f>
        <v>0</v>
      </c>
      <c r="BF10" s="797">
        <f>IF(OR($C$48=$AR10,$D$48=$AR10),Schweine_Werte!$G10*0.5,IF(OR($C$48&gt;$AR10,$D$48&lt;$AR10),0,Schweine_Werte!$G10))</f>
        <v>0</v>
      </c>
      <c r="BG10" s="797">
        <f>IF(OR($C$60=$AR10,$D$60=$AR10),Schweine_Werte!$G10*0.5,IF(OR($C$60&gt;$AR10,$D$60&lt;$AR10),0,Schweine_Werte!$G10))</f>
        <v>0</v>
      </c>
      <c r="BH10" s="794">
        <f>IF(OR($C$12=$AR10,$D$12=$AR10),Schweine_Werte!$I10*0.5,IF(OR($C$12&gt;$AR10,$D$12&lt;$AR10),0,Schweine_Werte!$I10))</f>
        <v>0</v>
      </c>
      <c r="BI10" s="794">
        <f>IF(OR($C$24=$AR10,$D$24=$AR10),Schweine_Werte!$I10*0.5,IF(OR($C$24&gt;$AR10,$D$24&lt;$AR10),0,Schweine_Werte!$I10))</f>
        <v>0</v>
      </c>
      <c r="BJ10" s="797">
        <f>IF(OR($C$36=$AR10,$D$36=$AR10),Schweine_Werte!$I10*0.5,IF(OR($C$36&gt;$AR10,$D$36&lt;$AR10),0,Schweine_Werte!$I10))</f>
        <v>0</v>
      </c>
      <c r="BK10" s="797">
        <f>IF(OR($C$48=$AR10,$D$48=$AR10),Schweine_Werte!$I10*0.5,IF(OR($C$48&gt;$AR10,$D$48&lt;$AR10),0,Schweine_Werte!$I10))</f>
        <v>0</v>
      </c>
      <c r="BL10" s="797">
        <f>IF(OR($C$60=$AR10,$D$60=$AR10),Schweine_Werte!$I10*0.5,IF(OR($C$60&gt;$AR10,$D$60&lt;$AR10),0,Schweine_Werte!$I10))</f>
        <v>0</v>
      </c>
      <c r="BM10" s="794"/>
      <c r="BN10" s="794"/>
      <c r="BO10" s="797"/>
      <c r="BP10" s="797"/>
      <c r="BQ10" s="797"/>
      <c r="BR10" s="795">
        <f>IF(OR($C$74=$AR10,$D$74=$AR10),Schweine_Werte!$M10*0.5,IF(OR($C$74&gt;$AR10,$D$74&lt;$AR10),0,Schweine_Werte!$M10))</f>
        <v>0</v>
      </c>
      <c r="BS10" s="795">
        <f>IF(OR($C$83=$AR10,$D$83=$AR10),Schweine_Werte!$M10*0.5,IF(OR($C$83&gt;$AR10,$D$83&lt;$AR10),0,Schweine_Werte!$M10))</f>
        <v>0</v>
      </c>
      <c r="BT10" s="730">
        <f>IF(OR($C$92=$AR10,$D$92=$AR10),Schweine_Werte!$M10*0.5,IF(OR($C$92&gt;$AR10,$D$92&lt;$AR10),0,Schweine_Werte!$M10))</f>
        <v>0</v>
      </c>
      <c r="BU10" s="730">
        <f>IF(OR($C$101=$AR10,$D$101=$AR10),Schweine_Werte!$M10*0.5,IF(OR($C$101&gt;$AR10,$D$101&lt;$AR10),0,Schweine_Werte!$M10))</f>
        <v>0</v>
      </c>
      <c r="BV10" s="730">
        <f>IF(OR($C$110=$AR10,$D$110=$AR10),Schweine_Werte!$M10*0.5,IF(OR($C$110&gt;$AR10,$D$110&lt;$AR10),0,Schweine_Werte!$M10))</f>
        <v>0</v>
      </c>
      <c r="BW10" s="730">
        <f>IF(OR(8=$AR10,$E$127=$AR10),Schweine_Werte!$M10*0.5,IF(OR(8&gt;$AR10,$E$127&lt;$AR10),0,Schweine_Werte!$M10))</f>
        <v>2.446203657340817</v>
      </c>
      <c r="BX10" s="730">
        <f>IF(OR(8=$AR10,$E$145=$AR10),Schweine_Werte!$M10*0.5,IF(OR(8&gt;$AR10,$E$145&lt;$AR10),0,Schweine_Werte!$M10))</f>
        <v>2.446203657340817</v>
      </c>
      <c r="BY10" s="795">
        <f>IF(OR($C$74=$AR10,$D$74=$AR10),Schweine_Werte!$O10*0.5,IF(OR($C$74&gt;$AR10,$D$74&lt;$AR10),0,Schweine_Werte!$O10))</f>
        <v>0</v>
      </c>
      <c r="BZ10" s="795">
        <f>IF(OR($C$83=$AR10,$D$83=$AR10),Schweine_Werte!$O10*0.5,IF(OR($C$83&gt;$AR10,$D$83&lt;$AR10),0,Schweine_Werte!$O10))</f>
        <v>0</v>
      </c>
      <c r="CA10" s="730">
        <f>IF(OR($C$92=$AR10,$D$92=$AR10),Schweine_Werte!$O10*0.5,IF(OR($C$92&gt;$AR10,$D$92&lt;$AR10),0,Schweine_Werte!$O10))</f>
        <v>0</v>
      </c>
      <c r="CB10" s="730">
        <f>IF(OR($C$101=$AR10,$D$101=$AR10),Schweine_Werte!$O10*0.5,IF(OR($C$101&gt;$AR10,$D$101&lt;$AR10),0,Schweine_Werte!$O10))</f>
        <v>0</v>
      </c>
      <c r="CC10" s="730">
        <f>IF(OR($C$110=$AR10,$D$110=$AR10),Schweine_Werte!$O10*0.5,IF(OR($C$110&gt;$AR10,$D$110&lt;$AR10),0,Schweine_Werte!$O10))</f>
        <v>0</v>
      </c>
    </row>
    <row r="11" spans="1:303" ht="18" x14ac:dyDescent="0.25">
      <c r="B11" s="800" t="s">
        <v>7717</v>
      </c>
      <c r="C11" s="801" t="s">
        <v>7657</v>
      </c>
      <c r="D11" s="801" t="s">
        <v>7718</v>
      </c>
      <c r="E11" s="801" t="s">
        <v>7659</v>
      </c>
      <c r="F11" s="747" t="s">
        <v>196</v>
      </c>
      <c r="G11" s="675" t="s">
        <v>4</v>
      </c>
      <c r="H11" s="675" t="s">
        <v>7719</v>
      </c>
      <c r="I11" s="675" t="s">
        <v>7720</v>
      </c>
      <c r="J11" s="676" t="s">
        <v>7721</v>
      </c>
      <c r="K11" s="676" t="s">
        <v>7721</v>
      </c>
      <c r="L11" s="677" t="s">
        <v>39</v>
      </c>
      <c r="M11" s="677" t="s">
        <v>7722</v>
      </c>
      <c r="N11" s="677" t="s">
        <v>41</v>
      </c>
      <c r="O11" s="678" t="s">
        <v>0</v>
      </c>
      <c r="P11" s="678" t="s">
        <v>8</v>
      </c>
      <c r="Q11" s="677" t="s">
        <v>39</v>
      </c>
      <c r="R11" s="677" t="s">
        <v>40</v>
      </c>
      <c r="S11" s="677" t="s">
        <v>41</v>
      </c>
      <c r="T11" s="677" t="s">
        <v>39</v>
      </c>
      <c r="U11" s="677" t="s">
        <v>40</v>
      </c>
      <c r="V11" s="677" t="s">
        <v>41</v>
      </c>
      <c r="W11" s="676" t="s">
        <v>7696</v>
      </c>
      <c r="X11" s="676" t="s">
        <v>7697</v>
      </c>
      <c r="Y11" s="676" t="s">
        <v>7698</v>
      </c>
      <c r="Z11" s="802" t="s">
        <v>7802</v>
      </c>
      <c r="AA11" s="802" t="s">
        <v>7803</v>
      </c>
      <c r="AB11" s="802" t="s">
        <v>7802</v>
      </c>
      <c r="AC11" s="802" t="s">
        <v>7803</v>
      </c>
      <c r="AD11" s="802" t="s">
        <v>7802</v>
      </c>
      <c r="AE11" s="802" t="s">
        <v>7803</v>
      </c>
      <c r="AF11" s="802" t="s">
        <v>7912</v>
      </c>
      <c r="AG11" s="1049" t="s">
        <v>7913</v>
      </c>
      <c r="AH11" s="802" t="s">
        <v>7914</v>
      </c>
      <c r="AI11" s="802"/>
      <c r="AJ11" s="802" t="s">
        <v>7778</v>
      </c>
      <c r="AK11" s="802" t="s">
        <v>7805</v>
      </c>
      <c r="AL11" s="802" t="s">
        <v>7806</v>
      </c>
      <c r="AM11" s="802" t="s">
        <v>7807</v>
      </c>
      <c r="AN11" s="802" t="s">
        <v>7806</v>
      </c>
      <c r="AO11" s="802" t="s">
        <v>7808</v>
      </c>
      <c r="AR11" s="793">
        <v>15</v>
      </c>
      <c r="AS11" s="794">
        <f>IF(OR($C$12=$AR11,$D$12=$AR11),Schweine_Werte!$C11*0.5,IF(OR($C$12&gt;$AR11,$D$12&lt;$AR11),0,Schweine_Werte!$C11))</f>
        <v>0</v>
      </c>
      <c r="AT11" s="794">
        <f>IF(OR($C$24=$AR11,$D$24=$AR11),Schweine_Werte!$C11*0.5,IF(OR($C$24&gt;$AR11,$D$24&lt;$AR11),0,Schweine_Werte!$C11))</f>
        <v>0</v>
      </c>
      <c r="AU11" s="794">
        <f>IF(OR($C$36=$AR11,$D$36=$AR11),Schweine_Werte!$C11*0.5,IF(OR($C$36&gt;$AR11,$D$36&lt;$AR11),0,Schweine_Werte!$C11))</f>
        <v>0</v>
      </c>
      <c r="AV11" s="794">
        <f>IF(OR($C$48=$AR11,$D$48=$AR11),Schweine_Werte!$C11*0.5,IF(OR($C$48&gt;$AR11,$D$48&lt;$AR11),0,Schweine_Werte!$C11))</f>
        <v>0</v>
      </c>
      <c r="AW11" s="794">
        <f>IF(OR($C$60=$AR11,$D$60=$AR11),Schweine_Werte!$C11*0.5,IF(OR($C$60&gt;$AR11,$D$60&lt;$AR11),0,Schweine_Werte!$C11))</f>
        <v>0</v>
      </c>
      <c r="AX11" s="794">
        <f>IF(OR($C$12=$AR11,$D$12=$AR11),Schweine_Werte!$E11*0.5,IF(OR($C$12&gt;$AR11,$D$12&lt;$AR11),0,Schweine_Werte!$E11))</f>
        <v>0</v>
      </c>
      <c r="AY11" s="794">
        <f>IF(OR($C$24=$AR11,$D$24=$AR11),Schweine_Werte!$E11*0.5,IF(OR($C$24&gt;$AR11,$D$24&lt;$AR11),0,Schweine_Werte!$E11))</f>
        <v>0</v>
      </c>
      <c r="AZ11" s="797">
        <f>IF(OR($C$36=$AR11,$D$36=$AR11),Schweine_Werte!$E11*0.5,IF(OR($C$36&gt;$AR11,$D$36&lt;$AR11),0,Schweine_Werte!$E11))</f>
        <v>0</v>
      </c>
      <c r="BA11" s="797">
        <f>IF(OR($C$48=$AR11,$D$48=$AR11),Schweine_Werte!$E11*0.5,IF(OR($C$48&gt;$AR11,$D$48&lt;$AR11),0,Schweine_Werte!$E11))</f>
        <v>0</v>
      </c>
      <c r="BB11" s="797">
        <f>IF(OR($C$60=$AR11,$D$60=$AR11),Schweine_Werte!$E11*0.5,IF(OR($C$60&gt;$AR11,$D$60&lt;$AR11),0,Schweine_Werte!$E11))</f>
        <v>0</v>
      </c>
      <c r="BC11" s="794">
        <f>IF(OR($C$12=$AR11,$D$12=$AR11),Schweine_Werte!$G11*0.5,IF(OR($C$12&gt;$AR11,$D$12&lt;$AR11),0,Schweine_Werte!$G11))</f>
        <v>0</v>
      </c>
      <c r="BD11" s="794">
        <f>IF(OR($C$24=$AR11,$D$24=$AR11),Schweine_Werte!$G11*0.5,IF(OR($C$24&gt;$AR11,$D$24&lt;$AR11),0,Schweine_Werte!$G11))</f>
        <v>0</v>
      </c>
      <c r="BE11" s="797">
        <f>IF(OR($C$36=$AR11,$D$36=$AR11),Schweine_Werte!$G11*0.5,IF(OR($C$36&gt;$AR11,$D$36&lt;$AR11),0,Schweine_Werte!$G11))</f>
        <v>0</v>
      </c>
      <c r="BF11" s="797">
        <f>IF(OR($C$48=$AR11,$D$48=$AR11),Schweine_Werte!$G11*0.5,IF(OR($C$48&gt;$AR11,$D$48&lt;$AR11),0,Schweine_Werte!$G11))</f>
        <v>0</v>
      </c>
      <c r="BG11" s="797">
        <f>IF(OR($C$60=$AR11,$D$60=$AR11),Schweine_Werte!$G11*0.5,IF(OR($C$60&gt;$AR11,$D$60&lt;$AR11),0,Schweine_Werte!$G11))</f>
        <v>0</v>
      </c>
      <c r="BH11" s="794">
        <f>IF(OR($C$12=$AR11,$D$12=$AR11),Schweine_Werte!$I11*0.5,IF(OR($C$12&gt;$AR11,$D$12&lt;$AR11),0,Schweine_Werte!$I11))</f>
        <v>0</v>
      </c>
      <c r="BI11" s="794">
        <f>IF(OR($C$24=$AR11,$D$24=$AR11),Schweine_Werte!$I11*0.5,IF(OR($C$24&gt;$AR11,$D$24&lt;$AR11),0,Schweine_Werte!$I11))</f>
        <v>0</v>
      </c>
      <c r="BJ11" s="797">
        <f>IF(OR($C$36=$AR11,$D$36=$AR11),Schweine_Werte!$I11*0.5,IF(OR($C$36&gt;$AR11,$D$36&lt;$AR11),0,Schweine_Werte!$I11))</f>
        <v>0</v>
      </c>
      <c r="BK11" s="797">
        <f>IF(OR($C$48=$AR11,$D$48=$AR11),Schweine_Werte!$I11*0.5,IF(OR($C$48&gt;$AR11,$D$48&lt;$AR11),0,Schweine_Werte!$I11))</f>
        <v>0</v>
      </c>
      <c r="BL11" s="797">
        <f>IF(OR($C$60=$AR11,$D$60=$AR11),Schweine_Werte!$I11*0.5,IF(OR($C$60&gt;$AR11,$D$60&lt;$AR11),0,Schweine_Werte!$I11))</f>
        <v>0</v>
      </c>
      <c r="BM11" s="794"/>
      <c r="BN11" s="794"/>
      <c r="BO11" s="797"/>
      <c r="BP11" s="797"/>
      <c r="BQ11" s="797"/>
      <c r="BR11" s="795">
        <f>IF(OR($C$74=$AR11,$D$74=$AR11),Schweine_Werte!$M11*0.5,IF(OR($C$74&gt;$AR11,$D$74&lt;$AR11),0,Schweine_Werte!$M11))</f>
        <v>0</v>
      </c>
      <c r="BS11" s="795">
        <f>IF(OR($C$83=$AR11,$D$83=$AR11),Schweine_Werte!$M11*0.5,IF(OR($C$83&gt;$AR11,$D$83&lt;$AR11),0,Schweine_Werte!$M11))</f>
        <v>0</v>
      </c>
      <c r="BT11" s="730">
        <f>IF(OR($C$92=$AR11,$D$92=$AR11),Schweine_Werte!$M11*0.5,IF(OR($C$92&gt;$AR11,$D$92&lt;$AR11),0,Schweine_Werte!$M11))</f>
        <v>0</v>
      </c>
      <c r="BU11" s="730">
        <f>IF(OR($C$101=$AR11,$D$101=$AR11),Schweine_Werte!$M11*0.5,IF(OR($C$101&gt;$AR11,$D$101&lt;$AR11),0,Schweine_Werte!$M11))</f>
        <v>0</v>
      </c>
      <c r="BV11" s="730">
        <f>IF(OR($C$110=$AR11,$D$110=$AR11),Schweine_Werte!$M11*0.5,IF(OR($C$110&gt;$AR11,$D$110&lt;$AR11),0,Schweine_Werte!$M11))</f>
        <v>0</v>
      </c>
      <c r="BW11" s="730">
        <f>IF(OR(8=$AR11,$E$127=$AR11),Schweine_Werte!$M11*0.5,IF(OR(8&gt;$AR11,$E$127&lt;$AR11),0,Schweine_Werte!$M11))</f>
        <v>2.3467934266915833</v>
      </c>
      <c r="BX11" s="730">
        <f>IF(OR(8=$AR11,$E$145=$AR11),Schweine_Werte!$M11*0.5,IF(OR(8&gt;$AR11,$E$145&lt;$AR11),0,Schweine_Werte!$M11))</f>
        <v>2.3467934266915833</v>
      </c>
      <c r="BY11" s="795">
        <f>IF(OR($C$74=$AR11,$D$74=$AR11),Schweine_Werte!$O11*0.5,IF(OR($C$74&gt;$AR11,$D$74&lt;$AR11),0,Schweine_Werte!$O11))</f>
        <v>0</v>
      </c>
      <c r="BZ11" s="795">
        <f>IF(OR($C$83=$AR11,$D$83=$AR11),Schweine_Werte!$O11*0.5,IF(OR($C$83&gt;$AR11,$D$83&lt;$AR11),0,Schweine_Werte!$O11))</f>
        <v>0</v>
      </c>
      <c r="CA11" s="730">
        <f>IF(OR($C$92=$AR11,$D$92=$AR11),Schweine_Werte!$O11*0.5,IF(OR($C$92&gt;$AR11,$D$92&lt;$AR11),0,Schweine_Werte!$O11))</f>
        <v>0</v>
      </c>
      <c r="CB11" s="730">
        <f>IF(OR($C$101=$AR11,$D$101=$AR11),Schweine_Werte!$O11*0.5,IF(OR($C$101&gt;$AR11,$D$101&lt;$AR11),0,Schweine_Werte!$O11))</f>
        <v>0</v>
      </c>
      <c r="CC11" s="730">
        <f>IF(OR($C$110=$AR11,$D$110=$AR11),Schweine_Werte!$O11*0.5,IF(OR($C$110&gt;$AR11,$D$110&lt;$AR11),0,Schweine_Werte!$O11))</f>
        <v>0</v>
      </c>
    </row>
    <row r="12" spans="1:303" ht="15.6" x14ac:dyDescent="0.25">
      <c r="A12" t="s">
        <v>7786</v>
      </c>
      <c r="B12" s="770" t="str">
        <f>IF('Abweichende Werte'!W5=1,'Abweichende Werte'!F5,"")</f>
        <v/>
      </c>
      <c r="C12" s="679" t="str">
        <f>IF('Abweichende Werte'!W5=1,'Abweichende Werte'!J5,"")</f>
        <v/>
      </c>
      <c r="D12" s="679" t="str">
        <f>+IF('Abweichende Werte'!W5=1,'Abweichende Werte'!M5,"")</f>
        <v/>
      </c>
      <c r="E12" s="815" t="str">
        <f>+IF('Abweichende Werte'!W5=1,'Abweichende Werte'!P5,"")</f>
        <v/>
      </c>
      <c r="F12" s="803" t="e">
        <f>IF($E12&lt;=$E5,F5,IF(AND($E12&gt;$E5,$E12&lt;=$E6),F5+(F6-F5)/($E6-$E5)*($E12-$E5),IF(AND($E12&gt;$E6,$E12&lt;=$E7),F6+(F7-F6)/($E7-$E6)*($E12-$E6),IF(AND($E12&gt;$E7,$E12&lt;=$E8),F7+(F8-F7)/($E8-$E7)*($E12-$E7),IF($E12&gt;$E8,F8)))))</f>
        <v>#VALUE!</v>
      </c>
      <c r="G12" s="803" t="e">
        <f t="shared" ref="G12:N12" si="1">IF($E12&lt;=$E5,G5,IF(AND($E12&gt;$E5,$E12&lt;=$E6),G5+(G6-G5)/($E6-$E5)*($E12-$E5),IF(AND($E12&gt;$E6,$E12&lt;=$E7),G6+(G7-G6)/($E7-$E6)*($E12-$E6),IF(AND($E12&gt;$E7,$E12&lt;=$E8),G7+(G8-G7)/($E8-$E7)*($E12-$E7),IF($E12&gt;$E8,G8)))))</f>
        <v>#VALUE!</v>
      </c>
      <c r="H12" s="803" t="e">
        <f t="shared" si="1"/>
        <v>#VALUE!</v>
      </c>
      <c r="I12" s="803" t="e">
        <f t="shared" si="1"/>
        <v>#VALUE!</v>
      </c>
      <c r="J12" s="803" t="e">
        <f t="shared" si="1"/>
        <v>#VALUE!</v>
      </c>
      <c r="K12" s="803" t="e">
        <f t="shared" si="1"/>
        <v>#VALUE!</v>
      </c>
      <c r="L12" s="803" t="e">
        <f t="shared" si="1"/>
        <v>#VALUE!</v>
      </c>
      <c r="M12" s="803" t="e">
        <f t="shared" si="1"/>
        <v>#VALUE!</v>
      </c>
      <c r="N12" s="803" t="e">
        <f t="shared" si="1"/>
        <v>#VALUE!</v>
      </c>
      <c r="O12" s="804">
        <v>5.5</v>
      </c>
      <c r="P12" s="804">
        <v>1.8</v>
      </c>
      <c r="Q12" s="803" t="e">
        <f t="shared" ref="Q12:Z12" si="2">IF($E12&lt;=$E5,Q5,IF(AND($E12&gt;$E5,$E12&lt;=$E6),Q5+(Q6-Q5)/($E6-$E5)*($E12-$E5),IF(AND($E12&gt;$E6,$E12&lt;=$E7),Q6+(Q7-Q6)/($E7-$E6)*($E12-$E6),IF(AND($E12&gt;$E7,$E12&lt;=$E8),Q7+(Q8-Q7)/($E8-$E7)*($E12-$E7),IF($E12&gt;$E8,Q8)))))</f>
        <v>#VALUE!</v>
      </c>
      <c r="R12" s="803" t="e">
        <f t="shared" si="2"/>
        <v>#VALUE!</v>
      </c>
      <c r="S12" s="803" t="e">
        <f t="shared" si="2"/>
        <v>#VALUE!</v>
      </c>
      <c r="T12" s="803" t="e">
        <f t="shared" si="2"/>
        <v>#VALUE!</v>
      </c>
      <c r="U12" s="803" t="e">
        <f t="shared" si="2"/>
        <v>#VALUE!</v>
      </c>
      <c r="V12" s="803" t="e">
        <f t="shared" si="2"/>
        <v>#VALUE!</v>
      </c>
      <c r="W12" s="803" t="e">
        <f t="shared" si="2"/>
        <v>#VALUE!</v>
      </c>
      <c r="X12" s="803" t="e">
        <f t="shared" si="2"/>
        <v>#VALUE!</v>
      </c>
      <c r="Y12" s="803" t="e">
        <f t="shared" si="2"/>
        <v>#VALUE!</v>
      </c>
      <c r="Z12" s="803" t="e">
        <f t="shared" si="2"/>
        <v>#VALUE!</v>
      </c>
      <c r="AA12" s="805" t="e">
        <f>+Z12*6.25</f>
        <v>#VALUE!</v>
      </c>
      <c r="AB12" s="803" t="e">
        <f t="shared" ref="AB12" si="3">IF($E12&lt;=$E5,AB5,IF(AND($E12&gt;$E5,$E12&lt;=$E6),AB5+(AB6-AB5)/($E6-$E5)*($E12-$E5),IF(AND($E12&gt;$E6,$E12&lt;=$E7),AB6+(AB7-AB6)/($E7-$E6)*($E12-$E6),IF(AND($E12&gt;$E7,$E12&lt;=$E8),AB7+(AB8-AB7)/($E8-$E7)*($E12-$E7),IF($E12&gt;$E8,AB8)))))</f>
        <v>#VALUE!</v>
      </c>
      <c r="AC12" s="805" t="e">
        <f>+AB12*6.25</f>
        <v>#VALUE!</v>
      </c>
      <c r="AD12" s="803" t="e">
        <f t="shared" ref="AD12" si="4">IF($E12&lt;=$E5,AD5,IF(AND($E12&gt;$E5,$E12&lt;=$E6),AD5+(AD6-AD5)/($E6-$E5)*($E12-$E5),IF(AND($E12&gt;$E6,$E12&lt;=$E7),AD6+(AD7-AD6)/($E7-$E6)*($E12-$E6),IF(AND($E12&gt;$E7,$E12&lt;=$E8),AD7+(AD8-AD7)/($E8-$E7)*($E12-$E7),IF($E12&gt;$E8,AD8)))))</f>
        <v>#VALUE!</v>
      </c>
      <c r="AE12" s="805" t="e">
        <f>+AD12*6.25</f>
        <v>#VALUE!</v>
      </c>
      <c r="AF12" s="805" t="e">
        <f>365/((D12-C12)/E12*1000)</f>
        <v>#VALUE!</v>
      </c>
      <c r="AG12" s="803" t="e">
        <f>IF($E12&lt;=$E5,AG5,IF(AND($E12&gt;$E5,$E12&lt;=$E6),AG5+(AG6-AG5)/($E6-$E5)*($E12-$E5),IF(AND($E12&gt;$E6,$E12&lt;=$E7),AG6+(AG7-AG6)/($E7-$E6)*($E12-$E6),IF(AND($E12&gt;$E7,$E12&lt;=$E8),AG7+(AG8-AG7)/($E8-$E7)*($E12-$E7),IF($E12&gt;$E8,AG8)))))</f>
        <v>#VALUE!</v>
      </c>
      <c r="AH12" s="805" t="e">
        <f>+AG12/AF12</f>
        <v>#VALUE!</v>
      </c>
      <c r="AI12" s="805" t="e">
        <f>+CONCATENATE(ROUND(AH12/(D12-C12),1)," : 1")</f>
        <v>#VALUE!</v>
      </c>
      <c r="AJ12" s="803" t="e">
        <f t="shared" ref="AJ12" si="5">IF($E12&lt;=$E5,AJ5,IF(AND($E12&gt;$E5,$E12&lt;=$E6),AJ5+(AJ6-AJ5)/($E6-$E5)*($E12-$E5),IF(AND($E12&gt;$E6,$E12&lt;=$E7),AJ6+(AJ7-AJ6)/($E7-$E6)*($E12-$E6),IF(AND($E12&gt;$E7,$E12&lt;=$E8),AJ7+(AJ8-AJ7)/($E8-$E7)*($E12-$E7),IF($E12&gt;$E8,AJ8)))))</f>
        <v>#VALUE!</v>
      </c>
      <c r="AK12" s="805" t="e">
        <f>+AJ12/2.291</f>
        <v>#VALUE!</v>
      </c>
      <c r="AL12" s="803" t="e">
        <f t="shared" ref="AL12" si="6">IF($E12&lt;=$E5,AL5,IF(AND($E12&gt;$E5,$E12&lt;=$E6),AL5+(AL6-AL5)/($E6-$E5)*($E12-$E5),IF(AND($E12&gt;$E6,$E12&lt;=$E7),AL6+(AL7-AL6)/($E7-$E6)*($E12-$E6),IF(AND($E12&gt;$E7,$E12&lt;=$E8),AL7+(AL8-AL7)/($E8-$E7)*($E12-$E7),IF($E12&gt;$E8,AL8)))))</f>
        <v>#VALUE!</v>
      </c>
      <c r="AM12" s="805" t="e">
        <f>+AL12/2.291</f>
        <v>#VALUE!</v>
      </c>
      <c r="AN12" s="803" t="e">
        <f t="shared" ref="AN12" si="7">IF($E12&lt;=$E5,AN5,IF(AND($E12&gt;$E5,$E12&lt;=$E6),AN5+(AN6-AN5)/($E6-$E5)*($E12-$E5),IF(AND($E12&gt;$E6,$E12&lt;=$E7),AN6+(AN7-AN6)/($E7-$E6)*($E12-$E6),IF(AND($E12&gt;$E7,$E12&lt;=$E8),AN7+(AN8-AN7)/($E8-$E7)*($E12-$E7),IF($E12&gt;$E8,AN8)))))</f>
        <v>#VALUE!</v>
      </c>
      <c r="AO12" s="805" t="e">
        <f>+AN12/2.291</f>
        <v>#VALUE!</v>
      </c>
      <c r="AR12" s="793">
        <v>16</v>
      </c>
      <c r="AS12" s="794">
        <f>IF(OR($C$12=$AR12,$D$12=$AR12),Schweine_Werte!$C12*0.5,IF(OR($C$12&gt;$AR12,$D$12&lt;$AR12),0,Schweine_Werte!$C12))</f>
        <v>0</v>
      </c>
      <c r="AT12" s="794">
        <f>IF(OR($C$24=$AR12,$D$24=$AR12),Schweine_Werte!$C12*0.5,IF(OR($C$24&gt;$AR12,$D$24&lt;$AR12),0,Schweine_Werte!$C12))</f>
        <v>0</v>
      </c>
      <c r="AU12" s="794">
        <f>IF(OR($C$36=$AR12,$D$36=$AR12),Schweine_Werte!$C12*0.5,IF(OR($C$36&gt;$AR12,$D$36&lt;$AR12),0,Schweine_Werte!$C12))</f>
        <v>0</v>
      </c>
      <c r="AV12" s="794">
        <f>IF(OR($C$48=$AR12,$D$48=$AR12),Schweine_Werte!$C12*0.5,IF(OR($C$48&gt;$AR12,$D$48&lt;$AR12),0,Schweine_Werte!$C12))</f>
        <v>0</v>
      </c>
      <c r="AW12" s="794">
        <f>IF(OR($C$60=$AR12,$D$60=$AR12),Schweine_Werte!$C12*0.5,IF(OR($C$60&gt;$AR12,$D$60&lt;$AR12),0,Schweine_Werte!$C12))</f>
        <v>0</v>
      </c>
      <c r="AX12" s="794">
        <f>IF(OR($C$12=$AR12,$D$12=$AR12),Schweine_Werte!$E12*0.5,IF(OR($C$12&gt;$AR12,$D$12&lt;$AR12),0,Schweine_Werte!$E12))</f>
        <v>0</v>
      </c>
      <c r="AY12" s="794">
        <f>IF(OR($C$24=$AR12,$D$24=$AR12),Schweine_Werte!$E12*0.5,IF(OR($C$24&gt;$AR12,$D$24&lt;$AR12),0,Schweine_Werte!$E12))</f>
        <v>0</v>
      </c>
      <c r="AZ12" s="797">
        <f>IF(OR($C$36=$AR12,$D$36=$AR12),Schweine_Werte!$E12*0.5,IF(OR($C$36&gt;$AR12,$D$36&lt;$AR12),0,Schweine_Werte!$E12))</f>
        <v>0</v>
      </c>
      <c r="BA12" s="797">
        <f>IF(OR($C$48=$AR12,$D$48=$AR12),Schweine_Werte!$E12*0.5,IF(OR($C$48&gt;$AR12,$D$48&lt;$AR12),0,Schweine_Werte!$E12))</f>
        <v>0</v>
      </c>
      <c r="BB12" s="797">
        <f>IF(OR($C$60=$AR12,$D$60=$AR12),Schweine_Werte!$E12*0.5,IF(OR($C$60&gt;$AR12,$D$60&lt;$AR12),0,Schweine_Werte!$E12))</f>
        <v>0</v>
      </c>
      <c r="BC12" s="794">
        <f>IF(OR($C$12=$AR12,$D$12=$AR12),Schweine_Werte!$G12*0.5,IF(OR($C$12&gt;$AR12,$D$12&lt;$AR12),0,Schweine_Werte!$G12))</f>
        <v>0</v>
      </c>
      <c r="BD12" s="794">
        <f>IF(OR($C$24=$AR12,$D$24=$AR12),Schweine_Werte!$G12*0.5,IF(OR($C$24&gt;$AR12,$D$24&lt;$AR12),0,Schweine_Werte!$G12))</f>
        <v>0</v>
      </c>
      <c r="BE12" s="797">
        <f>IF(OR($C$36=$AR12,$D$36=$AR12),Schweine_Werte!$G12*0.5,IF(OR($C$36&gt;$AR12,$D$36&lt;$AR12),0,Schweine_Werte!$G12))</f>
        <v>0</v>
      </c>
      <c r="BF12" s="797">
        <f>IF(OR($C$48=$AR12,$D$48=$AR12),Schweine_Werte!$G12*0.5,IF(OR($C$48&gt;$AR12,$D$48&lt;$AR12),0,Schweine_Werte!$G12))</f>
        <v>0</v>
      </c>
      <c r="BG12" s="797">
        <f>IF(OR($C$60=$AR12,$D$60=$AR12),Schweine_Werte!$G12*0.5,IF(OR($C$60&gt;$AR12,$D$60&lt;$AR12),0,Schweine_Werte!$G12))</f>
        <v>0</v>
      </c>
      <c r="BH12" s="794">
        <f>IF(OR($C$12=$AR12,$D$12=$AR12),Schweine_Werte!$I12*0.5,IF(OR($C$12&gt;$AR12,$D$12&lt;$AR12),0,Schweine_Werte!$I12))</f>
        <v>0</v>
      </c>
      <c r="BI12" s="794">
        <f>IF(OR($C$24=$AR12,$D$24=$AR12),Schweine_Werte!$I12*0.5,IF(OR($C$24&gt;$AR12,$D$24&lt;$AR12),0,Schweine_Werte!$I12))</f>
        <v>0</v>
      </c>
      <c r="BJ12" s="797">
        <f>IF(OR($C$36=$AR12,$D$36=$AR12),Schweine_Werte!$I12*0.5,IF(OR($C$36&gt;$AR12,$D$36&lt;$AR12),0,Schweine_Werte!$I12))</f>
        <v>0</v>
      </c>
      <c r="BK12" s="797">
        <f>IF(OR($C$48=$AR12,$D$48=$AR12),Schweine_Werte!$I12*0.5,IF(OR($C$48&gt;$AR12,$D$48&lt;$AR12),0,Schweine_Werte!$I12))</f>
        <v>0</v>
      </c>
      <c r="BL12" s="797">
        <f>IF(OR($C$60=$AR12,$D$60=$AR12),Schweine_Werte!$I12*0.5,IF(OR($C$60&gt;$AR12,$D$60&lt;$AR12),0,Schweine_Werte!$I12))</f>
        <v>0</v>
      </c>
      <c r="BM12" s="794"/>
      <c r="BN12" s="794"/>
      <c r="BO12" s="797"/>
      <c r="BP12" s="797"/>
      <c r="BQ12" s="797"/>
      <c r="BR12" s="795">
        <f>IF(OR($C$74=$AR12,$D$74=$AR12),Schweine_Werte!$M12*0.5,IF(OR($C$74&gt;$AR12,$D$74&lt;$AR12),0,Schweine_Werte!$M12))</f>
        <v>0</v>
      </c>
      <c r="BS12" s="795">
        <f>IF(OR($C$83=$AR12,$D$83=$AR12),Schweine_Werte!$M12*0.5,IF(OR($C$83&gt;$AR12,$D$83&lt;$AR12),0,Schweine_Werte!$M12))</f>
        <v>0</v>
      </c>
      <c r="BT12" s="730">
        <f>IF(OR($C$92=$AR12,$D$92=$AR12),Schweine_Werte!$M12*0.5,IF(OR($C$92&gt;$AR12,$D$92&lt;$AR12),0,Schweine_Werte!$M12))</f>
        <v>0</v>
      </c>
      <c r="BU12" s="730">
        <f>IF(OR($C$101=$AR12,$D$101=$AR12),Schweine_Werte!$M12*0.5,IF(OR($C$101&gt;$AR12,$D$101&lt;$AR12),0,Schweine_Werte!$M12))</f>
        <v>0</v>
      </c>
      <c r="BV12" s="730">
        <f>IF(OR($C$110=$AR12,$D$110=$AR12),Schweine_Werte!$M12*0.5,IF(OR($C$110&gt;$AR12,$D$110&lt;$AR12),0,Schweine_Werte!$M12))</f>
        <v>0</v>
      </c>
      <c r="BW12" s="730">
        <f>IF(OR(8=$AR12,$E$127=$AR12),Schweine_Werte!$M12*0.5,IF(OR(8&gt;$AR12,$E$127&lt;$AR12),0,Schweine_Werte!$M12))</f>
        <v>2.2565030036209643</v>
      </c>
      <c r="BX12" s="730">
        <f>IF(OR(8=$AR12,$E$145=$AR12),Schweine_Werte!$M12*0.5,IF(OR(8&gt;$AR12,$E$145&lt;$AR12),0,Schweine_Werte!$M12))</f>
        <v>2.2565030036209643</v>
      </c>
      <c r="BY12" s="795">
        <f>IF(OR($C$74=$AR12,$D$74=$AR12),Schweine_Werte!$O12*0.5,IF(OR($C$74&gt;$AR12,$D$74&lt;$AR12),0,Schweine_Werte!$O12))</f>
        <v>0</v>
      </c>
      <c r="BZ12" s="795">
        <f>IF(OR($C$83=$AR12,$D$83=$AR12),Schweine_Werte!$O12*0.5,IF(OR($C$83&gt;$AR12,$D$83&lt;$AR12),0,Schweine_Werte!$O12))</f>
        <v>0</v>
      </c>
      <c r="CA12" s="730">
        <f>IF(OR($C$92=$AR12,$D$92=$AR12),Schweine_Werte!$O12*0.5,IF(OR($C$92&gt;$AR12,$D$92&lt;$AR12),0,Schweine_Werte!$O12))</f>
        <v>0</v>
      </c>
      <c r="CB12" s="730">
        <f>IF(OR($C$101=$AR12,$D$101=$AR12),Schweine_Werte!$O12*0.5,IF(OR($C$101&gt;$AR12,$D$101&lt;$AR12),0,Schweine_Werte!$O12))</f>
        <v>0</v>
      </c>
      <c r="CC12" s="730">
        <f>IF(OR($C$110=$AR12,$D$110=$AR12),Schweine_Werte!$O12*0.5,IF(OR($C$110&gt;$AR12,$D$110&lt;$AR12),0,Schweine_Werte!$O12))</f>
        <v>0</v>
      </c>
    </row>
    <row r="13" spans="1:303" ht="14.4" x14ac:dyDescent="0.3">
      <c r="C13" s="1635" t="s">
        <v>7723</v>
      </c>
      <c r="D13" s="1635"/>
      <c r="AR13" s="793">
        <v>17</v>
      </c>
      <c r="AS13" s="794">
        <f>IF(OR($C$12=$AR13,$D$12=$AR13),Schweine_Werte!$C13*0.5,IF(OR($C$12&gt;$AR13,$D$12&lt;$AR13),0,Schweine_Werte!$C13))</f>
        <v>0</v>
      </c>
      <c r="AT13" s="794">
        <f>IF(OR($C$24=$AR13,$D$24=$AR13),Schweine_Werte!$C13*0.5,IF(OR($C$24&gt;$AR13,$D$24&lt;$AR13),0,Schweine_Werte!$C13))</f>
        <v>0</v>
      </c>
      <c r="AU13" s="794">
        <f>IF(OR($C$36=$AR13,$D$36=$AR13),Schweine_Werte!$C13*0.5,IF(OR($C$36&gt;$AR13,$D$36&lt;$AR13),0,Schweine_Werte!$C13))</f>
        <v>0</v>
      </c>
      <c r="AV13" s="794">
        <f>IF(OR($C$48=$AR13,$D$48=$AR13),Schweine_Werte!$C13*0.5,IF(OR($C$48&gt;$AR13,$D$48&lt;$AR13),0,Schweine_Werte!$C13))</f>
        <v>0</v>
      </c>
      <c r="AW13" s="794">
        <f>IF(OR($C$60=$AR13,$D$60=$AR13),Schweine_Werte!$C13*0.5,IF(OR($C$60&gt;$AR13,$D$60&lt;$AR13),0,Schweine_Werte!$C13))</f>
        <v>0</v>
      </c>
      <c r="AX13" s="794">
        <f>IF(OR($C$12=$AR13,$D$12=$AR13),Schweine_Werte!$E13*0.5,IF(OR($C$12&gt;$AR13,$D$12&lt;$AR13),0,Schweine_Werte!$E13))</f>
        <v>0</v>
      </c>
      <c r="AY13" s="794">
        <f>IF(OR($C$24=$AR13,$D$24=$AR13),Schweine_Werte!$E13*0.5,IF(OR($C$24&gt;$AR13,$D$24&lt;$AR13),0,Schweine_Werte!$E13))</f>
        <v>0</v>
      </c>
      <c r="AZ13" s="797">
        <f>IF(OR($C$36=$AR13,$D$36=$AR13),Schweine_Werte!$E13*0.5,IF(OR($C$36&gt;$AR13,$D$36&lt;$AR13),0,Schweine_Werte!$E13))</f>
        <v>0</v>
      </c>
      <c r="BA13" s="797">
        <f>IF(OR($C$48=$AR13,$D$48=$AR13),Schweine_Werte!$E13*0.5,IF(OR($C$48&gt;$AR13,$D$48&lt;$AR13),0,Schweine_Werte!$E13))</f>
        <v>0</v>
      </c>
      <c r="BB13" s="797">
        <f>IF(OR($C$60=$AR13,$D$60=$AR13),Schweine_Werte!$E13*0.5,IF(OR($C$60&gt;$AR13,$D$60&lt;$AR13),0,Schweine_Werte!$E13))</f>
        <v>0</v>
      </c>
      <c r="BC13" s="794">
        <f>IF(OR($C$12=$AR13,$D$12=$AR13),Schweine_Werte!$G13*0.5,IF(OR($C$12&gt;$AR13,$D$12&lt;$AR13),0,Schweine_Werte!$G13))</f>
        <v>0</v>
      </c>
      <c r="BD13" s="794">
        <f>IF(OR($C$24=$AR13,$D$24=$AR13),Schweine_Werte!$G13*0.5,IF(OR($C$24&gt;$AR13,$D$24&lt;$AR13),0,Schweine_Werte!$G13))</f>
        <v>0</v>
      </c>
      <c r="BE13" s="797">
        <f>IF(OR($C$36=$AR13,$D$36=$AR13),Schweine_Werte!$G13*0.5,IF(OR($C$36&gt;$AR13,$D$36&lt;$AR13),0,Schweine_Werte!$G13))</f>
        <v>0</v>
      </c>
      <c r="BF13" s="797">
        <f>IF(OR($C$48=$AR13,$D$48=$AR13),Schweine_Werte!$G13*0.5,IF(OR($C$48&gt;$AR13,$D$48&lt;$AR13),0,Schweine_Werte!$G13))</f>
        <v>0</v>
      </c>
      <c r="BG13" s="797">
        <f>IF(OR($C$60=$AR13,$D$60=$AR13),Schweine_Werte!$G13*0.5,IF(OR($C$60&gt;$AR13,$D$60&lt;$AR13),0,Schweine_Werte!$G13))</f>
        <v>0</v>
      </c>
      <c r="BH13" s="794">
        <f>IF(OR($C$12=$AR13,$D$12=$AR13),Schweine_Werte!$I13*0.5,IF(OR($C$12&gt;$AR13,$D$12&lt;$AR13),0,Schweine_Werte!$I13))</f>
        <v>0</v>
      </c>
      <c r="BI13" s="794">
        <f>IF(OR($C$24=$AR13,$D$24=$AR13),Schweine_Werte!$I13*0.5,IF(OR($C$24&gt;$AR13,$D$24&lt;$AR13),0,Schweine_Werte!$I13))</f>
        <v>0</v>
      </c>
      <c r="BJ13" s="797">
        <f>IF(OR($C$36=$AR13,$D$36=$AR13),Schweine_Werte!$I13*0.5,IF(OR($C$36&gt;$AR13,$D$36&lt;$AR13),0,Schweine_Werte!$I13))</f>
        <v>0</v>
      </c>
      <c r="BK13" s="797">
        <f>IF(OR($C$48=$AR13,$D$48=$AR13),Schweine_Werte!$I13*0.5,IF(OR($C$48&gt;$AR13,$D$48&lt;$AR13),0,Schweine_Werte!$I13))</f>
        <v>0</v>
      </c>
      <c r="BL13" s="797">
        <f>IF(OR($C$60=$AR13,$D$60=$AR13),Schweine_Werte!$I13*0.5,IF(OR($C$60&gt;$AR13,$D$60&lt;$AR13),0,Schweine_Werte!$I13))</f>
        <v>0</v>
      </c>
      <c r="BM13" s="794"/>
      <c r="BN13" s="794"/>
      <c r="BO13" s="797"/>
      <c r="BP13" s="797"/>
      <c r="BQ13" s="797"/>
      <c r="BR13" s="795">
        <f>IF(OR($C$74=$AR13,$D$74=$AR13),Schweine_Werte!$M13*0.5,IF(OR($C$74&gt;$AR13,$D$74&lt;$AR13),0,Schweine_Werte!$M13))</f>
        <v>0</v>
      </c>
      <c r="BS13" s="795">
        <f>IF(OR($C$83=$AR13,$D$83=$AR13),Schweine_Werte!$M13*0.5,IF(OR($C$83&gt;$AR13,$D$83&lt;$AR13),0,Schweine_Werte!$M13))</f>
        <v>0</v>
      </c>
      <c r="BT13" s="730">
        <f>IF(OR($C$92=$AR13,$D$92=$AR13),Schweine_Werte!$M13*0.5,IF(OR($C$92&gt;$AR13,$D$92&lt;$AR13),0,Schweine_Werte!$M13))</f>
        <v>0</v>
      </c>
      <c r="BU13" s="730">
        <f>IF(OR($C$101=$AR13,$D$101=$AR13),Schweine_Werte!$M13*0.5,IF(OR($C$101&gt;$AR13,$D$101&lt;$AR13),0,Schweine_Werte!$M13))</f>
        <v>0</v>
      </c>
      <c r="BV13" s="730">
        <f>IF(OR($C$110=$AR13,$D$110=$AR13),Schweine_Werte!$M13*0.5,IF(OR($C$110&gt;$AR13,$D$110&lt;$AR13),0,Schweine_Werte!$M13))</f>
        <v>0</v>
      </c>
      <c r="BW13" s="730">
        <f>IF(OR(8=$AR13,$E$127=$AR13),Schweine_Werte!$M13*0.5,IF(OR(8&gt;$AR13,$E$127&lt;$AR13),0,Schweine_Werte!$M13))</f>
        <v>2.174168851366757</v>
      </c>
      <c r="BX13" s="730">
        <f>IF(OR(8=$AR13,$E$145=$AR13),Schweine_Werte!$M13*0.5,IF(OR(8&gt;$AR13,$E$145&lt;$AR13),0,Schweine_Werte!$M13))</f>
        <v>2.174168851366757</v>
      </c>
      <c r="BY13" s="795">
        <f>IF(OR($C$74=$AR13,$D$74=$AR13),Schweine_Werte!$O13*0.5,IF(OR($C$74&gt;$AR13,$D$74&lt;$AR13),0,Schweine_Werte!$O13))</f>
        <v>0</v>
      </c>
      <c r="BZ13" s="795">
        <f>IF(OR($C$83=$AR13,$D$83=$AR13),Schweine_Werte!$O13*0.5,IF(OR($C$83&gt;$AR13,$D$83&lt;$AR13),0,Schweine_Werte!$O13))</f>
        <v>0</v>
      </c>
      <c r="CA13" s="730">
        <f>IF(OR($C$92=$AR13,$D$92=$AR13),Schweine_Werte!$O13*0.5,IF(OR($C$92&gt;$AR13,$D$92&lt;$AR13),0,Schweine_Werte!$O13))</f>
        <v>0</v>
      </c>
      <c r="CB13" s="730">
        <f>IF(OR($C$101=$AR13,$D$101=$AR13),Schweine_Werte!$O13*0.5,IF(OR($C$101&gt;$AR13,$D$101&lt;$AR13),0,Schweine_Werte!$O13))</f>
        <v>0</v>
      </c>
      <c r="CC13" s="730">
        <f>IF(OR($C$110=$AR13,$D$110=$AR13),Schweine_Werte!$O13*0.5,IF(OR($C$110&gt;$AR13,$D$110&lt;$AR13),0,Schweine_Werte!$O13))</f>
        <v>0</v>
      </c>
    </row>
    <row r="14" spans="1:303" ht="18" x14ac:dyDescent="0.35">
      <c r="H14" s="784"/>
      <c r="I14" s="784"/>
      <c r="L14" s="818"/>
      <c r="W14" s="1620" t="s">
        <v>7674</v>
      </c>
      <c r="X14" s="1620"/>
      <c r="Y14" s="1620"/>
      <c r="AR14" s="793">
        <v>18</v>
      </c>
      <c r="AS14" s="794">
        <f>IF(OR($C$12=$AR14,$D$12=$AR14),Schweine_Werte!$C14*0.5,IF(OR($C$12&gt;$AR14,$D$12&lt;$AR14),0,Schweine_Werte!$C14))</f>
        <v>0</v>
      </c>
      <c r="AT14" s="794">
        <f>IF(OR($C$24=$AR14,$D$24=$AR14),Schweine_Werte!$C14*0.5,IF(OR($C$24&gt;$AR14,$D$24&lt;$AR14),0,Schweine_Werte!$C14))</f>
        <v>0</v>
      </c>
      <c r="AU14" s="794">
        <f>IF(OR($C$36=$AR14,$D$36=$AR14),Schweine_Werte!$C14*0.5,IF(OR($C$36&gt;$AR14,$D$36&lt;$AR14),0,Schweine_Werte!$C14))</f>
        <v>0</v>
      </c>
      <c r="AV14" s="794">
        <f>IF(OR($C$48=$AR14,$D$48=$AR14),Schweine_Werte!$C14*0.5,IF(OR($C$48&gt;$AR14,$D$48&lt;$AR14),0,Schweine_Werte!$C14))</f>
        <v>0</v>
      </c>
      <c r="AW14" s="794">
        <f>IF(OR($C$60=$AR14,$D$60=$AR14),Schweine_Werte!$C14*0.5,IF(OR($C$60&gt;$AR14,$D$60&lt;$AR14),0,Schweine_Werte!$C14))</f>
        <v>0</v>
      </c>
      <c r="AX14" s="794">
        <f>IF(OR($C$12=$AR14,$D$12=$AR14),Schweine_Werte!$E14*0.5,IF(OR($C$12&gt;$AR14,$D$12&lt;$AR14),0,Schweine_Werte!$E14))</f>
        <v>0</v>
      </c>
      <c r="AY14" s="794">
        <f>IF(OR($C$24=$AR14,$D$24=$AR14),Schweine_Werte!$E14*0.5,IF(OR($C$24&gt;$AR14,$D$24&lt;$AR14),0,Schweine_Werte!$E14))</f>
        <v>0</v>
      </c>
      <c r="AZ14" s="797">
        <f>IF(OR($C$36=$AR14,$D$36=$AR14),Schweine_Werte!$E14*0.5,IF(OR($C$36&gt;$AR14,$D$36&lt;$AR14),0,Schweine_Werte!$E14))</f>
        <v>0</v>
      </c>
      <c r="BA14" s="797">
        <f>IF(OR($C$48=$AR14,$D$48=$AR14),Schweine_Werte!$E14*0.5,IF(OR($C$48&gt;$AR14,$D$48&lt;$AR14),0,Schweine_Werte!$E14))</f>
        <v>0</v>
      </c>
      <c r="BB14" s="797">
        <f>IF(OR($C$60=$AR14,$D$60=$AR14),Schweine_Werte!$E14*0.5,IF(OR($C$60&gt;$AR14,$D$60&lt;$AR14),0,Schweine_Werte!$E14))</f>
        <v>0</v>
      </c>
      <c r="BC14" s="794">
        <f>IF(OR($C$12=$AR14,$D$12=$AR14),Schweine_Werte!$G14*0.5,IF(OR($C$12&gt;$AR14,$D$12&lt;$AR14),0,Schweine_Werte!$G14))</f>
        <v>0</v>
      </c>
      <c r="BD14" s="794">
        <f>IF(OR($C$24=$AR14,$D$24=$AR14),Schweine_Werte!$G14*0.5,IF(OR($C$24&gt;$AR14,$D$24&lt;$AR14),0,Schweine_Werte!$G14))</f>
        <v>0</v>
      </c>
      <c r="BE14" s="797">
        <f>IF(OR($C$36=$AR14,$D$36=$AR14),Schweine_Werte!$G14*0.5,IF(OR($C$36&gt;$AR14,$D$36&lt;$AR14),0,Schweine_Werte!$G14))</f>
        <v>0</v>
      </c>
      <c r="BF14" s="797">
        <f>IF(OR($C$48=$AR14,$D$48=$AR14),Schweine_Werte!$G14*0.5,IF(OR($C$48&gt;$AR14,$D$48&lt;$AR14),0,Schweine_Werte!$G14))</f>
        <v>0</v>
      </c>
      <c r="BG14" s="797">
        <f>IF(OR($C$60=$AR14,$D$60=$AR14),Schweine_Werte!$G14*0.5,IF(OR($C$60&gt;$AR14,$D$60&lt;$AR14),0,Schweine_Werte!$G14))</f>
        <v>0</v>
      </c>
      <c r="BH14" s="794">
        <f>IF(OR($C$12=$AR14,$D$12=$AR14),Schweine_Werte!$I14*0.5,IF(OR($C$12&gt;$AR14,$D$12&lt;$AR14),0,Schweine_Werte!$I14))</f>
        <v>0</v>
      </c>
      <c r="BI14" s="794">
        <f>IF(OR($C$24=$AR14,$D$24=$AR14),Schweine_Werte!$I14*0.5,IF(OR($C$24&gt;$AR14,$D$24&lt;$AR14),0,Schweine_Werte!$I14))</f>
        <v>0</v>
      </c>
      <c r="BJ14" s="797">
        <f>IF(OR($C$36=$AR14,$D$36=$AR14),Schweine_Werte!$I14*0.5,IF(OR($C$36&gt;$AR14,$D$36&lt;$AR14),0,Schweine_Werte!$I14))</f>
        <v>0</v>
      </c>
      <c r="BK14" s="797">
        <f>IF(OR($C$48=$AR14,$D$48=$AR14),Schweine_Werte!$I14*0.5,IF(OR($C$48&gt;$AR14,$D$48&lt;$AR14),0,Schweine_Werte!$I14))</f>
        <v>0</v>
      </c>
      <c r="BL14" s="797">
        <f>IF(OR($C$60=$AR14,$D$60=$AR14),Schweine_Werte!$I14*0.5,IF(OR($C$60&gt;$AR14,$D$60&lt;$AR14),0,Schweine_Werte!$I14))</f>
        <v>0</v>
      </c>
      <c r="BM14" s="794"/>
      <c r="BN14" s="794"/>
      <c r="BO14" s="797"/>
      <c r="BP14" s="797"/>
      <c r="BQ14" s="797"/>
      <c r="BR14" s="795">
        <f>IF(OR($C$74=$AR14,$D$74=$AR14),Schweine_Werte!$M14*0.5,IF(OR($C$74&gt;$AR14,$D$74&lt;$AR14),0,Schweine_Werte!$M14))</f>
        <v>0</v>
      </c>
      <c r="BS14" s="795">
        <f>IF(OR($C$83=$AR14,$D$83=$AR14),Schweine_Werte!$M14*0.5,IF(OR($C$83&gt;$AR14,$D$83&lt;$AR14),0,Schweine_Werte!$M14))</f>
        <v>0</v>
      </c>
      <c r="BT14" s="730">
        <f>IF(OR($C$92=$AR14,$D$92=$AR14),Schweine_Werte!$M14*0.5,IF(OR($C$92&gt;$AR14,$D$92&lt;$AR14),0,Schweine_Werte!$M14))</f>
        <v>0</v>
      </c>
      <c r="BU14" s="730">
        <f>IF(OR($C$101=$AR14,$D$101=$AR14),Schweine_Werte!$M14*0.5,IF(OR($C$101&gt;$AR14,$D$101&lt;$AR14),0,Schweine_Werte!$M14))</f>
        <v>0</v>
      </c>
      <c r="BV14" s="730">
        <f>IF(OR($C$110=$AR14,$D$110=$AR14),Schweine_Werte!$M14*0.5,IF(OR($C$110&gt;$AR14,$D$110&lt;$AR14),0,Schweine_Werte!$M14))</f>
        <v>0</v>
      </c>
      <c r="BW14" s="730">
        <f>IF(OR(8=$AR14,$E$127=$AR14),Schweine_Werte!$M14*0.5,IF(OR(8&gt;$AR14,$E$127&lt;$AR14),0,Schweine_Werte!$M14))</f>
        <v>2.0988182677263927</v>
      </c>
      <c r="BX14" s="730">
        <f>IF(OR(8=$AR14,$E$145=$AR14),Schweine_Werte!$M14*0.5,IF(OR(8&gt;$AR14,$E$145&lt;$AR14),0,Schweine_Werte!$M14))</f>
        <v>2.0988182677263927</v>
      </c>
      <c r="BY14" s="795">
        <f>IF(OR($C$74=$AR14,$D$74=$AR14),Schweine_Werte!$O14*0.5,IF(OR($C$74&gt;$AR14,$D$74&lt;$AR14),0,Schweine_Werte!$O14))</f>
        <v>0</v>
      </c>
      <c r="BZ14" s="795">
        <f>IF(OR($C$83=$AR14,$D$83=$AR14),Schweine_Werte!$O14*0.5,IF(OR($C$83&gt;$AR14,$D$83&lt;$AR14),0,Schweine_Werte!$O14))</f>
        <v>0</v>
      </c>
      <c r="CA14" s="730">
        <f>IF(OR($C$92=$AR14,$D$92=$AR14),Schweine_Werte!$O14*0.5,IF(OR($C$92&gt;$AR14,$D$92&lt;$AR14),0,Schweine_Werte!$O14))</f>
        <v>0</v>
      </c>
      <c r="CB14" s="730">
        <f>IF(OR($C$101=$AR14,$D$101=$AR14),Schweine_Werte!$O14*0.5,IF(OR($C$101&gt;$AR14,$D$101&lt;$AR14),0,Schweine_Werte!$O14))</f>
        <v>0</v>
      </c>
      <c r="CC14" s="730">
        <f>IF(OR($C$110=$AR14,$D$110=$AR14),Schweine_Werte!$O14*0.5,IF(OR($C$110&gt;$AR14,$D$110&lt;$AR14),0,Schweine_Werte!$O14))</f>
        <v>0</v>
      </c>
    </row>
    <row r="15" spans="1:303" ht="14.4" customHeight="1" x14ac:dyDescent="0.35">
      <c r="B15" s="788"/>
      <c r="C15" s="788"/>
      <c r="D15" s="788"/>
      <c r="E15" s="788"/>
      <c r="F15" s="788"/>
      <c r="G15" s="788"/>
      <c r="H15" s="789"/>
      <c r="L15" s="129" t="s">
        <v>255</v>
      </c>
      <c r="Q15" s="1620" t="s">
        <v>7781</v>
      </c>
      <c r="R15" s="1620"/>
      <c r="S15" s="1620"/>
      <c r="T15" s="1620" t="s">
        <v>7782</v>
      </c>
      <c r="U15" s="1620"/>
      <c r="V15" s="1620"/>
      <c r="W15" t="s">
        <v>7687</v>
      </c>
      <c r="X15" t="s">
        <v>7688</v>
      </c>
      <c r="Y15" t="s">
        <v>7689</v>
      </c>
      <c r="Z15" t="s">
        <v>7783</v>
      </c>
      <c r="AG15" t="s">
        <v>7784</v>
      </c>
      <c r="AJ15" t="s">
        <v>7785</v>
      </c>
      <c r="AR15" s="793">
        <v>19</v>
      </c>
      <c r="AS15" s="794">
        <f>IF(OR($C$12=$AR15,$D$12=$AR15),Schweine_Werte!$C15*0.5,IF(OR($C$12&gt;$AR15,$D$12&lt;$AR15),0,Schweine_Werte!$C15))</f>
        <v>0</v>
      </c>
      <c r="AT15" s="794">
        <f>IF(OR($C$24=$AR15,$D$24=$AR15),Schweine_Werte!$C15*0.5,IF(OR($C$24&gt;$AR15,$D$24&lt;$AR15),0,Schweine_Werte!$C15))</f>
        <v>0</v>
      </c>
      <c r="AU15" s="794">
        <f>IF(OR($C$36=$AR15,$D$36=$AR15),Schweine_Werte!$C15*0.5,IF(OR($C$36&gt;$AR15,$D$36&lt;$AR15),0,Schweine_Werte!$C15))</f>
        <v>0</v>
      </c>
      <c r="AV15" s="794">
        <f>IF(OR($C$48=$AR15,$D$48=$AR15),Schweine_Werte!$C15*0.5,IF(OR($C$48&gt;$AR15,$D$48&lt;$AR15),0,Schweine_Werte!$C15))</f>
        <v>0</v>
      </c>
      <c r="AW15" s="794">
        <f>IF(OR($C$60=$AR15,$D$60=$AR15),Schweine_Werte!$C15*0.5,IF(OR($C$60&gt;$AR15,$D$60&lt;$AR15),0,Schweine_Werte!$C15))</f>
        <v>0</v>
      </c>
      <c r="AX15" s="794">
        <f>IF(OR($C$12=$AR15,$D$12=$AR15),Schweine_Werte!$E15*0.5,IF(OR($C$12&gt;$AR15,$D$12&lt;$AR15),0,Schweine_Werte!$E15))</f>
        <v>0</v>
      </c>
      <c r="AY15" s="794">
        <f>IF(OR($C$24=$AR15,$D$24=$AR15),Schweine_Werte!$E15*0.5,IF(OR($C$24&gt;$AR15,$D$24&lt;$AR15),0,Schweine_Werte!$E15))</f>
        <v>0</v>
      </c>
      <c r="AZ15" s="797">
        <f>IF(OR($C$36=$AR15,$D$36=$AR15),Schweine_Werte!$E15*0.5,IF(OR($C$36&gt;$AR15,$D$36&lt;$AR15),0,Schweine_Werte!$E15))</f>
        <v>0</v>
      </c>
      <c r="BA15" s="797">
        <f>IF(OR($C$48=$AR15,$D$48=$AR15),Schweine_Werte!$E15*0.5,IF(OR($C$48&gt;$AR15,$D$48&lt;$AR15),0,Schweine_Werte!$E15))</f>
        <v>0</v>
      </c>
      <c r="BB15" s="797">
        <f>IF(OR($C$60=$AR15,$D$60=$AR15),Schweine_Werte!$E15*0.5,IF(OR($C$60&gt;$AR15,$D$60&lt;$AR15),0,Schweine_Werte!$E15))</f>
        <v>0</v>
      </c>
      <c r="BC15" s="794">
        <f>IF(OR($C$12=$AR15,$D$12=$AR15),Schweine_Werte!$G15*0.5,IF(OR($C$12&gt;$AR15,$D$12&lt;$AR15),0,Schweine_Werte!$G15))</f>
        <v>0</v>
      </c>
      <c r="BD15" s="794">
        <f>IF(OR($C$24=$AR15,$D$24=$AR15),Schweine_Werte!$G15*0.5,IF(OR($C$24&gt;$AR15,$D$24&lt;$AR15),0,Schweine_Werte!$G15))</f>
        <v>0</v>
      </c>
      <c r="BE15" s="797">
        <f>IF(OR($C$36=$AR15,$D$36=$AR15),Schweine_Werte!$G15*0.5,IF(OR($C$36&gt;$AR15,$D$36&lt;$AR15),0,Schweine_Werte!$G15))</f>
        <v>0</v>
      </c>
      <c r="BF15" s="797">
        <f>IF(OR($C$48=$AR15,$D$48=$AR15),Schweine_Werte!$G15*0.5,IF(OR($C$48&gt;$AR15,$D$48&lt;$AR15),0,Schweine_Werte!$G15))</f>
        <v>0</v>
      </c>
      <c r="BG15" s="797">
        <f>IF(OR($C$60=$AR15,$D$60=$AR15),Schweine_Werte!$G15*0.5,IF(OR($C$60&gt;$AR15,$D$60&lt;$AR15),0,Schweine_Werte!$G15))</f>
        <v>0</v>
      </c>
      <c r="BH15" s="794">
        <f>IF(OR($C$12=$AR15,$D$12=$AR15),Schweine_Werte!$I15*0.5,IF(OR($C$12&gt;$AR15,$D$12&lt;$AR15),0,Schweine_Werte!$I15))</f>
        <v>0</v>
      </c>
      <c r="BI15" s="794">
        <f>IF(OR($C$24=$AR15,$D$24=$AR15),Schweine_Werte!$I15*0.5,IF(OR($C$24&gt;$AR15,$D$24&lt;$AR15),0,Schweine_Werte!$I15))</f>
        <v>0</v>
      </c>
      <c r="BJ15" s="797">
        <f>IF(OR($C$36=$AR15,$D$36=$AR15),Schweine_Werte!$I15*0.5,IF(OR($C$36&gt;$AR15,$D$36&lt;$AR15),0,Schweine_Werte!$I15))</f>
        <v>0</v>
      </c>
      <c r="BK15" s="797">
        <f>IF(OR($C$48=$AR15,$D$48=$AR15),Schweine_Werte!$I15*0.5,IF(OR($C$48&gt;$AR15,$D$48&lt;$AR15),0,Schweine_Werte!$I15))</f>
        <v>0</v>
      </c>
      <c r="BL15" s="797">
        <f>IF(OR($C$60=$AR15,$D$60=$AR15),Schweine_Werte!$I15*0.5,IF(OR($C$60&gt;$AR15,$D$60&lt;$AR15),0,Schweine_Werte!$I15))</f>
        <v>0</v>
      </c>
      <c r="BM15" s="794"/>
      <c r="BN15" s="794"/>
      <c r="BO15" s="797"/>
      <c r="BP15" s="797"/>
      <c r="BQ15" s="797"/>
      <c r="BR15" s="795">
        <f>IF(OR($C$74=$AR15,$D$74=$AR15),Schweine_Werte!$M15*0.5,IF(OR($C$74&gt;$AR15,$D$74&lt;$AR15),0,Schweine_Werte!$M15))</f>
        <v>0</v>
      </c>
      <c r="BS15" s="795">
        <f>IF(OR($C$83=$AR15,$D$83=$AR15),Schweine_Werte!$M15*0.5,IF(OR($C$83&gt;$AR15,$D$83&lt;$AR15),0,Schweine_Werte!$M15))</f>
        <v>0</v>
      </c>
      <c r="BT15" s="730">
        <f>IF(OR($C$92=$AR15,$D$92=$AR15),Schweine_Werte!$M15*0.5,IF(OR($C$92&gt;$AR15,$D$92&lt;$AR15),0,Schweine_Werte!$M15))</f>
        <v>0</v>
      </c>
      <c r="BU15" s="730">
        <f>IF(OR($C$101=$AR15,$D$101=$AR15),Schweine_Werte!$M15*0.5,IF(OR($C$101&gt;$AR15,$D$101&lt;$AR15),0,Schweine_Werte!$M15))</f>
        <v>0</v>
      </c>
      <c r="BV15" s="730">
        <f>IF(OR($C$110=$AR15,$D$110=$AR15),Schweine_Werte!$M15*0.5,IF(OR($C$110&gt;$AR15,$D$110&lt;$AR15),0,Schweine_Werte!$M15))</f>
        <v>0</v>
      </c>
      <c r="BW15" s="730">
        <f>IF(OR(8=$AR15,$E$127=$AR15),Schweine_Werte!$M15*0.5,IF(OR(8&gt;$AR15,$E$127&lt;$AR15),0,Schweine_Werte!$M15))</f>
        <v>2.0329975728926217</v>
      </c>
      <c r="BX15" s="730">
        <f>IF(OR(8=$AR15,$E$145=$AR15),Schweine_Werte!$M15*0.5,IF(OR(8&gt;$AR15,$E$145&lt;$AR15),0,Schweine_Werte!$M15))</f>
        <v>2.0329975728926217</v>
      </c>
      <c r="BY15" s="795">
        <f>IF(OR($C$74=$AR15,$D$74=$AR15),Schweine_Werte!$O15*0.5,IF(OR($C$74&gt;$AR15,$D$74&lt;$AR15),0,Schweine_Werte!$O15))</f>
        <v>0</v>
      </c>
      <c r="BZ15" s="795">
        <f>IF(OR($C$83=$AR15,$D$83=$AR15),Schweine_Werte!$O15*0.5,IF(OR($C$83&gt;$AR15,$D$83&lt;$AR15),0,Schweine_Werte!$O15))</f>
        <v>0</v>
      </c>
      <c r="CA15" s="730">
        <f>IF(OR($C$92=$AR15,$D$92=$AR15),Schweine_Werte!$O15*0.5,IF(OR($C$92&gt;$AR15,$D$92&lt;$AR15),0,Schweine_Werte!$O15))</f>
        <v>0</v>
      </c>
      <c r="CB15" s="730">
        <f>IF(OR($C$101=$AR15,$D$101=$AR15),Schweine_Werte!$O15*0.5,IF(OR($C$101&gt;$AR15,$D$101&lt;$AR15),0,Schweine_Werte!$O15))</f>
        <v>0</v>
      </c>
      <c r="CC15" s="730">
        <f>IF(OR($C$110=$AR15,$D$110=$AR15),Schweine_Werte!$O15*0.5,IF(OR($C$110&gt;$AR15,$D$110&lt;$AR15),0,Schweine_Werte!$O15))</f>
        <v>0</v>
      </c>
    </row>
    <row r="16" spans="1:303" x14ac:dyDescent="0.25">
      <c r="B16" t="s">
        <v>7699</v>
      </c>
      <c r="E16" t="s">
        <v>7700</v>
      </c>
      <c r="F16" t="s">
        <v>196</v>
      </c>
      <c r="G16" t="s">
        <v>7701</v>
      </c>
      <c r="H16" t="s">
        <v>7702</v>
      </c>
      <c r="I16" t="s">
        <v>7703</v>
      </c>
      <c r="J16" t="s">
        <v>596</v>
      </c>
      <c r="K16" t="s">
        <v>7704</v>
      </c>
      <c r="L16" s="129" t="s">
        <v>7705</v>
      </c>
      <c r="M16" t="s">
        <v>7706</v>
      </c>
      <c r="N16" t="s">
        <v>7707</v>
      </c>
      <c r="O16" t="s">
        <v>7708</v>
      </c>
      <c r="P16" t="s">
        <v>7709</v>
      </c>
      <c r="Q16" t="s">
        <v>39</v>
      </c>
      <c r="R16" t="s">
        <v>40</v>
      </c>
      <c r="S16" t="s">
        <v>41</v>
      </c>
      <c r="T16" t="s">
        <v>39</v>
      </c>
      <c r="U16" t="s">
        <v>40</v>
      </c>
      <c r="V16" t="s">
        <v>41</v>
      </c>
      <c r="AR16" s="806">
        <v>20</v>
      </c>
      <c r="AS16" s="795">
        <f>IF(OR($C$12=$AR16,$D$12=$AR16),Schweine_Werte!$C16*0.5,IF(OR($C$12&gt;$AR16,$D$12&lt;$AR16),0,Schweine_Werte!$C16))</f>
        <v>0</v>
      </c>
      <c r="AT16" s="730">
        <f>IF(OR($C$24=$AR16,$D$24=$AR16),Schweine_Werte!$C16*0.5,IF(OR($C$24&gt;$AR16,$D$24&lt;$AR16),0,Schweine_Werte!$C16))</f>
        <v>0</v>
      </c>
      <c r="AU16" s="795">
        <f>IF(OR($C$36=$AR16,$D$36=$AR16),Schweine_Werte!$C16*0.5,IF(OR($C$36&gt;$AR16,$D$36&lt;$AR16),0,Schweine_Werte!$C16))</f>
        <v>0</v>
      </c>
      <c r="AV16" s="795">
        <f>IF(OR($C$48=$AR16,$D$48=$AR16),Schweine_Werte!$C16*0.5,IF(OR($C$48&gt;$AR16,$D$48&lt;$AR16),0,Schweine_Werte!$C16))</f>
        <v>0</v>
      </c>
      <c r="AW16" s="795">
        <f>IF(OR($C$60=$AR16,$D$60=$AR16),Schweine_Werte!$C16*0.5,IF(OR($C$60&gt;$AR16,$D$60&lt;$AR16),0,Schweine_Werte!$C16))</f>
        <v>0</v>
      </c>
      <c r="AX16" s="795">
        <f>IF(OR($C$12=$AR16,$D$12=$AR16),Schweine_Werte!$E16*0.5,IF(OR($C$12&gt;$AR16,$D$12&lt;$AR16),0,Schweine_Werte!$E16))</f>
        <v>0</v>
      </c>
      <c r="AY16" s="730">
        <f>IF(OR($C$24=$AR16,$D$24=$AR16),Schweine_Werte!$E16*0.5,IF(OR($C$24&gt;$AR16,$D$24&lt;$AR16),0,Schweine_Werte!$E16))</f>
        <v>0</v>
      </c>
      <c r="AZ16" s="730">
        <f>IF(OR($C$36=$AR16,$D$36=$AR16),Schweine_Werte!$E16*0.5,IF(OR($C$36&gt;$AR16,$D$36&lt;$AR16),0,Schweine_Werte!$E16))</f>
        <v>0</v>
      </c>
      <c r="BA16" s="730">
        <f>IF(OR($C$48=$AR16,$D$48=$AR16),Schweine_Werte!$E16*0.5,IF(OR($C$48&gt;$AR16,$D$48&lt;$AR16),0,Schweine_Werte!$E16))</f>
        <v>0</v>
      </c>
      <c r="BB16" s="730">
        <f>IF(OR($C$60=$AR16,$D$60=$AR16),Schweine_Werte!$E16*0.5,IF(OR($C$60&gt;$AR16,$D$60&lt;$AR16),0,Schweine_Werte!$E16))</f>
        <v>0</v>
      </c>
      <c r="BC16" s="795">
        <f>IF(OR($C$12=$AR16,$D$12=$AR16),Schweine_Werte!$G16*0.5,IF(OR($C$12&gt;$AR16,$D$12&lt;$AR16),0,Schweine_Werte!$G16))</f>
        <v>0</v>
      </c>
      <c r="BD16" s="730">
        <f>IF(OR($C$24=$AR16,$D$24=$AR16),Schweine_Werte!$G16*0.5,IF(OR($C$24&gt;$AR16,$D$24&lt;$AR16),0,Schweine_Werte!$G16))</f>
        <v>0</v>
      </c>
      <c r="BE16" s="730">
        <f>IF(OR($C$36=$AR16,$D$36=$AR16),Schweine_Werte!$G16*0.5,IF(OR($C$36&gt;$AR16,$D$36&lt;$AR16),0,Schweine_Werte!$G16))</f>
        <v>0</v>
      </c>
      <c r="BF16" s="730">
        <f>IF(OR($C$48=$AR16,$D$48=$AR16),Schweine_Werte!$G16*0.5,IF(OR($C$48&gt;$AR16,$D$48&lt;$AR16),0,Schweine_Werte!$G16))</f>
        <v>0</v>
      </c>
      <c r="BG16" s="730">
        <f>IF(OR($C$60=$AR16,$D$60=$AR16),Schweine_Werte!$G16*0.5,IF(OR($C$60&gt;$AR16,$D$60&lt;$AR16),0,Schweine_Werte!$G16))</f>
        <v>0</v>
      </c>
      <c r="BH16" s="795">
        <f>IF(OR($C$12=$AR16,$D$12=$AR16),Schweine_Werte!$I16*0.5,IF(OR($C$12&gt;$AR16,$D$12&lt;$AR16),0,Schweine_Werte!$I16))</f>
        <v>0</v>
      </c>
      <c r="BI16" s="730">
        <f>IF(OR($C$24=$AR16,$D$24=$AR16),Schweine_Werte!$I16*0.5,IF(OR($C$24&gt;$AR16,$D$24&lt;$AR16),0,Schweine_Werte!$I16))</f>
        <v>0</v>
      </c>
      <c r="BJ16" s="730">
        <f>IF(OR($C$36=$AR16,$D$36=$AR16),Schweine_Werte!$I16*0.5,IF(OR($C$36&gt;$AR16,$D$36&lt;$AR16),0,Schweine_Werte!$I16))</f>
        <v>0</v>
      </c>
      <c r="BK16" s="730">
        <f>IF(OR($C$48=$AR16,$D$48=$AR16),Schweine_Werte!$I16*0.5,IF(OR($C$48&gt;$AR16,$D$48&lt;$AR16),0,Schweine_Werte!$I16))</f>
        <v>0</v>
      </c>
      <c r="BL16" s="730">
        <f>IF(OR($C$60=$AR16,$D$60=$AR16),Schweine_Werte!$I16*0.5,IF(OR($C$60&gt;$AR16,$D$60&lt;$AR16),0,Schweine_Werte!$I16))</f>
        <v>0</v>
      </c>
      <c r="BM16" s="795"/>
      <c r="BN16" s="730"/>
      <c r="BO16" s="730"/>
      <c r="BP16" s="730"/>
      <c r="BQ16" s="730"/>
      <c r="BR16" s="795">
        <f>IF(OR($C$74=$AR16,$D$74=$AR16),Schweine_Werte!$M16*0.5,IF(OR($C$74&gt;$AR16,$D$74&lt;$AR16),0,Schweine_Werte!$M16))</f>
        <v>0</v>
      </c>
      <c r="BS16" s="795">
        <f>IF(OR($C$83=$AR16,$D$83=$AR16),Schweine_Werte!$M16*0.5,IF(OR($C$83&gt;$AR16,$D$83&lt;$AR16),0,Schweine_Werte!$M16))</f>
        <v>0</v>
      </c>
      <c r="BT16" s="730">
        <f>IF(OR($C$92=$AR16,$D$92=$AR16),Schweine_Werte!$M16*0.5,IF(OR($C$92&gt;$AR16,$D$92&lt;$AR16),0,Schweine_Werte!$M16))</f>
        <v>0</v>
      </c>
      <c r="BU16" s="730">
        <f>IF(OR($C$101=$AR16,$D$101=$AR16),Schweine_Werte!$M16*0.5,IF(OR($C$101&gt;$AR16,$D$101&lt;$AR16),0,Schweine_Werte!$M16))</f>
        <v>0</v>
      </c>
      <c r="BV16" s="730">
        <f>IF(OR($C$110=$AR16,$D$110=$AR16),Schweine_Werte!$M16*0.5,IF(OR($C$110&gt;$AR16,$D$110&lt;$AR16),0,Schweine_Werte!$M16))</f>
        <v>0</v>
      </c>
      <c r="BW16" s="730">
        <f>IF(OR(8=$AR16,$E$127=$AR16),Schweine_Werte!$M16*0.5,IF(OR(8&gt;$AR16,$E$127&lt;$AR16),0,Schweine_Werte!$M16))</f>
        <v>1.9726458822816806</v>
      </c>
      <c r="BX16" s="730">
        <f>IF(OR(8=$AR16,$E$145=$AR16),Schweine_Werte!$M16*0.5,IF(OR(8&gt;$AR16,$E$145&lt;$AR16),0,Schweine_Werte!$M16))</f>
        <v>1.9726458822816806</v>
      </c>
      <c r="BY16" s="795">
        <f>IF(OR($C$74=$AR16,$D$74=$AR16),Schweine_Werte!$O16*0.5,IF(OR($C$74&gt;$AR16,$D$74&lt;$AR16),0,Schweine_Werte!$O16))</f>
        <v>0</v>
      </c>
      <c r="BZ16" s="795">
        <f>IF(OR($C$83=$AR16,$D$83=$AR16),Schweine_Werte!$O16*0.5,IF(OR($C$83&gt;$AR16,$D$83&lt;$AR16),0,Schweine_Werte!$O16))</f>
        <v>0</v>
      </c>
      <c r="CA16" s="730">
        <f>IF(OR($C$92=$AR16,$D$92=$AR16),Schweine_Werte!$O16*0.5,IF(OR($C$92&gt;$AR16,$D$92&lt;$AR16),0,Schweine_Werte!$O16))</f>
        <v>0</v>
      </c>
      <c r="CB16" s="730">
        <f>IF(OR($C$101=$AR16,$D$101=$AR16),Schweine_Werte!$O16*0.5,IF(OR($C$101&gt;$AR16,$D$101&lt;$AR16),0,Schweine_Werte!$O16))</f>
        <v>0</v>
      </c>
      <c r="CC16" s="730">
        <f>IF(OR($C$110=$AR16,$D$110=$AR16),Schweine_Werte!$O16*0.5,IF(OR($C$110&gt;$AR16,$D$110&lt;$AR16),0,Schweine_Werte!$O16))</f>
        <v>0</v>
      </c>
    </row>
    <row r="17" spans="1:81" x14ac:dyDescent="0.25">
      <c r="B17" s="705">
        <v>700</v>
      </c>
      <c r="D17" s="730"/>
      <c r="E17" s="730" t="e">
        <f>($D24-$C24)*1000/SUM($AT$4:$AT$146)</f>
        <v>#VALUE!</v>
      </c>
      <c r="F17" s="730" t="e">
        <f>SUMPRODUCT($AT$4:$AT$146,Schweine_Werte!$Q$4:$Q$146)/SUM($AT$4:$AT$146)</f>
        <v>#DIV/0!</v>
      </c>
      <c r="G17" s="730" t="e">
        <f>IF($B24=$A$8,SUMPRODUCT($AT$4:$AT$146,Schweine_Werte!EH$4:EH$146)/SUM($AT$4:$AT$146),IF($B24=$A$7,SUMPRODUCT($AT$4:$AT$146,Schweine_Werte!DB$4:DB$146)/SUM($AT$4:$AT$146),IF($B24=$A$6,SUMPRODUCT($AT$4:$AT$146,Schweine_Werte!BV$4:BV$146)/SUM($AT$4:$AT$146),SUMPRODUCT($AT$4:$AT$146,Schweine_Werte!AP$4:AP$146)/SUM($AT$4:$AT$146))))</f>
        <v>#DIV/0!</v>
      </c>
      <c r="H17" s="730" t="e">
        <f>IF($B24=$A$8,SUMPRODUCT($AT$4:$AT$146,Schweine_Werte!EI$4:EI$146)/SUM($AT$4:$AT$146),IF($B24=$A$7,SUMPRODUCT($AT$4:$AT$146,Schweine_Werte!DC$4:DC$146)/SUM($AT$4:$AT$146),IF($B24=$A$6,SUMPRODUCT($AT$4:$AT$146,Schweine_Werte!BW$4:BW$146)/SUM($AT$4:$AT$146),SUMPRODUCT($AT$4:$AT$146,Schweine_Werte!AQ$4:AQ$146)/SUM($AT$4:$AT$146))))</f>
        <v>#DIV/0!</v>
      </c>
      <c r="I17" s="730" t="e">
        <f>IF($B24=$A$8,SUMPRODUCT($AT$4:$AT$146,Schweine_Werte!EJ$4:EJ$146)/SUM($AT$4:$AT$146),IF($B24=$A$7,SUMPRODUCT($AT$4:$AT$146,Schweine_Werte!DD$4:DD$146)/SUM($AT$4:$AT$146),IF($B24=$A$6,SUMPRODUCT($AT$4:$AT$146,Schweine_Werte!BX$4:BX$146)/SUM($AT$4:$AT$146),SUMPRODUCT($AT$4:$AT$146,Schweine_Werte!AR$4:AR$146)/SUM($AT$4:$AT$146))))</f>
        <v>#DIV/0!</v>
      </c>
      <c r="J17" s="730" t="e">
        <f>SUMPRODUCT($AT$4:$AT$146,Schweine_Werte!$Y$4:$Y$146)/SUM($AT$4:$AT$146)</f>
        <v>#DIV/0!</v>
      </c>
      <c r="K17" s="730" t="e">
        <f>SUMPRODUCT($AT$4:$AT$146,Schweine_Werte!$AG$4:$AG$146)/SUM($AT$4:$AT$146)</f>
        <v>#DIV/0!</v>
      </c>
      <c r="L17" s="818" t="e">
        <f>T17*$F17*365/1000+$J17-$K17</f>
        <v>#DIV/0!</v>
      </c>
      <c r="M17" s="730" t="e">
        <f>U17*$F17*365/1000+$J17-$K17/2</f>
        <v>#DIV/0!</v>
      </c>
      <c r="N17" s="730" t="e">
        <f>V17*$F17*365/1000+$J17</f>
        <v>#DIV/0!</v>
      </c>
      <c r="O17" s="730">
        <f>IF($C24&lt;28,SUM($AT$4:$AT$23)+IF($D24&gt;28,$AT$24*0.5,$AT$24),0)</f>
        <v>0</v>
      </c>
      <c r="P17" s="730">
        <f>IF($D24&gt;28,SUM($AT$25:$AT$146)+IF($C24&lt;28,$AT$24*0.5,$AT$24),0)</f>
        <v>0</v>
      </c>
      <c r="Q17" s="730" t="e">
        <f t="shared" ref="Q17:S20" si="8">+T17*$F17</f>
        <v>#DIV/0!</v>
      </c>
      <c r="R17" s="730" t="e">
        <f t="shared" si="8"/>
        <v>#DIV/0!</v>
      </c>
      <c r="S17" s="730" t="e">
        <f t="shared" si="8"/>
        <v>#DIV/0!</v>
      </c>
      <c r="T17" s="730" t="e">
        <f>+($O17*Schweine_Werte!$HT$5+$P17*Schweine_Werte!$HU$5)/SUM($O17:$P17)</f>
        <v>#DIV/0!</v>
      </c>
      <c r="U17" s="730" t="e">
        <f>+($O17*Schweine_Werte!$HV$5+$P17*Schweine_Werte!$HW$5)/SUM($O17:$P17)</f>
        <v>#DIV/0!</v>
      </c>
      <c r="V17" s="730" t="e">
        <f>+($O17*Schweine_Werte!$HX$5+$P17*Schweine_Werte!$HY$5)/SUM($O17:$P17)</f>
        <v>#DIV/0!</v>
      </c>
      <c r="W17" s="785" t="e">
        <f>($J17*0.055+T17*0.365*0.86*$F17-$K17*0.018)/L17*100</f>
        <v>#DIV/0!</v>
      </c>
      <c r="X17" s="730" t="e">
        <f>($J17*0.055+U17*0.365*0.86*$F17-$K17*0.018/2)/M17*100</f>
        <v>#DIV/0!</v>
      </c>
      <c r="Y17" s="730" t="e">
        <f>($J17*0.055+V17*0.365*0.86*$F17)/N17*100</f>
        <v>#DIV/0!</v>
      </c>
      <c r="Z17" s="730" t="e">
        <f>IF($B24=$A$8,SUMPRODUCT($AT$4:$AT$146,Schweine_Werte!$EK$4:$EK$146,Schweine_Werte!$EL$4:$EL$146)/SUMPRODUCT($AT$4:$AT$146,Schweine_Werte!$EK$4:$EK$146),IF($B24=$A$7,SUMPRODUCT($AT$4:$AT$146,Schweine_Werte!$DE$4:$DE$146,Schweine_Werte!$DF$4:$DF$146)/SUMPRODUCT($AT$4:$AT$146,Schweine_Werte!$DE$4:$DE$146),IF($B24=$A$6,SUMPRODUCT($AT$4:$AT$146,Schweine_Werte!$BY$4:$BY$146,Schweine_Werte!$BZ$4:$BZ$146)/SUMPRODUCT($AT$4:$AT$146,Schweine_Werte!$BY$4:$BY$146),SUMPRODUCT($AT$4:$AT$146,Schweine_Werte!$AS$4:$AS$146,Schweine_Werte!$AT$4:$AT$146)/SUMPRODUCT($AT$4:$AT$146,Schweine_Werte!$AS$4:$AS$146))))</f>
        <v>#DIV/0!</v>
      </c>
      <c r="AA17" s="730"/>
      <c r="AB17" s="730">
        <f>IF($B24=$A$8,SUMIF(Schweine_Werte!$AO$4:$AO$146,$C24,Schweine_Werte!$EL$4:$EL$146),IF($B24=$A$7,SUMIF(Schweine_Werte!$AO$4:$AO$146,$C24,Schweine_Werte!$DF$4:$DF$146),IF($B24=$A$6,SUMIF(Schweine_Werte!$AO$4:$AO$146,$C24,Schweine_Werte!$BZ$4:$BZ$146),SUMIF(Schweine_Werte!$AO$4:$AO$146,$C24,Schweine_Werte!$AT$4:$AT$146))))</f>
        <v>0</v>
      </c>
      <c r="AC17" s="730"/>
      <c r="AD17" s="730">
        <f>IF($B24=$A$8,SUMIF(Schweine_Werte!$AO$4:$AO$146,$D24,Schweine_Werte!$EL$4:$EL$146),IF($B24=$A$7,SUMIF(Schweine_Werte!$AO$4:$AO$146,$D24,Schweine_Werte!$DF$4:$DF$146),IF($B24=$A$6,SUMIF(Schweine_Werte!$AO$4:$AO$146,$D24,Schweine_Werte!$BZ$4:$BZ$146),SUMIF(Schweine_Werte!$AO$4:$AO$146,$D24,Schweine_Werte!$AT$4:$AT$146))))</f>
        <v>0</v>
      </c>
      <c r="AE17" s="730"/>
      <c r="AF17" s="730"/>
      <c r="AG17" s="730" t="e">
        <f>IF($B24=$A$8,SUMPRODUCT($AT$4:$AT$146,Schweine_Werte!$EK$4:$EK$146)/SUM($AT$4:$AT$146),IF($B24=$A$7,SUMPRODUCT($AT$4:$AT$146,Schweine_Werte!$DE$4:$DE$146)/SUM($AT$4:$AT$146),IF($B24=$A$6,SUMPRODUCT($AT$4:$AT$146,Schweine_Werte!$BY$4:$BY$146)/SUM($AT$4:$AT$146),SUMPRODUCT($AT$4:$AT$146,Schweine_Werte!$AS$4:$AS$146)/SUM($AT$4:$AT$146))))</f>
        <v>#DIV/0!</v>
      </c>
      <c r="AH17" s="730"/>
      <c r="AI17" s="730"/>
      <c r="AJ17" s="730" t="e">
        <f>IF($B24=$A$8,SUMPRODUCT($AT$4:$AT$146,Schweine_Werte!$EK$4:$EK$146,Schweine_Werte!$EM$4:$EM$146)/SUMPRODUCT($AT$4:$AT$146,Schweine_Werte!$EK$4:$EK$146),IF($B24=$A$7,SUMPRODUCT($AT$4:$AT$146,Schweine_Werte!$DE$4:$DE$146,Schweine_Werte!$DG$4:$DG$146)/SUMPRODUCT($AT$4:$AT$146,Schweine_Werte!$DE$4:$DE$146),IF($B24=$A$6,SUMPRODUCT($AT$4:$AT$146,Schweine_Werte!$BY$4:$BY$146,Schweine_Werte!$CA$4:$CA$146)/SUMPRODUCT($AT$4:$AT$146,Schweine_Werte!$BY$4:$BY$146),SUMPRODUCT($AT$4:$AT$146,Schweine_Werte!$AS$4:$AS$146,Schweine_Werte!$AU$4:$AU$146)/SUMPRODUCT($AT$4:$AT$146,Schweine_Werte!$AS$4:$AS$146))))</f>
        <v>#DIV/0!</v>
      </c>
      <c r="AK17" s="730"/>
      <c r="AL17" s="730">
        <f>IF($B24=$A$8,SUMIF(Schweine_Werte!$AO$4:$AO$146,$C24,Schweine_Werte!$EM$4:$EM$146),IF($B24=$A$7,SUMIF(Schweine_Werte!$AO$4:$AO$146,$C24,Schweine_Werte!$DG$4:$DG$146),IF($B24=$A$6,SUMIF(Schweine_Werte!$AO$4:$AO$146,$C24,Schweine_Werte!$CA$4:$CA$146),SUMIF(Schweine_Werte!$AO$4:$AO$146,$C24,Schweine_Werte!$AU$4:$AU$146))))</f>
        <v>0</v>
      </c>
      <c r="AM17" s="730"/>
      <c r="AN17" s="730">
        <f>IF($B24=$A$8,SUMIF(Schweine_Werte!$AO$4:$AO$146,$D24,Schweine_Werte!$EM$4:$EM$146),IF($B24=$A$7,SUMIF(Schweine_Werte!$AO$4:$AO$146,$D24,Schweine_Werte!$DG$4:$DG$146),IF($B24=$A$6,SUMIF(Schweine_Werte!$AO$4:$AO$146,$D24,Schweine_Werte!$CA$4:$CA$146),SUMIF(Schweine_Werte!$AO$4:$AO$146,$D24,Schweine_Werte!$AU$4:$AU$146))))</f>
        <v>0</v>
      </c>
      <c r="AO17" s="730"/>
      <c r="AR17" s="806">
        <v>21</v>
      </c>
      <c r="AS17" s="795">
        <f>IF(OR($C$12=$AR17,$D$12=$AR17),Schweine_Werte!$C17*0.5,IF(OR($C$12&gt;$AR17,$D$12&lt;$AR17),0,Schweine_Werte!$C17))</f>
        <v>0</v>
      </c>
      <c r="AT17" s="730">
        <f>IF(OR($C$24=$AR17,$D$24=$AR17),Schweine_Werte!$C17*0.5,IF(OR($C$24&gt;$AR17,$D$24&lt;$AR17),0,Schweine_Werte!$C17))</f>
        <v>0</v>
      </c>
      <c r="AU17" s="795">
        <f>IF(OR($C$36=$AR17,$D$36=$AR17),Schweine_Werte!$C17*0.5,IF(OR($C$36&gt;$AR17,$D$36&lt;$AR17),0,Schweine_Werte!$C17))</f>
        <v>0</v>
      </c>
      <c r="AV17" s="795">
        <f>IF(OR($C$48=$AR17,$D$48=$AR17),Schweine_Werte!$C17*0.5,IF(OR($C$48&gt;$AR17,$D$48&lt;$AR17),0,Schweine_Werte!$C17))</f>
        <v>0</v>
      </c>
      <c r="AW17" s="795">
        <f>IF(OR($C$60=$AR17,$D$60=$AR17),Schweine_Werte!$C17*0.5,IF(OR($C$60&gt;$AR17,$D$60&lt;$AR17),0,Schweine_Werte!$C17))</f>
        <v>0</v>
      </c>
      <c r="AX17" s="795">
        <f>IF(OR($C$12=$AR17,$D$12=$AR17),Schweine_Werte!$E17*0.5,IF(OR($C$12&gt;$AR17,$D$12&lt;$AR17),0,Schweine_Werte!$E17))</f>
        <v>0</v>
      </c>
      <c r="AY17" s="730">
        <f>IF(OR($C$24=$AR17,$D$24=$AR17),Schweine_Werte!$E17*0.5,IF(OR($C$24&gt;$AR17,$D$24&lt;$AR17),0,Schweine_Werte!$E17))</f>
        <v>0</v>
      </c>
      <c r="AZ17" s="730">
        <f>IF(OR($C$36=$AR17,$D$36=$AR17),Schweine_Werte!$E17*0.5,IF(OR($C$36&gt;$AR17,$D$36&lt;$AR17),0,Schweine_Werte!$E17))</f>
        <v>0</v>
      </c>
      <c r="BA17" s="730">
        <f>IF(OR($C$48=$AR17,$D$48=$AR17),Schweine_Werte!$E17*0.5,IF(OR($C$48&gt;$AR17,$D$48&lt;$AR17),0,Schweine_Werte!$E17))</f>
        <v>0</v>
      </c>
      <c r="BB17" s="730">
        <f>IF(OR($C$60=$AR17,$D$60=$AR17),Schweine_Werte!$E17*0.5,IF(OR($C$60&gt;$AR17,$D$60&lt;$AR17),0,Schweine_Werte!$E17))</f>
        <v>0</v>
      </c>
      <c r="BC17" s="795">
        <f>IF(OR($C$12=$AR17,$D$12=$AR17),Schweine_Werte!$G17*0.5,IF(OR($C$12&gt;$AR17,$D$12&lt;$AR17),0,Schweine_Werte!$G17))</f>
        <v>0</v>
      </c>
      <c r="BD17" s="730">
        <f>IF(OR($C$24=$AR17,$D$24=$AR17),Schweine_Werte!$G17*0.5,IF(OR($C$24&gt;$AR17,$D$24&lt;$AR17),0,Schweine_Werte!$G17))</f>
        <v>0</v>
      </c>
      <c r="BE17" s="730">
        <f>IF(OR($C$36=$AR17,$D$36=$AR17),Schweine_Werte!$G17*0.5,IF(OR($C$36&gt;$AR17,$D$36&lt;$AR17),0,Schweine_Werte!$G17))</f>
        <v>0</v>
      </c>
      <c r="BF17" s="730">
        <f>IF(OR($C$48=$AR17,$D$48=$AR17),Schweine_Werte!$G17*0.5,IF(OR($C$48&gt;$AR17,$D$48&lt;$AR17),0,Schweine_Werte!$G17))</f>
        <v>0</v>
      </c>
      <c r="BG17" s="730">
        <f>IF(OR($C$60=$AR17,$D$60=$AR17),Schweine_Werte!$G17*0.5,IF(OR($C$60&gt;$AR17,$D$60&lt;$AR17),0,Schweine_Werte!$G17))</f>
        <v>0</v>
      </c>
      <c r="BH17" s="795">
        <f>IF(OR($C$12=$AR17,$D$12=$AR17),Schweine_Werte!$I17*0.5,IF(OR($C$12&gt;$AR17,$D$12&lt;$AR17),0,Schweine_Werte!$I17))</f>
        <v>0</v>
      </c>
      <c r="BI17" s="730">
        <f>IF(OR($C$24=$AR17,$D$24=$AR17),Schweine_Werte!$I17*0.5,IF(OR($C$24&gt;$AR17,$D$24&lt;$AR17),0,Schweine_Werte!$I17))</f>
        <v>0</v>
      </c>
      <c r="BJ17" s="730">
        <f>IF(OR($C$36=$AR17,$D$36=$AR17),Schweine_Werte!$I17*0.5,IF(OR($C$36&gt;$AR17,$D$36&lt;$AR17),0,Schweine_Werte!$I17))</f>
        <v>0</v>
      </c>
      <c r="BK17" s="730">
        <f>IF(OR($C$48=$AR17,$D$48=$AR17),Schweine_Werte!$I17*0.5,IF(OR($C$48&gt;$AR17,$D$48&lt;$AR17),0,Schweine_Werte!$I17))</f>
        <v>0</v>
      </c>
      <c r="BL17" s="730">
        <f>IF(OR($C$60=$AR17,$D$60=$AR17),Schweine_Werte!$I17*0.5,IF(OR($C$60&gt;$AR17,$D$60&lt;$AR17),0,Schweine_Werte!$I17))</f>
        <v>0</v>
      </c>
      <c r="BM17" s="795"/>
      <c r="BN17" s="730"/>
      <c r="BO17" s="730"/>
      <c r="BP17" s="730"/>
      <c r="BQ17" s="730"/>
      <c r="BR17" s="795">
        <f>IF(OR($C$74=$AR17,$D$74=$AR17),Schweine_Werte!$M17*0.5,IF(OR($C$74&gt;$AR17,$D$74&lt;$AR17),0,Schweine_Werte!$M17))</f>
        <v>0</v>
      </c>
      <c r="BS17" s="795">
        <f>IF(OR($C$83=$AR17,$D$83=$AR17),Schweine_Werte!$M17*0.5,IF(OR($C$83&gt;$AR17,$D$83&lt;$AR17),0,Schweine_Werte!$M17))</f>
        <v>0</v>
      </c>
      <c r="BT17" s="730">
        <f>IF(OR($C$92=$AR17,$D$92=$AR17),Schweine_Werte!$M17*0.5,IF(OR($C$92&gt;$AR17,$D$92&lt;$AR17),0,Schweine_Werte!$M17))</f>
        <v>0</v>
      </c>
      <c r="BU17" s="730">
        <f>IF(OR($C$101=$AR17,$D$101=$AR17),Schweine_Werte!$M17*0.5,IF(OR($C$101&gt;$AR17,$D$101&lt;$AR17),0,Schweine_Werte!$M17))</f>
        <v>0</v>
      </c>
      <c r="BV17" s="730">
        <f>IF(OR($C$110=$AR17,$D$110=$AR17),Schweine_Werte!$M17*0.5,IF(OR($C$110&gt;$AR17,$D$110&lt;$AR17),0,Schweine_Werte!$M17))</f>
        <v>0</v>
      </c>
      <c r="BW17" s="730">
        <f>IF(OR(8=$AR17,$E$127=$AR17),Schweine_Werte!$M17*0.5,IF(OR(8&gt;$AR17,$E$127&lt;$AR17),0,Schweine_Werte!$M17))</f>
        <v>1.9171696517583841</v>
      </c>
      <c r="BX17" s="730">
        <f>IF(OR(8=$AR17,$E$145=$AR17),Schweine_Werte!$M17*0.5,IF(OR(8&gt;$AR17,$E$145&lt;$AR17),0,Schweine_Werte!$M17))</f>
        <v>1.9171696517583841</v>
      </c>
      <c r="BY17" s="795">
        <f>IF(OR($C$74=$AR17,$D$74=$AR17),Schweine_Werte!$O17*0.5,IF(OR($C$74&gt;$AR17,$D$74&lt;$AR17),0,Schweine_Werte!$O17))</f>
        <v>0</v>
      </c>
      <c r="BZ17" s="795">
        <f>IF(OR($C$83=$AR17,$D$83=$AR17),Schweine_Werte!$O17*0.5,IF(OR($C$83&gt;$AR17,$D$83&lt;$AR17),0,Schweine_Werte!$O17))</f>
        <v>0</v>
      </c>
      <c r="CA17" s="730">
        <f>IF(OR($C$92=$AR17,$D$92=$AR17),Schweine_Werte!$O17*0.5,IF(OR($C$92&gt;$AR17,$D$92&lt;$AR17),0,Schweine_Werte!$O17))</f>
        <v>0</v>
      </c>
      <c r="CB17" s="730">
        <f>IF(OR($C$101=$AR17,$D$101=$AR17),Schweine_Werte!$O17*0.5,IF(OR($C$101&gt;$AR17,$D$101&lt;$AR17),0,Schweine_Werte!$O17))</f>
        <v>0</v>
      </c>
      <c r="CC17" s="730">
        <f>IF(OR($C$110=$AR17,$D$110=$AR17),Schweine_Werte!$O17*0.5,IF(OR($C$110&gt;$AR17,$D$110&lt;$AR17),0,Schweine_Werte!$O17))</f>
        <v>0</v>
      </c>
    </row>
    <row r="18" spans="1:81" x14ac:dyDescent="0.25">
      <c r="B18" s="705">
        <v>750</v>
      </c>
      <c r="D18" s="798"/>
      <c r="E18" s="730" t="e">
        <f>($D24-$C24)*1000/SUM($AY$4:$AY$146)</f>
        <v>#VALUE!</v>
      </c>
      <c r="F18" s="730" t="e">
        <f>SUMPRODUCT($AY$4:$AY$146,Schweine_Werte!$R$4:$R$146)/SUM($AY$4:$AY$146)</f>
        <v>#DIV/0!</v>
      </c>
      <c r="G18" s="730" t="e">
        <f>IF($B24=$A$8,SUMPRODUCT($AY$4:$AY$146,Schweine_Werte!EN$4:EN$146)/SUM($AY$4:$AY$146),IF($B24=$A$7,SUMPRODUCT($AY$4:$AY$146,Schweine_Werte!DH$4:DH$146)/SUM($AY$4:$AY$146),IF($B24=$A$6,SUMPRODUCT($AY$4:$AY$146,Schweine_Werte!CB$4:CB$146)/SUM($AY$4:$AY$146),SUMPRODUCT($AY$4:$AY$146,Schweine_Werte!AV$4:AV$146)/SUM($AY$4:$AY$146))))</f>
        <v>#DIV/0!</v>
      </c>
      <c r="H18" s="730" t="e">
        <f>IF($B24=$A$8,SUMPRODUCT($AY$4:$AY$146,Schweine_Werte!EO$4:EO$146)/SUM($AY$4:$AY$146),IF($B24=$A$7,SUMPRODUCT($AY$4:$AY$146,Schweine_Werte!DI$4:DI$146)/SUM($AY$4:$AY$146),IF($B24=$A$6,SUMPRODUCT($AY$4:$AY$146,Schweine_Werte!CC$4:CC$146)/SUM($AY$4:$AY$146),SUMPRODUCT($AY$4:$AY$146,Schweine_Werte!AW$4:AW$146)/SUM($AY$4:$AY$146))))</f>
        <v>#DIV/0!</v>
      </c>
      <c r="I18" s="730" t="e">
        <f>IF($B24=$A$8,SUMPRODUCT($AY$4:$AY$146,Schweine_Werte!EP$4:EP$146)/SUM($AY$4:$AY$146),IF($B24=$A$7,SUMPRODUCT($AY$4:$AY$146,Schweine_Werte!DJ$4:DJ$146)/SUM($AY$4:$AY$146),IF($B24=$A$6,SUMPRODUCT($AY$4:$AY$146,Schweine_Werte!CD$4:CD$146)/SUM($AY$4:$AY$146),SUMPRODUCT($AY$4:$AY$146,Schweine_Werte!AX$4:AX$146)/SUM($AY$4:$AY$146))))</f>
        <v>#DIV/0!</v>
      </c>
      <c r="J18" s="730" t="e">
        <f>SUMPRODUCT($AY$4:$AY$146,Schweine_Werte!$Z$4:$Z$146)/SUM($AY$4:$AY$146)</f>
        <v>#DIV/0!</v>
      </c>
      <c r="K18" s="730" t="e">
        <f>SUMPRODUCT($AY$4:$AY$146,Schweine_Werte!$AH$4:$AH$146)/SUM($AY$4:$AY$146)</f>
        <v>#DIV/0!</v>
      </c>
      <c r="L18" s="818" t="e">
        <f>T18*$F18*365/1000+$J18-$K18</f>
        <v>#DIV/0!</v>
      </c>
      <c r="M18" s="730" t="e">
        <f>U18*$F18*365/1000+$J18-$K18/2</f>
        <v>#DIV/0!</v>
      </c>
      <c r="N18" s="730" t="e">
        <f>V18*$F18*365/1000+$J18</f>
        <v>#DIV/0!</v>
      </c>
      <c r="O18" s="730">
        <f>IF($C24&lt;28,SUM($AY$4:$AY$23)+IF($D24&gt;28,$AY$24*0.5,$AY$24),0)</f>
        <v>0</v>
      </c>
      <c r="P18" s="730">
        <f>IF($D24&gt;28,SUM($AY$25:$AY$146)+IF($C24&lt;28,$AY$24*0.5,$AY$24),0)</f>
        <v>0</v>
      </c>
      <c r="Q18" s="730" t="e">
        <f t="shared" si="8"/>
        <v>#DIV/0!</v>
      </c>
      <c r="R18" s="730" t="e">
        <f t="shared" si="8"/>
        <v>#DIV/0!</v>
      </c>
      <c r="S18" s="730" t="e">
        <f t="shared" si="8"/>
        <v>#DIV/0!</v>
      </c>
      <c r="T18" s="730" t="e">
        <f>+($O18*Schweine_Werte!$HT$6+$P18*Schweine_Werte!$HU$6)/SUM($O18:$P18)</f>
        <v>#DIV/0!</v>
      </c>
      <c r="U18" s="730" t="e">
        <f>+($O18*Schweine_Werte!$HV$6+$P18*Schweine_Werte!$HW$6)/SUM($O18:$P18)</f>
        <v>#DIV/0!</v>
      </c>
      <c r="V18" s="730" t="e">
        <f>+($O18*Schweine_Werte!$HX$6+$P18*Schweine_Werte!$HY$6)/SUM($O18:$P18)</f>
        <v>#DIV/0!</v>
      </c>
      <c r="W18" s="785" t="e">
        <f>($J18*0.055+T18*0.365*0.86*$F18-$K18*0.018)/L18*100</f>
        <v>#DIV/0!</v>
      </c>
      <c r="X18" s="730" t="e">
        <f>($J18*0.055+U18*0.365*0.86*$F18-$K18*0.018/2)/M18*100</f>
        <v>#DIV/0!</v>
      </c>
      <c r="Y18" s="730" t="e">
        <f>($J18*0.055+V18*0.365*0.86*$F18)/N18*100</f>
        <v>#DIV/0!</v>
      </c>
      <c r="Z18" s="730" t="e">
        <f>IF($B24=$A$8,SUMPRODUCT($AY$4:$AY$146,Schweine_Werte!$EQ$4:$EQ$146,Schweine_Werte!$ER$4:$ER$146)/SUMPRODUCT($AY$4:$AY$146,Schweine_Werte!$EQ$4:$EQ$146),IF($B24=$A$7,SUMPRODUCT($AY$4:$AY$146,Schweine_Werte!$DK$4:$DK$146,Schweine_Werte!$DL$4:$DL$146)/SUMPRODUCT($AY$4:$AY$146,Schweine_Werte!$DK$4:$DK$146),IF($B24=$A$6,SUMPRODUCT($AY$4:$AY$146,Schweine_Werte!$CE$4:$CE$146,Schweine_Werte!$CF$4:$CF$146)/SUMPRODUCT($AY$4:$AY$146,Schweine_Werte!$CE$4:$CE$146),SUMPRODUCT($AY$4:$AY$146,Schweine_Werte!$AY$4:$AY$146,Schweine_Werte!$AZ$4:$AZ$146)/SUMPRODUCT($AY$4:$AY$146,Schweine_Werte!$AY$4:$AY$146))))</f>
        <v>#DIV/0!</v>
      </c>
      <c r="AA18" s="730"/>
      <c r="AB18" s="730">
        <f>IF($B24=$A$8,SUMIF(Schweine_Werte!$AO$4:$AO$146,$C24,Schweine_Werte!$ER$4:$ER$146),IF($B24=$A$7,SUMIF(Schweine_Werte!$AO$4:$AO$146,$C24,Schweine_Werte!$DL$4:$DL$146),IF($B24=$A$6,SUMIF(Schweine_Werte!$AO$4:$AO$146,$C24,Schweine_Werte!$CF$4:$CF$146),SUMIF(Schweine_Werte!$AO$4:$AO$146,$C24,Schweine_Werte!$AZ$4:$AZ$146))))</f>
        <v>0</v>
      </c>
      <c r="AC18" s="730"/>
      <c r="AD18" s="730">
        <f>IF($B24=$A$8,SUMIF(Schweine_Werte!$AO$4:$AO$146,$D24,Schweine_Werte!$ER$4:$ER$146),IF($B24=$A$7,SUMIF(Schweine_Werte!$AO$4:$AO$146,$D24,Schweine_Werte!$DL$4:$DL$146),IF($B24=$A$6,SUMIF(Schweine_Werte!$AO$4:$AO$146,$D24,Schweine_Werte!$CF$4:$CF$146),SUMIF(Schweine_Werte!$AO$4:$AO$146,$D24,Schweine_Werte!$AZ$4:$AZ$146))))</f>
        <v>0</v>
      </c>
      <c r="AE18" s="730"/>
      <c r="AF18" s="730"/>
      <c r="AG18" s="730" t="e">
        <f>IF($B24=$A$8,SUMPRODUCT($AY$4:$AY$146,Schweine_Werte!$EQ$4:$EQ$146)/SUM($AY$4:$AY$146),IF($B24=$A$7,SUMPRODUCT($AY$4:$AY$146,Schweine_Werte!$DK$4:$DK$146)/SUM($AY$4:$AY$146),IF($B24=$A$6,SUMPRODUCT($AY$4:$AY$146,Schweine_Werte!$CE$4:$CE$146)/SUM($AY$4:$AY$146),SUMPRODUCT($AY$4:$AY$146,Schweine_Werte!$AY$4:$AY$146)/SUM($AY$4:$AY$146))))</f>
        <v>#DIV/0!</v>
      </c>
      <c r="AH18" s="730"/>
      <c r="AI18" s="730"/>
      <c r="AJ18" s="730" t="e">
        <f>IF($B24=$A$8,SUMPRODUCT($AY$4:$AY$146,Schweine_Werte!$EQ$4:$EQ$146,Schweine_Werte!$ES$4:$ES$146)/SUMPRODUCT($AY$4:$AY$146,Schweine_Werte!$EQ$4:$EQ$146),IF($B24=$A$7,SUMPRODUCT($AY$4:$AY$146,Schweine_Werte!$DK$4:$DK$146,Schweine_Werte!$DM$4:$DM$146)/SUMPRODUCT($AY$4:$AY$146,Schweine_Werte!$DK$4:$DK$146),IF($B24=$A$6,SUMPRODUCT($AY$4:$AY$146,Schweine_Werte!$CE$4:$CE$146,Schweine_Werte!$CG$4:$CG$146)/SUMPRODUCT($AY$4:$AY$146,Schweine_Werte!$CE$4:$CE$146),SUMPRODUCT($AY$4:$AY$146,Schweine_Werte!$AY$4:$AY$146,Schweine_Werte!$BA$4:$BA$146)/SUMPRODUCT($AY$4:$AY$146,Schweine_Werte!$AY$4:$AY$146))))</f>
        <v>#DIV/0!</v>
      </c>
      <c r="AK18" s="730"/>
      <c r="AL18" s="730">
        <f>IF($B24=$A$8,SUMIF(Schweine_Werte!$AO$4:$AO$146,$C24,Schweine_Werte!$ES$4:$ES$146),IF($B24=$A$7,SUMIF(Schweine_Werte!$AO$4:$AO$146,$C24,Schweine_Werte!$DM$4:$DM$146),IF($B24=$A$6,SUMIF(Schweine_Werte!$AO$4:$AO$146,$C24,Schweine_Werte!$CG$4:$CG$146),SUMIF(Schweine_Werte!$AO$4:$AO$146,$C24,Schweine_Werte!$BA$4:$BA$146))))</f>
        <v>0</v>
      </c>
      <c r="AM18" s="730"/>
      <c r="AN18" s="730">
        <f>IF($B24=$A$8,SUMIF(Schweine_Werte!$AO$4:$AO$146,$D24,Schweine_Werte!$ES$4:$ES$146),IF($B24=$A$7,SUMIF(Schweine_Werte!$AO$4:$AO$146,$D24,Schweine_Werte!$DM$4:$DM$146),IF($B24=$A$6,SUMIF(Schweine_Werte!$AO$4:$AO$146,$D24,Schweine_Werte!$CG$4:$CG$146),SUMIF(Schweine_Werte!$AO$4:$AO$146,$D24,Schweine_Werte!$BA$4:$BA$146))))</f>
        <v>0</v>
      </c>
      <c r="AO18" s="730"/>
      <c r="AR18" s="806">
        <v>22</v>
      </c>
      <c r="AS18" s="795">
        <f>IF(OR($C$12=$AR18,$D$12=$AR18),Schweine_Werte!$C18*0.5,IF(OR($C$12&gt;$AR18,$D$12&lt;$AR18),0,Schweine_Werte!$C18))</f>
        <v>0</v>
      </c>
      <c r="AT18" s="730">
        <f>IF(OR($C$24=$AR18,$D$24=$AR18),Schweine_Werte!$C18*0.5,IF(OR($C$24&gt;$AR18,$D$24&lt;$AR18),0,Schweine_Werte!$C18))</f>
        <v>0</v>
      </c>
      <c r="AU18" s="795">
        <f>IF(OR($C$36=$AR18,$D$36=$AR18),Schweine_Werte!$C18*0.5,IF(OR($C$36&gt;$AR18,$D$36&lt;$AR18),0,Schweine_Werte!$C18))</f>
        <v>0</v>
      </c>
      <c r="AV18" s="795">
        <f>IF(OR($C$48=$AR18,$D$48=$AR18),Schweine_Werte!$C18*0.5,IF(OR($C$48&gt;$AR18,$D$48&lt;$AR18),0,Schweine_Werte!$C18))</f>
        <v>0</v>
      </c>
      <c r="AW18" s="795">
        <f>IF(OR($C$60=$AR18,$D$60=$AR18),Schweine_Werte!$C18*0.5,IF(OR($C$60&gt;$AR18,$D$60&lt;$AR18),0,Schweine_Werte!$C18))</f>
        <v>0</v>
      </c>
      <c r="AX18" s="795">
        <f>IF(OR($C$12=$AR18,$D$12=$AR18),Schweine_Werte!$E18*0.5,IF(OR($C$12&gt;$AR18,$D$12&lt;$AR18),0,Schweine_Werte!$E18))</f>
        <v>0</v>
      </c>
      <c r="AY18" s="730">
        <f>IF(OR($C$24=$AR18,$D$24=$AR18),Schweine_Werte!$E18*0.5,IF(OR($C$24&gt;$AR18,$D$24&lt;$AR18),0,Schweine_Werte!$E18))</f>
        <v>0</v>
      </c>
      <c r="AZ18" s="730">
        <f>IF(OR($C$36=$AR18,$D$36=$AR18),Schweine_Werte!$E18*0.5,IF(OR($C$36&gt;$AR18,$D$36&lt;$AR18),0,Schweine_Werte!$E18))</f>
        <v>0</v>
      </c>
      <c r="BA18" s="730">
        <f>IF(OR($C$48=$AR18,$D$48=$AR18),Schweine_Werte!$E18*0.5,IF(OR($C$48&gt;$AR18,$D$48&lt;$AR18),0,Schweine_Werte!$E18))</f>
        <v>0</v>
      </c>
      <c r="BB18" s="730">
        <f>IF(OR($C$60=$AR18,$D$60=$AR18),Schweine_Werte!$E18*0.5,IF(OR($C$60&gt;$AR18,$D$60&lt;$AR18),0,Schweine_Werte!$E18))</f>
        <v>0</v>
      </c>
      <c r="BC18" s="795">
        <f>IF(OR($C$12=$AR18,$D$12=$AR18),Schweine_Werte!$G18*0.5,IF(OR($C$12&gt;$AR18,$D$12&lt;$AR18),0,Schweine_Werte!$G18))</f>
        <v>0</v>
      </c>
      <c r="BD18" s="730">
        <f>IF(OR($C$24=$AR18,$D$24=$AR18),Schweine_Werte!$G18*0.5,IF(OR($C$24&gt;$AR18,$D$24&lt;$AR18),0,Schweine_Werte!$G18))</f>
        <v>0</v>
      </c>
      <c r="BE18" s="730">
        <f>IF(OR($C$36=$AR18,$D$36=$AR18),Schweine_Werte!$G18*0.5,IF(OR($C$36&gt;$AR18,$D$36&lt;$AR18),0,Schweine_Werte!$G18))</f>
        <v>0</v>
      </c>
      <c r="BF18" s="730">
        <f>IF(OR($C$48=$AR18,$D$48=$AR18),Schweine_Werte!$G18*0.5,IF(OR($C$48&gt;$AR18,$D$48&lt;$AR18),0,Schweine_Werte!$G18))</f>
        <v>0</v>
      </c>
      <c r="BG18" s="730">
        <f>IF(OR($C$60=$AR18,$D$60=$AR18),Schweine_Werte!$G18*0.5,IF(OR($C$60&gt;$AR18,$D$60&lt;$AR18),0,Schweine_Werte!$G18))</f>
        <v>0</v>
      </c>
      <c r="BH18" s="795">
        <f>IF(OR($C$12=$AR18,$D$12=$AR18),Schweine_Werte!$I18*0.5,IF(OR($C$12&gt;$AR18,$D$12&lt;$AR18),0,Schweine_Werte!$I18))</f>
        <v>0</v>
      </c>
      <c r="BI18" s="730">
        <f>IF(OR($C$24=$AR18,$D$24=$AR18),Schweine_Werte!$I18*0.5,IF(OR($C$24&gt;$AR18,$D$24&lt;$AR18),0,Schweine_Werte!$I18))</f>
        <v>0</v>
      </c>
      <c r="BJ18" s="730">
        <f>IF(OR($C$36=$AR18,$D$36=$AR18),Schweine_Werte!$I18*0.5,IF(OR($C$36&gt;$AR18,$D$36&lt;$AR18),0,Schweine_Werte!$I18))</f>
        <v>0</v>
      </c>
      <c r="BK18" s="730">
        <f>IF(OR($C$48=$AR18,$D$48=$AR18),Schweine_Werte!$I18*0.5,IF(OR($C$48&gt;$AR18,$D$48&lt;$AR18),0,Schweine_Werte!$I18))</f>
        <v>0</v>
      </c>
      <c r="BL18" s="730">
        <f>IF(OR($C$60=$AR18,$D$60=$AR18),Schweine_Werte!$I18*0.5,IF(OR($C$60&gt;$AR18,$D$60&lt;$AR18),0,Schweine_Werte!$I18))</f>
        <v>0</v>
      </c>
      <c r="BM18" s="795"/>
      <c r="BN18" s="730"/>
      <c r="BO18" s="730"/>
      <c r="BP18" s="730"/>
      <c r="BQ18" s="730"/>
      <c r="BR18" s="795">
        <f>IF(OR($C$74=$AR18,$D$74=$AR18),Schweine_Werte!$M18*0.5,IF(OR($C$74&gt;$AR18,$D$74&lt;$AR18),0,Schweine_Werte!$M18))</f>
        <v>0</v>
      </c>
      <c r="BS18" s="795">
        <f>IF(OR($C$83=$AR18,$D$83=$AR18),Schweine_Werte!$M18*0.5,IF(OR($C$83&gt;$AR18,$D$83&lt;$AR18),0,Schweine_Werte!$M18))</f>
        <v>0</v>
      </c>
      <c r="BT18" s="730">
        <f>IF(OR($C$92=$AR18,$D$92=$AR18),Schweine_Werte!$M18*0.5,IF(OR($C$92&gt;$AR18,$D$92&lt;$AR18),0,Schweine_Werte!$M18))</f>
        <v>0</v>
      </c>
      <c r="BU18" s="730">
        <f>IF(OR($C$101=$AR18,$D$101=$AR18),Schweine_Werte!$M18*0.5,IF(OR($C$101&gt;$AR18,$D$101&lt;$AR18),0,Schweine_Werte!$M18))</f>
        <v>0</v>
      </c>
      <c r="BV18" s="730">
        <f>IF(OR($C$110=$AR18,$D$110=$AR18),Schweine_Werte!$M18*0.5,IF(OR($C$110&gt;$AR18,$D$110&lt;$AR18),0,Schweine_Werte!$M18))</f>
        <v>0</v>
      </c>
      <c r="BW18" s="730">
        <f>IF(OR(8=$AR18,$E$127=$AR18),Schweine_Werte!$M18*0.5,IF(OR(8&gt;$AR18,$E$127&lt;$AR18),0,Schweine_Werte!$M18))</f>
        <v>1.8660590635640175</v>
      </c>
      <c r="BX18" s="730">
        <f>IF(OR(8=$AR18,$E$145=$AR18),Schweine_Werte!$M18*0.5,IF(OR(8&gt;$AR18,$E$145&lt;$AR18),0,Schweine_Werte!$M18))</f>
        <v>1.8660590635640175</v>
      </c>
      <c r="BY18" s="795">
        <f>IF(OR($C$74=$AR18,$D$74=$AR18),Schweine_Werte!$O18*0.5,IF(OR($C$74&gt;$AR18,$D$74&lt;$AR18),0,Schweine_Werte!$O18))</f>
        <v>0</v>
      </c>
      <c r="BZ18" s="795">
        <f>IF(OR($C$83=$AR18,$D$83=$AR18),Schweine_Werte!$O18*0.5,IF(OR($C$83&gt;$AR18,$D$83&lt;$AR18),0,Schweine_Werte!$O18))</f>
        <v>0</v>
      </c>
      <c r="CA18" s="730">
        <f>IF(OR($C$92=$AR18,$D$92=$AR18),Schweine_Werte!$O18*0.5,IF(OR($C$92&gt;$AR18,$D$92&lt;$AR18),0,Schweine_Werte!$O18))</f>
        <v>0</v>
      </c>
      <c r="CB18" s="730">
        <f>IF(OR($C$101=$AR18,$D$101=$AR18),Schweine_Werte!$O18*0.5,IF(OR($C$101&gt;$AR18,$D$101&lt;$AR18),0,Schweine_Werte!$O18))</f>
        <v>0</v>
      </c>
      <c r="CC18" s="730">
        <f>IF(OR($C$110=$AR18,$D$110=$AR18),Schweine_Werte!$O18*0.5,IF(OR($C$110&gt;$AR18,$D$110&lt;$AR18),0,Schweine_Werte!$O18))</f>
        <v>0</v>
      </c>
    </row>
    <row r="19" spans="1:81" x14ac:dyDescent="0.25">
      <c r="B19" s="705">
        <v>850</v>
      </c>
      <c r="D19" s="730"/>
      <c r="E19" s="730" t="e">
        <f>($D24-$C24)*1000/SUM($BD$4:$BD$146)</f>
        <v>#VALUE!</v>
      </c>
      <c r="F19" s="730" t="e">
        <f>SUMPRODUCT($BD$4:$BD$146,Schweine_Werte!$S$4:$S$146)/SUM($BD$4:$BD$146)</f>
        <v>#DIV/0!</v>
      </c>
      <c r="G19" s="730" t="e">
        <f>IF($B24=$A$8,SUMPRODUCT($BD$4:$BD$146,Schweine_Werte!ET$4:ET$146)/SUM($BD$4:$BD$146),IF($B24=$A$7,SUMPRODUCT($BD$4:$BD$146,Schweine_Werte!DN$4:DN$146)/SUM($BD$4:$BD$146),IF($B24=$A$6,SUMPRODUCT($BD$4:$BD$146,Schweine_Werte!CH$4:CH$146)/SUM($BD$4:$BD$146),SUMPRODUCT($BD$4:$BD$146,Schweine_Werte!BB$4:BB$146)/SUM($BD$4:$BD$146))))</f>
        <v>#DIV/0!</v>
      </c>
      <c r="H19" s="730" t="e">
        <f>IF($B24=$A$8,SUMPRODUCT($BD$4:$BD$146,Schweine_Werte!EU$4:EU$146)/SUM($BD$4:$BD$146),IF($B24=$A$7,SUMPRODUCT($BD$4:$BD$146,Schweine_Werte!DO$4:DO$146)/SUM($BD$4:$BD$146),IF($B24=$A$6,SUMPRODUCT($BD$4:$BD$146,Schweine_Werte!CI$4:CI$146)/SUM($BD$4:$BD$146),SUMPRODUCT($BD$4:$BD$146,Schweine_Werte!BC$4:BC$146)/SUM($BD$4:$BD$146))))</f>
        <v>#DIV/0!</v>
      </c>
      <c r="I19" s="730" t="e">
        <f>IF($B24=$A$8,SUMPRODUCT($BD$4:$BD$146,Schweine_Werte!EV$4:EV$146)/SUM($BD$4:$BD$146),IF($B24=$A$7,SUMPRODUCT($BD$4:$BD$146,Schweine_Werte!DP$4:DP$146)/SUM($BD$4:$BD$146),IF($B24=$A$6,SUMPRODUCT($BD$4:$BD$146,Schweine_Werte!CJ$4:CJ$146)/SUM($BD$4:$BD$146),SUMPRODUCT($BD$4:$BD$146,Schweine_Werte!BD$4:BD$146)/SUM($BD$4:$BD$146))))</f>
        <v>#DIV/0!</v>
      </c>
      <c r="J19" s="730" t="e">
        <f>SUMPRODUCT($BD$4:$BD$146,Schweine_Werte!$AA$4:$AA$146)/SUM($BD$4:$BD$146)</f>
        <v>#DIV/0!</v>
      </c>
      <c r="K19" s="730" t="e">
        <f>SUMPRODUCT($BD$4:$BD$146,Schweine_Werte!$AI$4:$AI$146)/SUM($BD$4:$BD$146)</f>
        <v>#DIV/0!</v>
      </c>
      <c r="L19" s="818" t="e">
        <f>T19*$F19*365/1000+$J19-$K19</f>
        <v>#DIV/0!</v>
      </c>
      <c r="M19" s="730" t="e">
        <f>U19*$F19*365/1000+$J19-$K19/2</f>
        <v>#DIV/0!</v>
      </c>
      <c r="N19" s="730" t="e">
        <f>V19*$F19*365/1000+$J19</f>
        <v>#DIV/0!</v>
      </c>
      <c r="O19" s="730">
        <f>IF($C24&lt;28,SUM($BD$4:$BD$23)+IF($D24&gt;28,$BD$24*0.5,$BD$24),0)</f>
        <v>0</v>
      </c>
      <c r="P19" s="730">
        <f>IF($D24&gt;28,SUM($BD$25:$BD$146)+IF($C24&lt;28,$BD$24*0.5,$BD$24),0)</f>
        <v>0</v>
      </c>
      <c r="Q19" s="730" t="e">
        <f t="shared" si="8"/>
        <v>#DIV/0!</v>
      </c>
      <c r="R19" s="730" t="e">
        <f t="shared" si="8"/>
        <v>#DIV/0!</v>
      </c>
      <c r="S19" s="730" t="e">
        <f t="shared" si="8"/>
        <v>#DIV/0!</v>
      </c>
      <c r="T19" s="730" t="e">
        <f>+($O19*Schweine_Werte!$HT$7+$P19*Schweine_Werte!$HU$7)/SUM($O19:$P19)</f>
        <v>#DIV/0!</v>
      </c>
      <c r="U19" s="730" t="e">
        <f>+($O19*Schweine_Werte!$HV$7+$P19*Schweine_Werte!$HW$7)/SUM($O19:$P19)</f>
        <v>#DIV/0!</v>
      </c>
      <c r="V19" s="730" t="e">
        <f>+($O19*Schweine_Werte!$HX$7+$P19*Schweine_Werte!$HY$7)/SUM($O19:$P19)</f>
        <v>#DIV/0!</v>
      </c>
      <c r="W19" s="730" t="e">
        <f>($J19*0.055+T19*0.365*0.86*$F19-$K19*0.018)/L19*100</f>
        <v>#DIV/0!</v>
      </c>
      <c r="X19" s="730" t="e">
        <f>($J19*0.055+U19*0.365*0.86*$F19-$K19*0.018/2)/M19*100</f>
        <v>#DIV/0!</v>
      </c>
      <c r="Y19" s="730" t="e">
        <f>($J19*0.055+V19*0.365*0.86*$F19)/N19*100</f>
        <v>#DIV/0!</v>
      </c>
      <c r="Z19" s="730" t="e">
        <f>IF($B24=$A$8,SUMPRODUCT($BD$4:$BD$146,Schweine_Werte!$EW$4:$EW$146,Schweine_Werte!$EX$4:$EX$146)/SUMPRODUCT($BD$4:$BD$146,Schweine_Werte!$EW$4:$EW$146),IF($B24=$A$7,SUMPRODUCT($BD$4:$BD$146,Schweine_Werte!$DQ$4:$DQ$146,Schweine_Werte!$DR$4:$DR$146)/SUMPRODUCT($BD$4:$BD$146,Schweine_Werte!$DQ$4:$DQ$146),IF($B24=$A$6,SUMPRODUCT($BD$4:$BD$146,Schweine_Werte!$CK$4:$CK$146,Schweine_Werte!$CL$4:$CL$146)/SUMPRODUCT($BD$4:$BD$146,Schweine_Werte!$CK$4:$CK$146),SUMPRODUCT($BD$4:$BD$146,Schweine_Werte!$BE$4:$BE$146,Schweine_Werte!$BF$4:$BF$146)/SUMPRODUCT($BD$4:$BD$146,Schweine_Werte!$BE$4:$BE$146))))</f>
        <v>#DIV/0!</v>
      </c>
      <c r="AA19" s="730"/>
      <c r="AB19" s="730">
        <f>IF($B24=$A$8,SUMIF(Schweine_Werte!$AO$4:$AO$146,$C24,Schweine_Werte!$EX$4:$EX$146),IF($B24=$A$7,SUMIF(Schweine_Werte!$AO$4:$AO$146,$C24,Schweine_Werte!$DR$4:$DR$146),IF($B24=$A$6,SUMIF(Schweine_Werte!$AO$4:$AO$146,$C24,Schweine_Werte!$CL$4:$CL$146),SUMIF(Schweine_Werte!$AO$4:$AO$146,$C24,Schweine_Werte!$BF$4:$BF$146))))</f>
        <v>0</v>
      </c>
      <c r="AC19" s="730"/>
      <c r="AD19" s="730">
        <f>IF($B24=$A$8,SUMIF(Schweine_Werte!$AO$4:$AO$146,$D24,Schweine_Werte!$EX$4:$EX$146),IF($B24=$A$7,SUMIF(Schweine_Werte!$AO$4:$AO$146,$D24,Schweine_Werte!$DR$4:$DR$146),IF($B24=$A$6,SUMIF(Schweine_Werte!$AO$4:$AO$146,$D24,Schweine_Werte!$CL$4:$CL$146),SUMIF(Schweine_Werte!$AO$4:$AO$146,$D24,Schweine_Werte!$BF$4:$BF$146))))</f>
        <v>0</v>
      </c>
      <c r="AE19" s="730"/>
      <c r="AF19" s="730"/>
      <c r="AG19" s="730" t="e">
        <f>IF($B24=$A$8,SUMPRODUCT($BD$4:$BD$146,Schweine_Werte!$EW$4:$EW$146)/SUM($BD$4:$BD$146),IF($B24=$A$7,SUMPRODUCT($BD$4:$BD$146,Schweine_Werte!$DQ$4:$DQ$146)/SUM($BD$4:$BD$146),IF($B24=$A$6,SUMPRODUCT($BD$4:$BD$146,Schweine_Werte!$CK$4:$CK$146)/SUM($BD$4:$BD$146),SUMPRODUCT($BD$4:$BD$146,Schweine_Werte!$BE$4:$BE$146)/SUM($BD$4:$BD$146))))</f>
        <v>#DIV/0!</v>
      </c>
      <c r="AH19" s="730"/>
      <c r="AI19" s="730"/>
      <c r="AJ19" s="730" t="e">
        <f>IF($B24=$A$8,SUMPRODUCT($BD$4:$BD$146,Schweine_Werte!$EW$4:$EW$146,Schweine_Werte!$EY$4:$EY$146)/SUMPRODUCT($BD$4:$BD$146,Schweine_Werte!$EW$4:$EW$146),IF($B24=$A$7,SUMPRODUCT($BD$4:$BD$146,Schweine_Werte!$DQ$4:$DQ$146,Schweine_Werte!$DS$4:$DS$146)/SUMPRODUCT($BD$4:$BD$146,Schweine_Werte!$DQ$4:$DQ$146),IF($B24=$A$6,SUMPRODUCT($BD$4:$BD$146,Schweine_Werte!$CK$4:$CK$146,Schweine_Werte!$CM$4:$CM$146)/SUMPRODUCT($BD$4:$BD$146,Schweine_Werte!$CK$4:$CK$146),SUMPRODUCT($BD$4:$BD$146,Schweine_Werte!$BE$4:$BE$146,Schweine_Werte!$BG$4:$BG$146)/SUMPRODUCT($BD$4:$BD$146,Schweine_Werte!$BE$4:$BE$146))))</f>
        <v>#DIV/0!</v>
      </c>
      <c r="AK19" s="730"/>
      <c r="AL19" s="730">
        <f>IF($B24=$A$8,SUMIF(Schweine_Werte!$AO$4:$AO$146,$C24,Schweine_Werte!$EY$4:$EY$146),IF($B24=$A$7,SUMIF(Schweine_Werte!$AO$4:$AO$146,$C24,Schweine_Werte!$DS$4:$DS$146),IF($B24=$A$6,SUMIF(Schweine_Werte!$AO$4:$AO$146,$C24,Schweine_Werte!$CM$4:$CM$146),SUMIF(Schweine_Werte!$AO$4:$AO$146,$C24,Schweine_Werte!$BG$4:$BG$146))))</f>
        <v>0</v>
      </c>
      <c r="AM19" s="730"/>
      <c r="AN19" s="730">
        <f>IF($B24=$A$8,SUMIF(Schweine_Werte!$AO$4:$AO$146,$D24,Schweine_Werte!$EY$4:$EY$146),IF($B24=$A$7,SUMIF(Schweine_Werte!$AO$4:$AO$146,$D24,Schweine_Werte!$DS$4:$DS$146),IF($B24=$A$6,SUMIF(Schweine_Werte!$AO$4:$AO$146,$D24,Schweine_Werte!$CM$4:$CM$146),SUMIF(Schweine_Werte!$AO$4:$AO$146,$D24,Schweine_Werte!$BG$4:$BG$146))))</f>
        <v>0</v>
      </c>
      <c r="AO19" s="730"/>
      <c r="AR19" s="806">
        <v>23</v>
      </c>
      <c r="AS19" s="795">
        <f>IF(OR($C$12=$AR19,$D$12=$AR19),Schweine_Werte!$C19*0.5,IF(OR($C$12&gt;$AR19,$D$12&lt;$AR19),0,Schweine_Werte!$C19))</f>
        <v>0</v>
      </c>
      <c r="AT19" s="730">
        <f>IF(OR($C$24=$AR19,$D$24=$AR19),Schweine_Werte!$C19*0.5,IF(OR($C$24&gt;$AR19,$D$24&lt;$AR19),0,Schweine_Werte!$C19))</f>
        <v>0</v>
      </c>
      <c r="AU19" s="795">
        <f>IF(OR($C$36=$AR19,$D$36=$AR19),Schweine_Werte!$C19*0.5,IF(OR($C$36&gt;$AR19,$D$36&lt;$AR19),0,Schweine_Werte!$C19))</f>
        <v>0</v>
      </c>
      <c r="AV19" s="795">
        <f>IF(OR($C$48=$AR19,$D$48=$AR19),Schweine_Werte!$C19*0.5,IF(OR($C$48&gt;$AR19,$D$48&lt;$AR19),0,Schweine_Werte!$C19))</f>
        <v>0</v>
      </c>
      <c r="AW19" s="795">
        <f>IF(OR($C$60=$AR19,$D$60=$AR19),Schweine_Werte!$C19*0.5,IF(OR($C$60&gt;$AR19,$D$60&lt;$AR19),0,Schweine_Werte!$C19))</f>
        <v>0</v>
      </c>
      <c r="AX19" s="795">
        <f>IF(OR($C$12=$AR19,$D$12=$AR19),Schweine_Werte!$E19*0.5,IF(OR($C$12&gt;$AR19,$D$12&lt;$AR19),0,Schweine_Werte!$E19))</f>
        <v>0</v>
      </c>
      <c r="AY19" s="730">
        <f>IF(OR($C$24=$AR19,$D$24=$AR19),Schweine_Werte!$E19*0.5,IF(OR($C$24&gt;$AR19,$D$24&lt;$AR19),0,Schweine_Werte!$E19))</f>
        <v>0</v>
      </c>
      <c r="AZ19" s="730">
        <f>IF(OR($C$36=$AR19,$D$36=$AR19),Schweine_Werte!$E19*0.5,IF(OR($C$36&gt;$AR19,$D$36&lt;$AR19),0,Schweine_Werte!$E19))</f>
        <v>0</v>
      </c>
      <c r="BA19" s="730">
        <f>IF(OR($C$48=$AR19,$D$48=$AR19),Schweine_Werte!$E19*0.5,IF(OR($C$48&gt;$AR19,$D$48&lt;$AR19),0,Schweine_Werte!$E19))</f>
        <v>0</v>
      </c>
      <c r="BB19" s="730">
        <f>IF(OR($C$60=$AR19,$D$60=$AR19),Schweine_Werte!$E19*0.5,IF(OR($C$60&gt;$AR19,$D$60&lt;$AR19),0,Schweine_Werte!$E19))</f>
        <v>0</v>
      </c>
      <c r="BC19" s="795">
        <f>IF(OR($C$12=$AR19,$D$12=$AR19),Schweine_Werte!$G19*0.5,IF(OR($C$12&gt;$AR19,$D$12&lt;$AR19),0,Schweine_Werte!$G19))</f>
        <v>0</v>
      </c>
      <c r="BD19" s="730">
        <f>IF(OR($C$24=$AR19,$D$24=$AR19),Schweine_Werte!$G19*0.5,IF(OR($C$24&gt;$AR19,$D$24&lt;$AR19),0,Schweine_Werte!$G19))</f>
        <v>0</v>
      </c>
      <c r="BE19" s="730">
        <f>IF(OR($C$36=$AR19,$D$36=$AR19),Schweine_Werte!$G19*0.5,IF(OR($C$36&gt;$AR19,$D$36&lt;$AR19),0,Schweine_Werte!$G19))</f>
        <v>0</v>
      </c>
      <c r="BF19" s="730">
        <f>IF(OR($C$48=$AR19,$D$48=$AR19),Schweine_Werte!$G19*0.5,IF(OR($C$48&gt;$AR19,$D$48&lt;$AR19),0,Schweine_Werte!$G19))</f>
        <v>0</v>
      </c>
      <c r="BG19" s="730">
        <f>IF(OR($C$60=$AR19,$D$60=$AR19),Schweine_Werte!$G19*0.5,IF(OR($C$60&gt;$AR19,$D$60&lt;$AR19),0,Schweine_Werte!$G19))</f>
        <v>0</v>
      </c>
      <c r="BH19" s="795">
        <f>IF(OR($C$12=$AR19,$D$12=$AR19),Schweine_Werte!$I19*0.5,IF(OR($C$12&gt;$AR19,$D$12&lt;$AR19),0,Schweine_Werte!$I19))</f>
        <v>0</v>
      </c>
      <c r="BI19" s="730">
        <f>IF(OR($C$24=$AR19,$D$24=$AR19),Schweine_Werte!$I19*0.5,IF(OR($C$24&gt;$AR19,$D$24&lt;$AR19),0,Schweine_Werte!$I19))</f>
        <v>0</v>
      </c>
      <c r="BJ19" s="730">
        <f>IF(OR($C$36=$AR19,$D$36=$AR19),Schweine_Werte!$I19*0.5,IF(OR($C$36&gt;$AR19,$D$36&lt;$AR19),0,Schweine_Werte!$I19))</f>
        <v>0</v>
      </c>
      <c r="BK19" s="730">
        <f>IF(OR($C$48=$AR19,$D$48=$AR19),Schweine_Werte!$I19*0.5,IF(OR($C$48&gt;$AR19,$D$48&lt;$AR19),0,Schweine_Werte!$I19))</f>
        <v>0</v>
      </c>
      <c r="BL19" s="730">
        <f>IF(OR($C$60=$AR19,$D$60=$AR19),Schweine_Werte!$I19*0.5,IF(OR($C$60&gt;$AR19,$D$60&lt;$AR19),0,Schweine_Werte!$I19))</f>
        <v>0</v>
      </c>
      <c r="BM19" s="795"/>
      <c r="BN19" s="730"/>
      <c r="BO19" s="730"/>
      <c r="BP19" s="730"/>
      <c r="BQ19" s="730"/>
      <c r="BR19" s="795">
        <f>IF(OR($C$74=$AR19,$D$74=$AR19),Schweine_Werte!$M19*0.5,IF(OR($C$74&gt;$AR19,$D$74&lt;$AR19),0,Schweine_Werte!$M19))</f>
        <v>0</v>
      </c>
      <c r="BS19" s="795">
        <f>IF(OR($C$83=$AR19,$D$83=$AR19),Schweine_Werte!$M19*0.5,IF(OR($C$83&gt;$AR19,$D$83&lt;$AR19),0,Schweine_Werte!$M19))</f>
        <v>0</v>
      </c>
      <c r="BT19" s="730">
        <f>IF(OR($C$92=$AR19,$D$92=$AR19),Schweine_Werte!$M19*0.5,IF(OR($C$92&gt;$AR19,$D$92&lt;$AR19),0,Schweine_Werte!$M19))</f>
        <v>0</v>
      </c>
      <c r="BU19" s="730">
        <f>IF(OR($C$101=$AR19,$D$101=$AR19),Schweine_Werte!$M19*0.5,IF(OR($C$101&gt;$AR19,$D$101&lt;$AR19),0,Schweine_Werte!$M19))</f>
        <v>0</v>
      </c>
      <c r="BV19" s="730">
        <f>IF(OR($C$110=$AR19,$D$110=$AR19),Schweine_Werte!$M19*0.5,IF(OR($C$110&gt;$AR19,$D$110&lt;$AR19),0,Schweine_Werte!$M19))</f>
        <v>0</v>
      </c>
      <c r="BW19" s="730">
        <f>IF(OR(8=$AR19,$E$127=$AR19),Schweine_Werte!$M19*0.5,IF(OR(8&gt;$AR19,$E$127&lt;$AR19),0,Schweine_Werte!$M19))</f>
        <v>1.8188737966224373</v>
      </c>
      <c r="BX19" s="730">
        <f>IF(OR(8=$AR19,$E$145=$AR19),Schweine_Werte!$M19*0.5,IF(OR(8&gt;$AR19,$E$145&lt;$AR19),0,Schweine_Werte!$M19))</f>
        <v>1.8188737966224373</v>
      </c>
      <c r="BY19" s="795">
        <f>IF(OR($C$74=$AR19,$D$74=$AR19),Schweine_Werte!$O19*0.5,IF(OR($C$74&gt;$AR19,$D$74&lt;$AR19),0,Schweine_Werte!$O19))</f>
        <v>0</v>
      </c>
      <c r="BZ19" s="795">
        <f>IF(OR($C$83=$AR19,$D$83=$AR19),Schweine_Werte!$O19*0.5,IF(OR($C$83&gt;$AR19,$D$83&lt;$AR19),0,Schweine_Werte!$O19))</f>
        <v>0</v>
      </c>
      <c r="CA19" s="730">
        <f>IF(OR($C$92=$AR19,$D$92=$AR19),Schweine_Werte!$O19*0.5,IF(OR($C$92&gt;$AR19,$D$92&lt;$AR19),0,Schweine_Werte!$O19))</f>
        <v>0</v>
      </c>
      <c r="CB19" s="730">
        <f>IF(OR($C$101=$AR19,$D$101=$AR19),Schweine_Werte!$O19*0.5,IF(OR($C$101&gt;$AR19,$D$101&lt;$AR19),0,Schweine_Werte!$O19))</f>
        <v>0</v>
      </c>
      <c r="CC19" s="730">
        <f>IF(OR($C$110=$AR19,$D$110=$AR19),Schweine_Werte!$O19*0.5,IF(OR($C$110&gt;$AR19,$D$110&lt;$AR19),0,Schweine_Werte!$O19))</f>
        <v>0</v>
      </c>
    </row>
    <row r="20" spans="1:81" x14ac:dyDescent="0.25">
      <c r="B20" s="705">
        <v>950</v>
      </c>
      <c r="D20" s="730"/>
      <c r="E20" s="730" t="e">
        <f>($D24-$C24)*1000/SUM($BI$4:$BI$146)</f>
        <v>#VALUE!</v>
      </c>
      <c r="F20" s="730" t="e">
        <f>SUMPRODUCT($BI$4:$BI$146,Schweine_Werte!$T$4:$T$146)/SUM($BI$4:$BI$146)</f>
        <v>#DIV/0!</v>
      </c>
      <c r="G20" s="730" t="e">
        <f>IF($B24=$A$8,SUMPRODUCT($BI$4:$BI$146,Schweine_Werte!EZ$4:EZ$146)/SUM($BI$4:$BI$146),IF($B24=$A$7,SUMPRODUCT($BI$4:$BI$146,Schweine_Werte!DT$4:DT$146)/SUM($BI$4:$BI$146),IF($B24=$A$6,SUMPRODUCT($BI$4:$BI$146,Schweine_Werte!CN$4:CN$146)/SUM($BI$4:$BI$146),SUMPRODUCT($BI$4:$BI$146,Schweine_Werte!BH$4:BH$146)/SUM($BI$4:$BI$146))))</f>
        <v>#DIV/0!</v>
      </c>
      <c r="H20" s="730" t="e">
        <f>IF($B24=$A$8,SUMPRODUCT($BI$4:$BI$146,Schweine_Werte!FA$4:FA$146)/SUM($BI$4:$BI$146),IF($B24=$A$7,SUMPRODUCT($BI$4:$BI$146,Schweine_Werte!DU$4:DU$146)/SUM($BI$4:$BI$146),IF($B24=$A$6,SUMPRODUCT($BI$4:$BI$146,Schweine_Werte!CO$4:CO$146)/SUM($BI$4:$BI$146),SUMPRODUCT($BI$4:$BI$146,Schweine_Werte!BI$4:BI$146)/SUM($BI$4:$BI$146))))</f>
        <v>#DIV/0!</v>
      </c>
      <c r="I20" s="730" t="e">
        <f>IF($B24=$A$8,SUMPRODUCT($BI$4:$BI$146,Schweine_Werte!FB$4:FB$146)/SUM($BI$4:$BI$146),IF($B24=$A$7,SUMPRODUCT($BI$4:$BI$146,Schweine_Werte!DV$4:DV$146)/SUM($BI$4:$BI$146),IF($B24=$A$6,SUMPRODUCT($BI$4:$BI$146,Schweine_Werte!CP$4:CP$146)/SUM($BI$4:$BI$146),SUMPRODUCT($BI$4:$BI$146,Schweine_Werte!BJ$4:BJ$146)/SUM($BI$4:$BI$146))))</f>
        <v>#DIV/0!</v>
      </c>
      <c r="J20" s="730" t="e">
        <f>SUMPRODUCT($BI$4:$BI$146,Schweine_Werte!$AB$4:$AB$146)/SUM($BI$4:$BI$146)</f>
        <v>#DIV/0!</v>
      </c>
      <c r="K20" s="730" t="e">
        <f>SUMPRODUCT($BI$4:$BI$146,Schweine_Werte!$AJ$4:$AJ$146)/SUM($BI$4:$BI$146)</f>
        <v>#DIV/0!</v>
      </c>
      <c r="L20" s="818" t="e">
        <f>T20*$F20*365/1000+$J20-$K20</f>
        <v>#DIV/0!</v>
      </c>
      <c r="M20" s="730" t="e">
        <f>U20*$F20*365/1000+$J20-$K20/2</f>
        <v>#DIV/0!</v>
      </c>
      <c r="N20" s="730" t="e">
        <f>V20*$F20*365/1000+$J20</f>
        <v>#DIV/0!</v>
      </c>
      <c r="O20" s="730">
        <f>IF($C24&lt;28,SUM($BI$4:$BI$23)+IF($D24&gt;28,$BI$24*0.5,$BI$24),0)</f>
        <v>0</v>
      </c>
      <c r="P20" s="730">
        <f>IF($D24&gt;28,SUM($BI$25:$BI$146)+IF($C24&lt;28,$BI$24*0.5,$BI$24),0)</f>
        <v>0</v>
      </c>
      <c r="Q20" s="730" t="e">
        <f t="shared" si="8"/>
        <v>#DIV/0!</v>
      </c>
      <c r="R20" s="730" t="e">
        <f t="shared" si="8"/>
        <v>#DIV/0!</v>
      </c>
      <c r="S20" s="730" t="e">
        <f t="shared" si="8"/>
        <v>#DIV/0!</v>
      </c>
      <c r="T20" s="730" t="e">
        <f>+($O20*Schweine_Werte!$HT$8+$P20*Schweine_Werte!$HU$8)/SUM($O20:$P20)</f>
        <v>#DIV/0!</v>
      </c>
      <c r="U20" s="730" t="e">
        <f>+($O20*Schweine_Werte!$HV$8+$P20*Schweine_Werte!$HW$8)/SUM($O20:$P20)</f>
        <v>#DIV/0!</v>
      </c>
      <c r="V20" s="730" t="e">
        <f>+($O20*Schweine_Werte!$HX$8+$P20*Schweine_Werte!$HY$8)/SUM($O20:$P20)</f>
        <v>#DIV/0!</v>
      </c>
      <c r="W20" s="785" t="e">
        <f>($J20*0.055+T20*0.365*0.86*$F20-$K20*0.018)/L20*100</f>
        <v>#DIV/0!</v>
      </c>
      <c r="X20" s="730" t="e">
        <f>($J20*0.055+U20*0.365*0.86*$F20-$K20*0.018/2)/M20*100</f>
        <v>#DIV/0!</v>
      </c>
      <c r="Y20" s="730" t="e">
        <f>($J20*0.055+V20*0.365*0.86*$F20)/N20*100</f>
        <v>#DIV/0!</v>
      </c>
      <c r="Z20" s="730" t="e">
        <f>IF($B24=$A$8,SUMPRODUCT($BI$4:$BI$146,Schweine_Werte!$FC$4:$FC$146,Schweine_Werte!$FD$4:$FD$146)/SUMPRODUCT($BI$4:$BI$146,Schweine_Werte!$FC$4:$FC$146),IF($B24=$A$7,SUMPRODUCT($BI$4:$BI$146,Schweine_Werte!$DW$4:$DW$146,Schweine_Werte!$DX$4:$DX$146)/SUMPRODUCT($BI$4:$BI$146,Schweine_Werte!$DW$4:$DW$146),IF($B24=$A$6,SUMPRODUCT($BI$4:$BI$146,Schweine_Werte!$CQ$4:$CQ$146,Schweine_Werte!$CR$4:$CR$146)/SUMPRODUCT($BI$4:$BI$146,Schweine_Werte!$CQ$4:$CQ$146),SUMPRODUCT($BI$4:$BI$146,Schweine_Werte!$BK$4:$BK$146,Schweine_Werte!$BL$4:$BL$146)/SUMPRODUCT($BI$4:$BI$146,Schweine_Werte!$BK$4:$BK$146))))</f>
        <v>#DIV/0!</v>
      </c>
      <c r="AA20" s="730"/>
      <c r="AB20" s="730">
        <f>IF($B24=$A$8,SUMIF(Schweine_Werte!$AO$4:$AO$146,$C24,Schweine_Werte!$FD$4:$FD$146),IF($B24=$A$7,SUMIF(Schweine_Werte!$AO$4:$AO$146,$C24,Schweine_Werte!$DX$4:$DX$146),IF($B24=$A$6,SUMIF(Schweine_Werte!$AO$4:$AO$146,$C24,Schweine_Werte!$CR$4:$CR$146),SUMIF(Schweine_Werte!$AO$4:$AO$146,$C24,Schweine_Werte!$BL$4:$BL$146))))</f>
        <v>0</v>
      </c>
      <c r="AC20" s="730"/>
      <c r="AD20" s="730">
        <f>IF($B24=$A$8,SUMIF(Schweine_Werte!$AO$4:$AO$146,$D24,Schweine_Werte!$FD$4:$FD$146),IF($B24=$A$7,SUMIF(Schweine_Werte!$AO$4:$AO$146,$D24,Schweine_Werte!$DX$4:$DX$146),IF($B24=$A$6,SUMIF(Schweine_Werte!$AO$4:$AO$146,$D24,Schweine_Werte!$CR$4:$CR$146),SUMIF(Schweine_Werte!$AO$4:$AO$146,$D24,Schweine_Werte!$BL$4:$BL$146))))</f>
        <v>0</v>
      </c>
      <c r="AE20" s="730"/>
      <c r="AF20" s="730"/>
      <c r="AG20" s="730" t="e">
        <f>IF($B24=$A$8,SUMPRODUCT($BI$4:$BI$146,Schweine_Werte!$FC$4:$FC$146)/SUM($BI$4:$BI$146),IF($B24=$A$7,SUMPRODUCT($BI$4:$BI$146,Schweine_Werte!$DW$4:$DW$146)/SUM($BI$4:$BI$146),IF($B24=$A$6,SUMPRODUCT($BI$4:$BI$146,Schweine_Werte!$CQ$4:$CQ$146)/SUM($BI$4:$BI$146),SUMPRODUCT($BI$4:$BI$146,Schweine_Werte!$BK$4:$BK$146)/SUM($BI$4:$BI$146))))</f>
        <v>#DIV/0!</v>
      </c>
      <c r="AH20" s="730"/>
      <c r="AI20" s="730"/>
      <c r="AJ20" s="730" t="e">
        <f>IF($B24=$A$8,SUMPRODUCT($BI$4:$BI$146,Schweine_Werte!$FC$4:$FC$146,Schweine_Werte!$FE$4:$FE$146)/SUMPRODUCT($BI$4:$BI$146,Schweine_Werte!$FC$4:$FC$146),IF($B24=$A$7,SUMPRODUCT($BI$4:$BI$146,Schweine_Werte!$DW$4:$DW$146,Schweine_Werte!$DY$4:$DY$146)/SUMPRODUCT($BI$4:$BI$146,Schweine_Werte!$DW$4:$DW$146),IF($B24=$A$6,SUMPRODUCT($BI$4:$BI$146,Schweine_Werte!$CQ$4:$CQ$146,Schweine_Werte!$CS$4:$CS$146)/SUMPRODUCT($BI$4:$BI$146,Schweine_Werte!$CQ$4:$CQ$146),SUMPRODUCT($BI$4:$BI$146,Schweine_Werte!$BK$4:$BK$146,Schweine_Werte!$BM$4:$BM$146)/SUMPRODUCT($BI$4:$BI$146,Schweine_Werte!$BK$4:$BK$146))))</f>
        <v>#DIV/0!</v>
      </c>
      <c r="AK20" s="730"/>
      <c r="AL20" s="730">
        <f>IF($B24=$A$8,SUMIF(Schweine_Werte!$AO$4:$AO$146,$C24,Schweine_Werte!$FE$4:$FE$146),IF($B24=$A$7,SUMIF(Schweine_Werte!$AO$4:$AO$146,$C24,Schweine_Werte!$DY$4:$DY$146),IF($B24=$A$6,SUMIF(Schweine_Werte!$AO$4:$AO$146,$C24,Schweine_Werte!$CS$4:$CS$146),SUMIF(Schweine_Werte!$AO$4:$AO$146,$C24,Schweine_Werte!$BM$4:$BM$146))))</f>
        <v>0</v>
      </c>
      <c r="AM20" s="730"/>
      <c r="AN20" s="730">
        <f>IF($B24=$A$8,SUMIF(Schweine_Werte!$AO$4:$AO$146,$D24,Schweine_Werte!$FE$4:$FE$146),IF($B24=$A$7,SUMIF(Schweine_Werte!$AO$4:$AO$146,$D24,Schweine_Werte!$DY$4:$DY$146),IF($B24=$A$6,SUMIF(Schweine_Werte!$AO$4:$AO$146,$D24,Schweine_Werte!$CS$4:$CS$146),SUMIF(Schweine_Werte!$AO$4:$AO$146,$D24,Schweine_Werte!$BM$4:$BM$146))))</f>
        <v>0</v>
      </c>
      <c r="AO20" s="730"/>
      <c r="AR20" s="806">
        <v>24</v>
      </c>
      <c r="AS20" s="795">
        <f>IF(OR($C$12=$AR20,$D$12=$AR20),Schweine_Werte!$C20*0.5,IF(OR($C$12&gt;$AR20,$D$12&lt;$AR20),0,Schweine_Werte!$C20))</f>
        <v>0</v>
      </c>
      <c r="AT20" s="730">
        <f>IF(OR($C$24=$AR20,$D$24=$AR20),Schweine_Werte!$C20*0.5,IF(OR($C$24&gt;$AR20,$D$24&lt;$AR20),0,Schweine_Werte!$C20))</f>
        <v>0</v>
      </c>
      <c r="AU20" s="795">
        <f>IF(OR($C$36=$AR20,$D$36=$AR20),Schweine_Werte!$C20*0.5,IF(OR($C$36&gt;$AR20,$D$36&lt;$AR20),0,Schweine_Werte!$C20))</f>
        <v>0</v>
      </c>
      <c r="AV20" s="795">
        <f>IF(OR($C$48=$AR20,$D$48=$AR20),Schweine_Werte!$C20*0.5,IF(OR($C$48&gt;$AR20,$D$48&lt;$AR20),0,Schweine_Werte!$C20))</f>
        <v>0</v>
      </c>
      <c r="AW20" s="795">
        <f>IF(OR($C$60=$AR20,$D$60=$AR20),Schweine_Werte!$C20*0.5,IF(OR($C$60&gt;$AR20,$D$60&lt;$AR20),0,Schweine_Werte!$C20))</f>
        <v>0</v>
      </c>
      <c r="AX20" s="795">
        <f>IF(OR($C$12=$AR20,$D$12=$AR20),Schweine_Werte!$E20*0.5,IF(OR($C$12&gt;$AR20,$D$12&lt;$AR20),0,Schweine_Werte!$E20))</f>
        <v>0</v>
      </c>
      <c r="AY20" s="730">
        <f>IF(OR($C$24=$AR20,$D$24=$AR20),Schweine_Werte!$E20*0.5,IF(OR($C$24&gt;$AR20,$D$24&lt;$AR20),0,Schweine_Werte!$E20))</f>
        <v>0</v>
      </c>
      <c r="AZ20" s="730">
        <f>IF(OR($C$36=$AR20,$D$36=$AR20),Schweine_Werte!$E20*0.5,IF(OR($C$36&gt;$AR20,$D$36&lt;$AR20),0,Schweine_Werte!$E20))</f>
        <v>0</v>
      </c>
      <c r="BA20" s="730">
        <f>IF(OR($C$48=$AR20,$D$48=$AR20),Schweine_Werte!$E20*0.5,IF(OR($C$48&gt;$AR20,$D$48&lt;$AR20),0,Schweine_Werte!$E20))</f>
        <v>0</v>
      </c>
      <c r="BB20" s="730">
        <f>IF(OR($C$60=$AR20,$D$60=$AR20),Schweine_Werte!$E20*0.5,IF(OR($C$60&gt;$AR20,$D$60&lt;$AR20),0,Schweine_Werte!$E20))</f>
        <v>0</v>
      </c>
      <c r="BC20" s="795">
        <f>IF(OR($C$12=$AR20,$D$12=$AR20),Schweine_Werte!$G20*0.5,IF(OR($C$12&gt;$AR20,$D$12&lt;$AR20),0,Schweine_Werte!$G20))</f>
        <v>0</v>
      </c>
      <c r="BD20" s="730">
        <f>IF(OR($C$24=$AR20,$D$24=$AR20),Schweine_Werte!$G20*0.5,IF(OR($C$24&gt;$AR20,$D$24&lt;$AR20),0,Schweine_Werte!$G20))</f>
        <v>0</v>
      </c>
      <c r="BE20" s="730">
        <f>IF(OR($C$36=$AR20,$D$36=$AR20),Schweine_Werte!$G20*0.5,IF(OR($C$36&gt;$AR20,$D$36&lt;$AR20),0,Schweine_Werte!$G20))</f>
        <v>0</v>
      </c>
      <c r="BF20" s="730">
        <f>IF(OR($C$48=$AR20,$D$48=$AR20),Schweine_Werte!$G20*0.5,IF(OR($C$48&gt;$AR20,$D$48&lt;$AR20),0,Schweine_Werte!$G20))</f>
        <v>0</v>
      </c>
      <c r="BG20" s="730">
        <f>IF(OR($C$60=$AR20,$D$60=$AR20),Schweine_Werte!$G20*0.5,IF(OR($C$60&gt;$AR20,$D$60&lt;$AR20),0,Schweine_Werte!$G20))</f>
        <v>0</v>
      </c>
      <c r="BH20" s="795">
        <f>IF(OR($C$12=$AR20,$D$12=$AR20),Schweine_Werte!$I20*0.5,IF(OR($C$12&gt;$AR20,$D$12&lt;$AR20),0,Schweine_Werte!$I20))</f>
        <v>0</v>
      </c>
      <c r="BI20" s="730">
        <f>IF(OR($C$24=$AR20,$D$24=$AR20),Schweine_Werte!$I20*0.5,IF(OR($C$24&gt;$AR20,$D$24&lt;$AR20),0,Schweine_Werte!$I20))</f>
        <v>0</v>
      </c>
      <c r="BJ20" s="730">
        <f>IF(OR($C$36=$AR20,$D$36=$AR20),Schweine_Werte!$I20*0.5,IF(OR($C$36&gt;$AR20,$D$36&lt;$AR20),0,Schweine_Werte!$I20))</f>
        <v>0</v>
      </c>
      <c r="BK20" s="730">
        <f>IF(OR($C$48=$AR20,$D$48=$AR20),Schweine_Werte!$I20*0.5,IF(OR($C$48&gt;$AR20,$D$48&lt;$AR20),0,Schweine_Werte!$I20))</f>
        <v>0</v>
      </c>
      <c r="BL20" s="730">
        <f>IF(OR($C$60=$AR20,$D$60=$AR20),Schweine_Werte!$I20*0.5,IF(OR($C$60&gt;$AR20,$D$60&lt;$AR20),0,Schweine_Werte!$I20))</f>
        <v>0</v>
      </c>
      <c r="BM20" s="795"/>
      <c r="BN20" s="730"/>
      <c r="BO20" s="730"/>
      <c r="BP20" s="730"/>
      <c r="BQ20" s="730"/>
      <c r="BR20" s="795">
        <f>IF(OR($C$74=$AR20,$D$74=$AR20),Schweine_Werte!$M20*0.5,IF(OR($C$74&gt;$AR20,$D$74&lt;$AR20),0,Schweine_Werte!$M20))</f>
        <v>0</v>
      </c>
      <c r="BS20" s="795">
        <f>IF(OR($C$83=$AR20,$D$83=$AR20),Schweine_Werte!$M20*0.5,IF(OR($C$83&gt;$AR20,$D$83&lt;$AR20),0,Schweine_Werte!$M20))</f>
        <v>0</v>
      </c>
      <c r="BT20" s="730">
        <f>IF(OR($C$92=$AR20,$D$92=$AR20),Schweine_Werte!$M20*0.5,IF(OR($C$92&gt;$AR20,$D$92&lt;$AR20),0,Schweine_Werte!$M20))</f>
        <v>0</v>
      </c>
      <c r="BU20" s="730">
        <f>IF(OR($C$101=$AR20,$D$101=$AR20),Schweine_Werte!$M20*0.5,IF(OR($C$101&gt;$AR20,$D$101&lt;$AR20),0,Schweine_Werte!$M20))</f>
        <v>0</v>
      </c>
      <c r="BV20" s="730">
        <f>IF(OR($C$110=$AR20,$D$110=$AR20),Schweine_Werte!$M20*0.5,IF(OR($C$110&gt;$AR20,$D$110&lt;$AR20),0,Schweine_Werte!$M20))</f>
        <v>0</v>
      </c>
      <c r="BW20" s="730">
        <f>IF(OR(8=$AR20,$E$127=$AR20),Schweine_Werte!$M20*0.5,IF(OR(8&gt;$AR20,$E$127&lt;$AR20),0,Schweine_Werte!$M20))</f>
        <v>1.7752316048769723</v>
      </c>
      <c r="BX20" s="730">
        <f>IF(OR(8=$AR20,$E$145=$AR20),Schweine_Werte!$M20*0.5,IF(OR(8&gt;$AR20,$E$145&lt;$AR20),0,Schweine_Werte!$M20))</f>
        <v>1.7752316048769723</v>
      </c>
      <c r="BY20" s="795">
        <f>IF(OR($C$74=$AR20,$D$74=$AR20),Schweine_Werte!$O20*0.5,IF(OR($C$74&gt;$AR20,$D$74&lt;$AR20),0,Schweine_Werte!$O20))</f>
        <v>0</v>
      </c>
      <c r="BZ20" s="795">
        <f>IF(OR($C$83=$AR20,$D$83=$AR20),Schweine_Werte!$O20*0.5,IF(OR($C$83&gt;$AR20,$D$83&lt;$AR20),0,Schweine_Werte!$O20))</f>
        <v>0</v>
      </c>
      <c r="CA20" s="730">
        <f>IF(OR($C$92=$AR20,$D$92=$AR20),Schweine_Werte!$O20*0.5,IF(OR($C$92&gt;$AR20,$D$92&lt;$AR20),0,Schweine_Werte!$O20))</f>
        <v>0</v>
      </c>
      <c r="CB20" s="730">
        <f>IF(OR($C$101=$AR20,$D$101=$AR20),Schweine_Werte!$O20*0.5,IF(OR($C$101&gt;$AR20,$D$101&lt;$AR20),0,Schweine_Werte!$O20))</f>
        <v>0</v>
      </c>
      <c r="CC20" s="730">
        <f>IF(OR($C$110=$AR20,$D$110=$AR20),Schweine_Werte!$O20*0.5,IF(OR($C$110&gt;$AR20,$D$110&lt;$AR20),0,Schweine_Werte!$O20))</f>
        <v>0</v>
      </c>
    </row>
    <row r="21" spans="1:81" x14ac:dyDescent="0.25">
      <c r="B21" s="705"/>
      <c r="D21" s="730"/>
      <c r="E21" s="730"/>
      <c r="F21" s="730"/>
      <c r="G21" s="730"/>
      <c r="H21" s="730"/>
      <c r="I21" s="730"/>
      <c r="J21" s="730"/>
      <c r="K21" s="730"/>
      <c r="L21" s="730"/>
      <c r="M21" s="730"/>
      <c r="N21" s="730"/>
      <c r="O21" s="730"/>
      <c r="P21" s="730"/>
      <c r="Q21" s="730"/>
      <c r="R21" s="730"/>
      <c r="S21" s="730"/>
      <c r="T21" s="730"/>
      <c r="U21" s="730"/>
      <c r="V21" s="730"/>
      <c r="W21" s="785"/>
      <c r="X21" s="730"/>
      <c r="Y21" s="730"/>
      <c r="Z21" s="730"/>
      <c r="AA21" s="730"/>
      <c r="AB21" s="730"/>
      <c r="AC21" s="730"/>
      <c r="AD21" s="730"/>
      <c r="AE21" s="730"/>
      <c r="AF21" s="730"/>
      <c r="AG21" s="730"/>
      <c r="AH21" s="730"/>
      <c r="AI21" s="730"/>
      <c r="AJ21" s="730"/>
      <c r="AK21" s="730"/>
      <c r="AL21" s="730"/>
      <c r="AM21" s="730"/>
      <c r="AN21" s="730"/>
      <c r="AO21" s="730"/>
      <c r="AR21" s="806">
        <v>25</v>
      </c>
      <c r="AS21" s="795">
        <f>IF(OR($C$12=$AR21,$D$12=$AR21),Schweine_Werte!$C21*0.5,IF(OR($C$12&gt;$AR21,$D$12&lt;$AR21),0,Schweine_Werte!$C21))</f>
        <v>0</v>
      </c>
      <c r="AT21" s="730">
        <f>IF(OR($C$24=$AR21,$D$24=$AR21),Schweine_Werte!$C21*0.5,IF(OR($C$24&gt;$AR21,$D$24&lt;$AR21),0,Schweine_Werte!$C21))</f>
        <v>0</v>
      </c>
      <c r="AU21" s="795">
        <f>IF(OR($C$36=$AR21,$D$36=$AR21),Schweine_Werte!$C21*0.5,IF(OR($C$36&gt;$AR21,$D$36&lt;$AR21),0,Schweine_Werte!$C21))</f>
        <v>0</v>
      </c>
      <c r="AV21" s="795">
        <f>IF(OR($C$48=$AR21,$D$48=$AR21),Schweine_Werte!$C21*0.5,IF(OR($C$48&gt;$AR21,$D$48&lt;$AR21),0,Schweine_Werte!$C21))</f>
        <v>0</v>
      </c>
      <c r="AW21" s="795">
        <f>IF(OR($C$60=$AR21,$D$60=$AR21),Schweine_Werte!$C21*0.5,IF(OR($C$60&gt;$AR21,$D$60&lt;$AR21),0,Schweine_Werte!$C21))</f>
        <v>0</v>
      </c>
      <c r="AX21" s="795">
        <f>IF(OR($C$12=$AR21,$D$12=$AR21),Schweine_Werte!$E21*0.5,IF(OR($C$12&gt;$AR21,$D$12&lt;$AR21),0,Schweine_Werte!$E21))</f>
        <v>0</v>
      </c>
      <c r="AY21" s="730">
        <f>IF(OR($C$24=$AR21,$D$24=$AR21),Schweine_Werte!$E21*0.5,IF(OR($C$24&gt;$AR21,$D$24&lt;$AR21),0,Schweine_Werte!$E21))</f>
        <v>0</v>
      </c>
      <c r="AZ21" s="730">
        <f>IF(OR($C$36=$AR21,$D$36=$AR21),Schweine_Werte!$E21*0.5,IF(OR($C$36&gt;$AR21,$D$36&lt;$AR21),0,Schweine_Werte!$E21))</f>
        <v>0</v>
      </c>
      <c r="BA21" s="730">
        <f>IF(OR($C$48=$AR21,$D$48=$AR21),Schweine_Werte!$E21*0.5,IF(OR($C$48&gt;$AR21,$D$48&lt;$AR21),0,Schweine_Werte!$E21))</f>
        <v>0</v>
      </c>
      <c r="BB21" s="730">
        <f>IF(OR($C$60=$AR21,$D$60=$AR21),Schweine_Werte!$E21*0.5,IF(OR($C$60&gt;$AR21,$D$60&lt;$AR21),0,Schweine_Werte!$E21))</f>
        <v>0</v>
      </c>
      <c r="BC21" s="795">
        <f>IF(OR($C$12=$AR21,$D$12=$AR21),Schweine_Werte!$G21*0.5,IF(OR($C$12&gt;$AR21,$D$12&lt;$AR21),0,Schweine_Werte!$G21))</f>
        <v>0</v>
      </c>
      <c r="BD21" s="730">
        <f>IF(OR($C$24=$AR21,$D$24=$AR21),Schweine_Werte!$G21*0.5,IF(OR($C$24&gt;$AR21,$D$24&lt;$AR21),0,Schweine_Werte!$G21))</f>
        <v>0</v>
      </c>
      <c r="BE21" s="730">
        <f>IF(OR($C$36=$AR21,$D$36=$AR21),Schweine_Werte!$G21*0.5,IF(OR($C$36&gt;$AR21,$D$36&lt;$AR21),0,Schweine_Werte!$G21))</f>
        <v>0</v>
      </c>
      <c r="BF21" s="730">
        <f>IF(OR($C$48=$AR21,$D$48=$AR21),Schweine_Werte!$G21*0.5,IF(OR($C$48&gt;$AR21,$D$48&lt;$AR21),0,Schweine_Werte!$G21))</f>
        <v>0</v>
      </c>
      <c r="BG21" s="730">
        <f>IF(OR($C$60=$AR21,$D$60=$AR21),Schweine_Werte!$G21*0.5,IF(OR($C$60&gt;$AR21,$D$60&lt;$AR21),0,Schweine_Werte!$G21))</f>
        <v>0</v>
      </c>
      <c r="BH21" s="795">
        <f>IF(OR($C$12=$AR21,$D$12=$AR21),Schweine_Werte!$I21*0.5,IF(OR($C$12&gt;$AR21,$D$12&lt;$AR21),0,Schweine_Werte!$I21))</f>
        <v>0</v>
      </c>
      <c r="BI21" s="730">
        <f>IF(OR($C$24=$AR21,$D$24=$AR21),Schweine_Werte!$I21*0.5,IF(OR($C$24&gt;$AR21,$D$24&lt;$AR21),0,Schweine_Werte!$I21))</f>
        <v>0</v>
      </c>
      <c r="BJ21" s="730">
        <f>IF(OR($C$36=$AR21,$D$36=$AR21),Schweine_Werte!$I21*0.5,IF(OR($C$36&gt;$AR21,$D$36&lt;$AR21),0,Schweine_Werte!$I21))</f>
        <v>0</v>
      </c>
      <c r="BK21" s="730">
        <f>IF(OR($C$48=$AR21,$D$48=$AR21),Schweine_Werte!$I21*0.5,IF(OR($C$48&gt;$AR21,$D$48&lt;$AR21),0,Schweine_Werte!$I21))</f>
        <v>0</v>
      </c>
      <c r="BL21" s="730">
        <f>IF(OR($C$60=$AR21,$D$60=$AR21),Schweine_Werte!$I21*0.5,IF(OR($C$60&gt;$AR21,$D$60&lt;$AR21),0,Schweine_Werte!$I21))</f>
        <v>0</v>
      </c>
      <c r="BM21" s="795"/>
      <c r="BN21" s="730"/>
      <c r="BO21" s="730"/>
      <c r="BP21" s="730"/>
      <c r="BQ21" s="730"/>
      <c r="BR21" s="795">
        <f>IF(OR($C$74=$AR21,$D$74=$AR21),Schweine_Werte!$M21*0.5,IF(OR($C$74&gt;$AR21,$D$74&lt;$AR21),0,Schweine_Werte!$M21))</f>
        <v>0</v>
      </c>
      <c r="BS21" s="795">
        <f>IF(OR($C$83=$AR21,$D$83=$AR21),Schweine_Werte!$M21*0.5,IF(OR($C$83&gt;$AR21,$D$83&lt;$AR21),0,Schweine_Werte!$M21))</f>
        <v>0</v>
      </c>
      <c r="BT21" s="730">
        <f>IF(OR($C$92=$AR21,$D$92=$AR21),Schweine_Werte!$M21*0.5,IF(OR($C$92&gt;$AR21,$D$92&lt;$AR21),0,Schweine_Werte!$M21))</f>
        <v>0</v>
      </c>
      <c r="BU21" s="730">
        <f>IF(OR($C$101=$AR21,$D$101=$AR21),Schweine_Werte!$M21*0.5,IF(OR($C$101&gt;$AR21,$D$101&lt;$AR21),0,Schweine_Werte!$M21))</f>
        <v>0</v>
      </c>
      <c r="BV21" s="730">
        <f>IF(OR($C$110=$AR21,$D$110=$AR21),Schweine_Werte!$M21*0.5,IF(OR($C$110&gt;$AR21,$D$110&lt;$AR21),0,Schweine_Werte!$M21))</f>
        <v>0</v>
      </c>
      <c r="BW21" s="730">
        <f>IF(OR(8=$AR21,$E$127=$AR21),Schweine_Werte!$M21*0.5,IF(OR(8&gt;$AR21,$E$127&lt;$AR21),0,Schweine_Werte!$M21))</f>
        <v>1.7347990778335918</v>
      </c>
      <c r="BX21" s="730">
        <f>IF(OR(8=$AR21,$E$145=$AR21),Schweine_Werte!$M21*0.5,IF(OR(8&gt;$AR21,$E$145&lt;$AR21),0,Schweine_Werte!$M21))</f>
        <v>1.7347990778335918</v>
      </c>
      <c r="BY21" s="795">
        <f>IF(OR($C$74=$AR21,$D$74=$AR21),Schweine_Werte!$O21*0.5,IF(OR($C$74&gt;$AR21,$D$74&lt;$AR21),0,Schweine_Werte!$O21))</f>
        <v>0</v>
      </c>
      <c r="BZ21" s="795">
        <f>IF(OR($C$83=$AR21,$D$83=$AR21),Schweine_Werte!$O21*0.5,IF(OR($C$83&gt;$AR21,$D$83&lt;$AR21),0,Schweine_Werte!$O21))</f>
        <v>0</v>
      </c>
      <c r="CA21" s="730">
        <f>IF(OR($C$92=$AR21,$D$92=$AR21),Schweine_Werte!$O21*0.5,IF(OR($C$92&gt;$AR21,$D$92&lt;$AR21),0,Schweine_Werte!$O21))</f>
        <v>0</v>
      </c>
      <c r="CB21" s="730">
        <f>IF(OR($C$101=$AR21,$D$101=$AR21),Schweine_Werte!$O21*0.5,IF(OR($C$101&gt;$AR21,$D$101&lt;$AR21),0,Schweine_Werte!$O21))</f>
        <v>0</v>
      </c>
      <c r="CC21" s="730">
        <f>IF(OR($C$110=$AR21,$D$110=$AR21),Schweine_Werte!$O21*0.5,IF(OR($C$110&gt;$AR21,$D$110&lt;$AR21),0,Schweine_Werte!$O21))</f>
        <v>0</v>
      </c>
    </row>
    <row r="22" spans="1:81" ht="15.6" x14ac:dyDescent="0.3">
      <c r="F22" s="357"/>
      <c r="G22" s="1626" t="s">
        <v>7713</v>
      </c>
      <c r="H22" s="1627"/>
      <c r="I22" s="1628"/>
      <c r="J22" s="1039" t="s">
        <v>596</v>
      </c>
      <c r="K22" s="1039" t="s">
        <v>226</v>
      </c>
      <c r="L22" s="1621" t="s">
        <v>7714</v>
      </c>
      <c r="M22" s="1622"/>
      <c r="N22" s="1623"/>
      <c r="O22" s="1621" t="s">
        <v>7715</v>
      </c>
      <c r="P22" s="1623"/>
      <c r="Q22" s="1621" t="s">
        <v>7770</v>
      </c>
      <c r="R22" s="1622"/>
      <c r="S22" s="1623"/>
      <c r="T22" s="1621" t="s">
        <v>7716</v>
      </c>
      <c r="U22" s="1622"/>
      <c r="V22" s="1623"/>
      <c r="W22" s="1621" t="s">
        <v>7798</v>
      </c>
      <c r="X22" s="1622"/>
      <c r="Y22" s="1623"/>
      <c r="Z22" s="1632" t="s">
        <v>7799</v>
      </c>
      <c r="AA22" s="1633"/>
      <c r="AB22" s="1632" t="s">
        <v>7800</v>
      </c>
      <c r="AC22" s="1633"/>
      <c r="AD22" s="1632" t="s">
        <v>7801</v>
      </c>
      <c r="AE22" s="1633"/>
      <c r="AF22" s="1040" t="s">
        <v>7910</v>
      </c>
      <c r="AG22" s="1624" t="s">
        <v>7804</v>
      </c>
      <c r="AH22" s="1625"/>
      <c r="AI22" s="1148" t="s">
        <v>7911</v>
      </c>
      <c r="AJ22" s="1632" t="s">
        <v>7799</v>
      </c>
      <c r="AK22" s="1633"/>
      <c r="AL22" s="1632" t="s">
        <v>7800</v>
      </c>
      <c r="AM22" s="1633"/>
      <c r="AN22" s="1632" t="s">
        <v>7801</v>
      </c>
      <c r="AO22" s="1633"/>
      <c r="AR22" s="806">
        <v>26</v>
      </c>
      <c r="AS22" s="795">
        <f>IF(OR($C$12=$AR22,$D$12=$AR22),Schweine_Werte!$C22*0.5,IF(OR($C$12&gt;$AR22,$D$12&lt;$AR22),0,Schweine_Werte!$C22))</f>
        <v>0</v>
      </c>
      <c r="AT22" s="730">
        <f>IF(OR($C$24=$AR22,$D$24=$AR22),Schweine_Werte!$C22*0.5,IF(OR($C$24&gt;$AR22,$D$24&lt;$AR22),0,Schweine_Werte!$C22))</f>
        <v>0</v>
      </c>
      <c r="AU22" s="795">
        <f>IF(OR($C$36=$AR22,$D$36=$AR22),Schweine_Werte!$C22*0.5,IF(OR($C$36&gt;$AR22,$D$36&lt;$AR22),0,Schweine_Werte!$C22))</f>
        <v>0</v>
      </c>
      <c r="AV22" s="795">
        <f>IF(OR($C$48=$AR22,$D$48=$AR22),Schweine_Werte!$C22*0.5,IF(OR($C$48&gt;$AR22,$D$48&lt;$AR22),0,Schweine_Werte!$C22))</f>
        <v>0</v>
      </c>
      <c r="AW22" s="795">
        <f>IF(OR($C$60=$AR22,$D$60=$AR22),Schweine_Werte!$C22*0.5,IF(OR($C$60&gt;$AR22,$D$60&lt;$AR22),0,Schweine_Werte!$C22))</f>
        <v>0</v>
      </c>
      <c r="AX22" s="795">
        <f>IF(OR($C$12=$AR22,$D$12=$AR22),Schweine_Werte!$E22*0.5,IF(OR($C$12&gt;$AR22,$D$12&lt;$AR22),0,Schweine_Werte!$E22))</f>
        <v>0</v>
      </c>
      <c r="AY22" s="730">
        <f>IF(OR($C$24=$AR22,$D$24=$AR22),Schweine_Werte!$E22*0.5,IF(OR($C$24&gt;$AR22,$D$24&lt;$AR22),0,Schweine_Werte!$E22))</f>
        <v>0</v>
      </c>
      <c r="AZ22" s="730">
        <f>IF(OR($C$36=$AR22,$D$36=$AR22),Schweine_Werte!$E22*0.5,IF(OR($C$36&gt;$AR22,$D$36&lt;$AR22),0,Schweine_Werte!$E22))</f>
        <v>0</v>
      </c>
      <c r="BA22" s="730">
        <f>IF(OR($C$48=$AR22,$D$48=$AR22),Schweine_Werte!$E22*0.5,IF(OR($C$48&gt;$AR22,$D$48&lt;$AR22),0,Schweine_Werte!$E22))</f>
        <v>0</v>
      </c>
      <c r="BB22" s="730">
        <f>IF(OR($C$60=$AR22,$D$60=$AR22),Schweine_Werte!$E22*0.5,IF(OR($C$60&gt;$AR22,$D$60&lt;$AR22),0,Schweine_Werte!$E22))</f>
        <v>0</v>
      </c>
      <c r="BC22" s="795">
        <f>IF(OR($C$12=$AR22,$D$12=$AR22),Schweine_Werte!$G22*0.5,IF(OR($C$12&gt;$AR22,$D$12&lt;$AR22),0,Schweine_Werte!$G22))</f>
        <v>0</v>
      </c>
      <c r="BD22" s="730">
        <f>IF(OR($C$24=$AR22,$D$24=$AR22),Schweine_Werte!$G22*0.5,IF(OR($C$24&gt;$AR22,$D$24&lt;$AR22),0,Schweine_Werte!$G22))</f>
        <v>0</v>
      </c>
      <c r="BE22" s="730">
        <f>IF(OR($C$36=$AR22,$D$36=$AR22),Schweine_Werte!$G22*0.5,IF(OR($C$36&gt;$AR22,$D$36&lt;$AR22),0,Schweine_Werte!$G22))</f>
        <v>0</v>
      </c>
      <c r="BF22" s="730">
        <f>IF(OR($C$48=$AR22,$D$48=$AR22),Schweine_Werte!$G22*0.5,IF(OR($C$48&gt;$AR22,$D$48&lt;$AR22),0,Schweine_Werte!$G22))</f>
        <v>0</v>
      </c>
      <c r="BG22" s="730">
        <f>IF(OR($C$60=$AR22,$D$60=$AR22),Schweine_Werte!$G22*0.5,IF(OR($C$60&gt;$AR22,$D$60&lt;$AR22),0,Schweine_Werte!$G22))</f>
        <v>0</v>
      </c>
      <c r="BH22" s="795">
        <f>IF(OR($C$12=$AR22,$D$12=$AR22),Schweine_Werte!$I22*0.5,IF(OR($C$12&gt;$AR22,$D$12&lt;$AR22),0,Schweine_Werte!$I22))</f>
        <v>0</v>
      </c>
      <c r="BI22" s="730">
        <f>IF(OR($C$24=$AR22,$D$24=$AR22),Schweine_Werte!$I22*0.5,IF(OR($C$24&gt;$AR22,$D$24&lt;$AR22),0,Schweine_Werte!$I22))</f>
        <v>0</v>
      </c>
      <c r="BJ22" s="730">
        <f>IF(OR($C$36=$AR22,$D$36=$AR22),Schweine_Werte!$I22*0.5,IF(OR($C$36&gt;$AR22,$D$36&lt;$AR22),0,Schweine_Werte!$I22))</f>
        <v>0</v>
      </c>
      <c r="BK22" s="730">
        <f>IF(OR($C$48=$AR22,$D$48=$AR22),Schweine_Werte!$I22*0.5,IF(OR($C$48&gt;$AR22,$D$48&lt;$AR22),0,Schweine_Werte!$I22))</f>
        <v>0</v>
      </c>
      <c r="BL22" s="730">
        <f>IF(OR($C$60=$AR22,$D$60=$AR22),Schweine_Werte!$I22*0.5,IF(OR($C$60&gt;$AR22,$D$60&lt;$AR22),0,Schweine_Werte!$I22))</f>
        <v>0</v>
      </c>
      <c r="BM22" s="795"/>
      <c r="BN22" s="730"/>
      <c r="BO22" s="730"/>
      <c r="BP22" s="730"/>
      <c r="BQ22" s="730"/>
      <c r="BR22" s="795">
        <f>IF(OR($C$74=$AR22,$D$74=$AR22),Schweine_Werte!$M22*0.5,IF(OR($C$74&gt;$AR22,$D$74&lt;$AR22),0,Schweine_Werte!$M22))</f>
        <v>0</v>
      </c>
      <c r="BS22" s="795">
        <f>IF(OR($C$83=$AR22,$D$83=$AR22),Schweine_Werte!$M22*0.5,IF(OR($C$83&gt;$AR22,$D$83&lt;$AR22),0,Schweine_Werte!$M22))</f>
        <v>0</v>
      </c>
      <c r="BT22" s="730">
        <f>IF(OR($C$92=$AR22,$D$92=$AR22),Schweine_Werte!$M22*0.5,IF(OR($C$92&gt;$AR22,$D$92&lt;$AR22),0,Schweine_Werte!$M22))</f>
        <v>0</v>
      </c>
      <c r="BU22" s="730">
        <f>IF(OR($C$101=$AR22,$D$101=$AR22),Schweine_Werte!$M22*0.5,IF(OR($C$101&gt;$AR22,$D$101&lt;$AR22),0,Schweine_Werte!$M22))</f>
        <v>0</v>
      </c>
      <c r="BV22" s="730">
        <f>IF(OR($C$110=$AR22,$D$110=$AR22),Schweine_Werte!$M22*0.5,IF(OR($C$110&gt;$AR22,$D$110&lt;$AR22),0,Schweine_Werte!$M22))</f>
        <v>0</v>
      </c>
      <c r="BW22" s="730">
        <f>IF(OR(8=$AR22,$E$127=$AR22),Schweine_Werte!$M22*0.5,IF(OR(8&gt;$AR22,$E$127&lt;$AR22),0,Schweine_Werte!$M22))</f>
        <v>1.6972841119740132</v>
      </c>
      <c r="BX22" s="730">
        <f>IF(OR(8=$AR22,$E$145=$AR22),Schweine_Werte!$M22*0.5,IF(OR(8&gt;$AR22,$E$145&lt;$AR22),0,Schweine_Werte!$M22))</f>
        <v>1.6972841119740132</v>
      </c>
      <c r="BY22" s="795">
        <f>IF(OR($C$74=$AR22,$D$74=$AR22),Schweine_Werte!$O22*0.5,IF(OR($C$74&gt;$AR22,$D$74&lt;$AR22),0,Schweine_Werte!$O22))</f>
        <v>0</v>
      </c>
      <c r="BZ22" s="795">
        <f>IF(OR($C$83=$AR22,$D$83=$AR22),Schweine_Werte!$O22*0.5,IF(OR($C$83&gt;$AR22,$D$83&lt;$AR22),0,Schweine_Werte!$O22))</f>
        <v>0</v>
      </c>
      <c r="CA22" s="730">
        <f>IF(OR($C$92=$AR22,$D$92=$AR22),Schweine_Werte!$O22*0.5,IF(OR($C$92&gt;$AR22,$D$92&lt;$AR22),0,Schweine_Werte!$O22))</f>
        <v>0</v>
      </c>
      <c r="CB22" s="730">
        <f>IF(OR($C$101=$AR22,$D$101=$AR22),Schweine_Werte!$O22*0.5,IF(OR($C$101&gt;$AR22,$D$101&lt;$AR22),0,Schweine_Werte!$O22))</f>
        <v>0</v>
      </c>
      <c r="CC22" s="730">
        <f>IF(OR($C$110=$AR22,$D$110=$AR22),Schweine_Werte!$O22*0.5,IF(OR($C$110&gt;$AR22,$D$110&lt;$AR22),0,Schweine_Werte!$O22))</f>
        <v>0</v>
      </c>
    </row>
    <row r="23" spans="1:81" ht="14.4" customHeight="1" x14ac:dyDescent="0.25">
      <c r="B23" s="800" t="s">
        <v>7717</v>
      </c>
      <c r="C23" s="801" t="s">
        <v>7657</v>
      </c>
      <c r="D23" s="801" t="s">
        <v>7718</v>
      </c>
      <c r="E23" s="801" t="s">
        <v>7659</v>
      </c>
      <c r="F23" s="747" t="s">
        <v>196</v>
      </c>
      <c r="G23" s="675" t="s">
        <v>4</v>
      </c>
      <c r="H23" s="675" t="s">
        <v>7719</v>
      </c>
      <c r="I23" s="675" t="s">
        <v>7720</v>
      </c>
      <c r="J23" s="676" t="s">
        <v>7721</v>
      </c>
      <c r="K23" s="676" t="s">
        <v>7721</v>
      </c>
      <c r="L23" s="677" t="s">
        <v>39</v>
      </c>
      <c r="M23" s="677" t="s">
        <v>7722</v>
      </c>
      <c r="N23" s="677" t="s">
        <v>41</v>
      </c>
      <c r="O23" s="678" t="s">
        <v>0</v>
      </c>
      <c r="P23" s="678" t="s">
        <v>8</v>
      </c>
      <c r="Q23" s="677" t="s">
        <v>39</v>
      </c>
      <c r="R23" s="677" t="s">
        <v>40</v>
      </c>
      <c r="S23" s="677" t="s">
        <v>41</v>
      </c>
      <c r="T23" s="677" t="s">
        <v>39</v>
      </c>
      <c r="U23" s="677" t="s">
        <v>40</v>
      </c>
      <c r="V23" s="677" t="s">
        <v>41</v>
      </c>
      <c r="W23" s="676" t="s">
        <v>7696</v>
      </c>
      <c r="X23" s="676" t="s">
        <v>7697</v>
      </c>
      <c r="Y23" s="676" t="s">
        <v>7698</v>
      </c>
      <c r="Z23" s="802" t="s">
        <v>7802</v>
      </c>
      <c r="AA23" s="802" t="s">
        <v>7803</v>
      </c>
      <c r="AB23" s="802" t="s">
        <v>7802</v>
      </c>
      <c r="AC23" s="802" t="s">
        <v>7803</v>
      </c>
      <c r="AD23" s="802" t="s">
        <v>7802</v>
      </c>
      <c r="AE23" s="802" t="s">
        <v>7803</v>
      </c>
      <c r="AF23" s="802" t="s">
        <v>7912</v>
      </c>
      <c r="AG23" s="1049" t="s">
        <v>7913</v>
      </c>
      <c r="AH23" s="802" t="s">
        <v>7914</v>
      </c>
      <c r="AI23" s="802"/>
      <c r="AJ23" s="802" t="s">
        <v>7778</v>
      </c>
      <c r="AK23" s="802" t="s">
        <v>7805</v>
      </c>
      <c r="AL23" s="802" t="s">
        <v>7806</v>
      </c>
      <c r="AM23" s="802" t="s">
        <v>7807</v>
      </c>
      <c r="AN23" s="802" t="s">
        <v>7806</v>
      </c>
      <c r="AO23" s="802" t="s">
        <v>7808</v>
      </c>
      <c r="AR23" s="806">
        <v>27</v>
      </c>
      <c r="AS23" s="795">
        <f>IF(OR($C$12=$AR23,$D$12=$AR23),Schweine_Werte!$C23*0.5,IF(OR($C$12&gt;$AR23,$D$12&lt;$AR23),0,Schweine_Werte!$C23))</f>
        <v>0</v>
      </c>
      <c r="AT23" s="730">
        <f>IF(OR($C$24=$AR23,$D$24=$AR23),Schweine_Werte!$C23*0.5,IF(OR($C$24&gt;$AR23,$D$24&lt;$AR23),0,Schweine_Werte!$C23))</f>
        <v>0</v>
      </c>
      <c r="AU23" s="795">
        <f>IF(OR($C$36=$AR23,$D$36=$AR23),Schweine_Werte!$C23*0.5,IF(OR($C$36&gt;$AR23,$D$36&lt;$AR23),0,Schweine_Werte!$C23))</f>
        <v>0</v>
      </c>
      <c r="AV23" s="795">
        <f>IF(OR($C$48=$AR23,$D$48=$AR23),Schweine_Werte!$C23*0.5,IF(OR($C$48&gt;$AR23,$D$48&lt;$AR23),0,Schweine_Werte!$C23))</f>
        <v>0</v>
      </c>
      <c r="AW23" s="795">
        <f>IF(OR($C$60=$AR23,$D$60=$AR23),Schweine_Werte!$C23*0.5,IF(OR($C$60&gt;$AR23,$D$60&lt;$AR23),0,Schweine_Werte!$C23))</f>
        <v>0</v>
      </c>
      <c r="AX23" s="795">
        <f>IF(OR($C$12=$AR23,$D$12=$AR23),Schweine_Werte!$E23*0.5,IF(OR($C$12&gt;$AR23,$D$12&lt;$AR23),0,Schweine_Werte!$E23))</f>
        <v>0</v>
      </c>
      <c r="AY23" s="730">
        <f>IF(OR($C$24=$AR23,$D$24=$AR23),Schweine_Werte!$E23*0.5,IF(OR($C$24&gt;$AR23,$D$24&lt;$AR23),0,Schweine_Werte!$E23))</f>
        <v>0</v>
      </c>
      <c r="AZ23" s="730">
        <f>IF(OR($C$36=$AR23,$D$36=$AR23),Schweine_Werte!$E23*0.5,IF(OR($C$36&gt;$AR23,$D$36&lt;$AR23),0,Schweine_Werte!$E23))</f>
        <v>0</v>
      </c>
      <c r="BA23" s="730">
        <f>IF(OR($C$48=$AR23,$D$48=$AR23),Schweine_Werte!$E23*0.5,IF(OR($C$48&gt;$AR23,$D$48&lt;$AR23),0,Schweine_Werte!$E23))</f>
        <v>0</v>
      </c>
      <c r="BB23" s="730">
        <f>IF(OR($C$60=$AR23,$D$60=$AR23),Schweine_Werte!$E23*0.5,IF(OR($C$60&gt;$AR23,$D$60&lt;$AR23),0,Schweine_Werte!$E23))</f>
        <v>0</v>
      </c>
      <c r="BC23" s="795">
        <f>IF(OR($C$12=$AR23,$D$12=$AR23),Schweine_Werte!$G23*0.5,IF(OR($C$12&gt;$AR23,$D$12&lt;$AR23),0,Schweine_Werte!$G23))</f>
        <v>0</v>
      </c>
      <c r="BD23" s="730">
        <f>IF(OR($C$24=$AR23,$D$24=$AR23),Schweine_Werte!$G23*0.5,IF(OR($C$24&gt;$AR23,$D$24&lt;$AR23),0,Schweine_Werte!$G23))</f>
        <v>0</v>
      </c>
      <c r="BE23" s="730">
        <f>IF(OR($C$36=$AR23,$D$36=$AR23),Schweine_Werte!$G23*0.5,IF(OR($C$36&gt;$AR23,$D$36&lt;$AR23),0,Schweine_Werte!$G23))</f>
        <v>0</v>
      </c>
      <c r="BF23" s="730">
        <f>IF(OR($C$48=$AR23,$D$48=$AR23),Schweine_Werte!$G23*0.5,IF(OR($C$48&gt;$AR23,$D$48&lt;$AR23),0,Schweine_Werte!$G23))</f>
        <v>0</v>
      </c>
      <c r="BG23" s="730">
        <f>IF(OR($C$60=$AR23,$D$60=$AR23),Schweine_Werte!$G23*0.5,IF(OR($C$60&gt;$AR23,$D$60&lt;$AR23),0,Schweine_Werte!$G23))</f>
        <v>0</v>
      </c>
      <c r="BH23" s="795">
        <f>IF(OR($C$12=$AR23,$D$12=$AR23),Schweine_Werte!$I23*0.5,IF(OR($C$12&gt;$AR23,$D$12&lt;$AR23),0,Schweine_Werte!$I23))</f>
        <v>0</v>
      </c>
      <c r="BI23" s="730">
        <f>IF(OR($C$24=$AR23,$D$24=$AR23),Schweine_Werte!$I23*0.5,IF(OR($C$24&gt;$AR23,$D$24&lt;$AR23),0,Schweine_Werte!$I23))</f>
        <v>0</v>
      </c>
      <c r="BJ23" s="730">
        <f>IF(OR($C$36=$AR23,$D$36=$AR23),Schweine_Werte!$I23*0.5,IF(OR($C$36&gt;$AR23,$D$36&lt;$AR23),0,Schweine_Werte!$I23))</f>
        <v>0</v>
      </c>
      <c r="BK23" s="730">
        <f>IF(OR($C$48=$AR23,$D$48=$AR23),Schweine_Werte!$I23*0.5,IF(OR($C$48&gt;$AR23,$D$48&lt;$AR23),0,Schweine_Werte!$I23))</f>
        <v>0</v>
      </c>
      <c r="BL23" s="730">
        <f>IF(OR($C$60=$AR23,$D$60=$AR23),Schweine_Werte!$I23*0.5,IF(OR($C$60&gt;$AR23,$D$60&lt;$AR23),0,Schweine_Werte!$I23))</f>
        <v>0</v>
      </c>
      <c r="BM23" s="795"/>
      <c r="BN23" s="730"/>
      <c r="BO23" s="730"/>
      <c r="BP23" s="730"/>
      <c r="BQ23" s="730"/>
      <c r="BR23" s="795">
        <f>IF(OR($C$74=$AR23,$D$74=$AR23),Schweine_Werte!$M23*0.5,IF(OR($C$74&gt;$AR23,$D$74&lt;$AR23),0,Schweine_Werte!$M23))</f>
        <v>0</v>
      </c>
      <c r="BS23" s="795">
        <f>IF(OR($C$83=$AR23,$D$83=$AR23),Schweine_Werte!$M23*0.5,IF(OR($C$83&gt;$AR23,$D$83&lt;$AR23),0,Schweine_Werte!$M23))</f>
        <v>0</v>
      </c>
      <c r="BT23" s="730">
        <f>IF(OR($C$92=$AR23,$D$92=$AR23),Schweine_Werte!$M23*0.5,IF(OR($C$92&gt;$AR23,$D$92&lt;$AR23),0,Schweine_Werte!$M23))</f>
        <v>0</v>
      </c>
      <c r="BU23" s="730">
        <f>IF(OR($C$101=$AR23,$D$101=$AR23),Schweine_Werte!$M23*0.5,IF(OR($C$101&gt;$AR23,$D$101&lt;$AR23),0,Schweine_Werte!$M23))</f>
        <v>0</v>
      </c>
      <c r="BV23" s="730">
        <f>IF(OR($C$110=$AR23,$D$110=$AR23),Schweine_Werte!$M23*0.5,IF(OR($C$110&gt;$AR23,$D$110&lt;$AR23),0,Schweine_Werte!$M23))</f>
        <v>0</v>
      </c>
      <c r="BW23" s="730">
        <f>IF(OR(8=$AR23,$E$127=$AR23),Schweine_Werte!$M23*0.5,IF(OR(8&gt;$AR23,$E$127&lt;$AR23),0,Schweine_Werte!$M23))</f>
        <v>1.6624297345718522</v>
      </c>
      <c r="BX23" s="730">
        <f>IF(OR(8=$AR23,$E$145=$AR23),Schweine_Werte!$M23*0.5,IF(OR(8&gt;$AR23,$E$145&lt;$AR23),0,Schweine_Werte!$M23))</f>
        <v>1.6624297345718522</v>
      </c>
      <c r="BY23" s="795">
        <f>IF(OR($C$74=$AR23,$D$74=$AR23),Schweine_Werte!$O23*0.5,IF(OR($C$74&gt;$AR23,$D$74&lt;$AR23),0,Schweine_Werte!$O23))</f>
        <v>0</v>
      </c>
      <c r="BZ23" s="795">
        <f>IF(OR($C$83=$AR23,$D$83=$AR23),Schweine_Werte!$O23*0.5,IF(OR($C$83&gt;$AR23,$D$83&lt;$AR23),0,Schweine_Werte!$O23))</f>
        <v>0</v>
      </c>
      <c r="CA23" s="730">
        <f>IF(OR($C$92=$AR23,$D$92=$AR23),Schweine_Werte!$O23*0.5,IF(OR($C$92&gt;$AR23,$D$92&lt;$AR23),0,Schweine_Werte!$O23))</f>
        <v>0</v>
      </c>
      <c r="CB23" s="730">
        <f>IF(OR($C$101=$AR23,$D$101=$AR23),Schweine_Werte!$O23*0.5,IF(OR($C$101&gt;$AR23,$D$101&lt;$AR23),0,Schweine_Werte!$O23))</f>
        <v>0</v>
      </c>
      <c r="CC23" s="730">
        <f>IF(OR($C$110=$AR23,$D$110=$AR23),Schweine_Werte!$O23*0.5,IF(OR($C$110&gt;$AR23,$D$110&lt;$AR23),0,Schweine_Werte!$O23))</f>
        <v>0</v>
      </c>
    </row>
    <row r="24" spans="1:81" ht="15" customHeight="1" x14ac:dyDescent="0.25">
      <c r="A24" t="s">
        <v>7787</v>
      </c>
      <c r="B24" s="770" t="str">
        <f>IF('Abweichende Werte'!W6=1,'Abweichende Werte'!F6,"")</f>
        <v/>
      </c>
      <c r="C24" s="679" t="str">
        <f>IF('Abweichende Werte'!W6=1,'Abweichende Werte'!J6,"")</f>
        <v/>
      </c>
      <c r="D24" s="679" t="str">
        <f>IF('Abweichende Werte'!W6=1,'Abweichende Werte'!M6,"")</f>
        <v/>
      </c>
      <c r="E24" s="815" t="str">
        <f>IF('Abweichende Werte'!W6=1,'Abweichende Werte'!P6,"")</f>
        <v/>
      </c>
      <c r="F24" s="803" t="e">
        <f>IF($E24&lt;=$E17,F17,IF(AND($E24&gt;$E17,$E24&lt;=$E18),F17+(F18-F17)/($E18-$E17)*($E24-$E17),IF(AND($E24&gt;$E18,$E24&lt;=$E19),F18+(F19-F18)/($E19-$E18)*($E24-$E18),IF(AND($E24&gt;$E19,$E24&lt;=$E20),F19+(F20-F19)/($E20-$E19)*($E24-$E19),IF($E24&gt;$E20,F20)))))</f>
        <v>#VALUE!</v>
      </c>
      <c r="G24" s="803" t="e">
        <f t="shared" ref="G24:N24" si="9">IF($E24&lt;=$E17,G17,IF(AND($E24&gt;$E17,$E24&lt;=$E18),G17+(G18-G17)/($E18-$E17)*($E24-$E17),IF(AND($E24&gt;$E18,$E24&lt;=$E19),G18+(G19-G18)/($E19-$E18)*($E24-$E18),IF(AND($E24&gt;$E19,$E24&lt;=$E20),G19+(G20-G19)/($E20-$E19)*($E24-$E19),IF($E24&gt;$E20,G20)))))</f>
        <v>#VALUE!</v>
      </c>
      <c r="H24" s="803" t="e">
        <f t="shared" si="9"/>
        <v>#VALUE!</v>
      </c>
      <c r="I24" s="803" t="e">
        <f t="shared" si="9"/>
        <v>#VALUE!</v>
      </c>
      <c r="J24" s="803" t="e">
        <f t="shared" si="9"/>
        <v>#VALUE!</v>
      </c>
      <c r="K24" s="803" t="e">
        <f t="shared" si="9"/>
        <v>#VALUE!</v>
      </c>
      <c r="L24" s="803" t="e">
        <f t="shared" si="9"/>
        <v>#VALUE!</v>
      </c>
      <c r="M24" s="803" t="e">
        <f t="shared" si="9"/>
        <v>#VALUE!</v>
      </c>
      <c r="N24" s="803" t="e">
        <f t="shared" si="9"/>
        <v>#VALUE!</v>
      </c>
      <c r="O24" s="804">
        <v>5.5</v>
      </c>
      <c r="P24" s="804">
        <v>1.8</v>
      </c>
      <c r="Q24" s="803" t="e">
        <f t="shared" ref="Q24:Z24" si="10">IF($E24&lt;=$E17,Q17,IF(AND($E24&gt;$E17,$E24&lt;=$E18),Q17+(Q18-Q17)/($E18-$E17)*($E24-$E17),IF(AND($E24&gt;$E18,$E24&lt;=$E19),Q18+(Q19-Q18)/($E19-$E18)*($E24-$E18),IF(AND($E24&gt;$E19,$E24&lt;=$E20),Q19+(Q20-Q19)/($E20-$E19)*($E24-$E19),IF($E24&gt;$E20,Q20)))))</f>
        <v>#VALUE!</v>
      </c>
      <c r="R24" s="803" t="e">
        <f t="shared" si="10"/>
        <v>#VALUE!</v>
      </c>
      <c r="S24" s="803" t="e">
        <f t="shared" si="10"/>
        <v>#VALUE!</v>
      </c>
      <c r="T24" s="803" t="e">
        <f t="shared" si="10"/>
        <v>#VALUE!</v>
      </c>
      <c r="U24" s="803" t="e">
        <f t="shared" si="10"/>
        <v>#VALUE!</v>
      </c>
      <c r="V24" s="803" t="e">
        <f t="shared" si="10"/>
        <v>#VALUE!</v>
      </c>
      <c r="W24" s="803" t="e">
        <f>IF($E24&lt;=$E17,W17,IF(AND($E24&gt;$E17,$E24&lt;=$E18),W17+(W18-W17)/($E18-$E17)*($E24-$E17),IF(AND($E24&gt;$E18,$E24&lt;=$E19),W18+(W19-W18)/($E19-$E18)*($E24-$E18),IF(AND($E24&gt;$E19,$E24&lt;=$E20),W19+(W20-W19)/($E20-$E19)*($E24-$E19),IF($E24&gt;$E20,W20)))))</f>
        <v>#VALUE!</v>
      </c>
      <c r="X24" s="803" t="e">
        <f t="shared" si="10"/>
        <v>#VALUE!</v>
      </c>
      <c r="Y24" s="803" t="e">
        <f t="shared" si="10"/>
        <v>#VALUE!</v>
      </c>
      <c r="Z24" s="803" t="e">
        <f t="shared" si="10"/>
        <v>#VALUE!</v>
      </c>
      <c r="AA24" s="805" t="e">
        <f>+Z24*6.25</f>
        <v>#VALUE!</v>
      </c>
      <c r="AB24" s="803" t="e">
        <f t="shared" ref="AB24" si="11">IF($E24&lt;=$E17,AB17,IF(AND($E24&gt;$E17,$E24&lt;=$E18),AB17+(AB18-AB17)/($E18-$E17)*($E24-$E17),IF(AND($E24&gt;$E18,$E24&lt;=$E19),AB18+(AB19-AB18)/($E19-$E18)*($E24-$E18),IF(AND($E24&gt;$E19,$E24&lt;=$E20),AB19+(AB20-AB19)/($E20-$E19)*($E24-$E19),IF($E24&gt;$E20,AB20)))))</f>
        <v>#VALUE!</v>
      </c>
      <c r="AC24" s="805" t="e">
        <f>+AB24*6.25</f>
        <v>#VALUE!</v>
      </c>
      <c r="AD24" s="803" t="e">
        <f t="shared" ref="AD24" si="12">IF($E24&lt;=$E17,AD17,IF(AND($E24&gt;$E17,$E24&lt;=$E18),AD17+(AD18-AD17)/($E18-$E17)*($E24-$E17),IF(AND($E24&gt;$E18,$E24&lt;=$E19),AD18+(AD19-AD18)/($E19-$E18)*($E24-$E18),IF(AND($E24&gt;$E19,$E24&lt;=$E20),AD19+(AD20-AD19)/($E20-$E19)*($E24-$E19),IF($E24&gt;$E20,AD20)))))</f>
        <v>#VALUE!</v>
      </c>
      <c r="AE24" s="805" t="e">
        <f>+AD24*6.25</f>
        <v>#VALUE!</v>
      </c>
      <c r="AF24" s="805" t="e">
        <f>365/((D24-C24)/E24*1000)</f>
        <v>#VALUE!</v>
      </c>
      <c r="AG24" s="803" t="e">
        <f>IF($E24&lt;=$E17,AG17,IF(AND($E24&gt;$E17,$E24&lt;=$E18),AG17+(AG18-AG17)/($E18-$E17)*($E24-$E17),IF(AND($E24&gt;$E18,$E24&lt;=$E19),AG18+(AG19-AG18)/($E19-$E18)*($E24-$E18),IF(AND($E24&gt;$E19,$E24&lt;=$E20),AG19+(AG20-AG19)/($E20-$E19)*($E24-$E19),IF($E24&gt;$E20,AG20)))))</f>
        <v>#VALUE!</v>
      </c>
      <c r="AH24" s="805" t="e">
        <f>+AG24/AF24</f>
        <v>#VALUE!</v>
      </c>
      <c r="AI24" s="805" t="e">
        <f>+CONCATENATE(ROUND(AH24/(D24-C24),1)," : 1")</f>
        <v>#VALUE!</v>
      </c>
      <c r="AJ24" s="803" t="e">
        <f t="shared" ref="AJ24" si="13">IF($E24&lt;=$E17,AJ17,IF(AND($E24&gt;$E17,$E24&lt;=$E18),AJ17+(AJ18-AJ17)/($E18-$E17)*($E24-$E17),IF(AND($E24&gt;$E18,$E24&lt;=$E19),AJ18+(AJ19-AJ18)/($E19-$E18)*($E24-$E18),IF(AND($E24&gt;$E19,$E24&lt;=$E20),AJ19+(AJ20-AJ19)/($E20-$E19)*($E24-$E19),IF($E24&gt;$E20,AJ20)))))</f>
        <v>#VALUE!</v>
      </c>
      <c r="AK24" s="805" t="e">
        <f>+AJ24/2.291</f>
        <v>#VALUE!</v>
      </c>
      <c r="AL24" s="803" t="e">
        <f t="shared" ref="AL24" si="14">IF($E24&lt;=$E17,AL17,IF(AND($E24&gt;$E17,$E24&lt;=$E18),AL17+(AL18-AL17)/($E18-$E17)*($E24-$E17),IF(AND($E24&gt;$E18,$E24&lt;=$E19),AL18+(AL19-AL18)/($E19-$E18)*($E24-$E18),IF(AND($E24&gt;$E19,$E24&lt;=$E20),AL19+(AL20-AL19)/($E20-$E19)*($E24-$E19),IF($E24&gt;$E20,AL20)))))</f>
        <v>#VALUE!</v>
      </c>
      <c r="AM24" s="805" t="e">
        <f>+AL24/2.291</f>
        <v>#VALUE!</v>
      </c>
      <c r="AN24" s="803" t="e">
        <f t="shared" ref="AN24" si="15">IF($E24&lt;=$E17,AN17,IF(AND($E24&gt;$E17,$E24&lt;=$E18),AN17+(AN18-AN17)/($E18-$E17)*($E24-$E17),IF(AND($E24&gt;$E18,$E24&lt;=$E19),AN18+(AN19-AN18)/($E19-$E18)*($E24-$E18),IF(AND($E24&gt;$E19,$E24&lt;=$E20),AN19+(AN20-AN19)/($E20-$E19)*($E24-$E19),IF($E24&gt;$E20,AN20)))))</f>
        <v>#VALUE!</v>
      </c>
      <c r="AO24" s="805" t="e">
        <f>+AN24/2.291</f>
        <v>#VALUE!</v>
      </c>
      <c r="AR24" s="806">
        <v>28</v>
      </c>
      <c r="AS24" s="795">
        <f>IF(OR($C$12=$AR24,$D$12=$AR24),Schweine_Werte!$C24*0.5,IF(OR($C$12&gt;$AR24,$D$12&lt;$AR24),0,Schweine_Werte!$C24))</f>
        <v>0</v>
      </c>
      <c r="AT24" s="730">
        <f>IF(OR($C$24=$AR24,$D$24=$AR24),Schweine_Werte!$C24*0.5,IF(OR($C$24&gt;$AR24,$D$24&lt;$AR24),0,Schweine_Werte!$C24))</f>
        <v>0</v>
      </c>
      <c r="AU24" s="795">
        <f>IF(OR($C$36=$AR24,$D$36=$AR24),Schweine_Werte!$C24*0.5,IF(OR($C$36&gt;$AR24,$D$36&lt;$AR24),0,Schweine_Werte!$C24))</f>
        <v>0</v>
      </c>
      <c r="AV24" s="795">
        <f>IF(OR($C$48=$AR24,$D$48=$AR24),Schweine_Werte!$C24*0.5,IF(OR($C$48&gt;$AR24,$D$48&lt;$AR24),0,Schweine_Werte!$C24))</f>
        <v>0</v>
      </c>
      <c r="AW24" s="795">
        <f>IF(OR($C$60=$AR24,$D$60=$AR24),Schweine_Werte!$C24*0.5,IF(OR($C$60&gt;$AR24,$D$60&lt;$AR24),0,Schweine_Werte!$C24))</f>
        <v>0</v>
      </c>
      <c r="AX24" s="795">
        <f>IF(OR($C$12=$AR24,$D$12=$AR24),Schweine_Werte!$E24*0.5,IF(OR($C$12&gt;$AR24,$D$12&lt;$AR24),0,Schweine_Werte!$E24))</f>
        <v>0</v>
      </c>
      <c r="AY24" s="730">
        <f>IF(OR($C$24=$AR24,$D$24=$AR24),Schweine_Werte!$E24*0.5,IF(OR($C$24&gt;$AR24,$D$24&lt;$AR24),0,Schweine_Werte!$E24))</f>
        <v>0</v>
      </c>
      <c r="AZ24" s="730">
        <f>IF(OR($C$36=$AR24,$D$36=$AR24),Schweine_Werte!$E24*0.5,IF(OR($C$36&gt;$AR24,$D$36&lt;$AR24),0,Schweine_Werte!$E24))</f>
        <v>0</v>
      </c>
      <c r="BA24" s="730">
        <f>IF(OR($C$48=$AR24,$D$48=$AR24),Schweine_Werte!$E24*0.5,IF(OR($C$48&gt;$AR24,$D$48&lt;$AR24),0,Schweine_Werte!$E24))</f>
        <v>0</v>
      </c>
      <c r="BB24" s="730">
        <f>IF(OR($C$60=$AR24,$D$60=$AR24),Schweine_Werte!$E24*0.5,IF(OR($C$60&gt;$AR24,$D$60&lt;$AR24),0,Schweine_Werte!$E24))</f>
        <v>0</v>
      </c>
      <c r="BC24" s="795">
        <f>IF(OR($C$12=$AR24,$D$12=$AR24),Schweine_Werte!$G24*0.5,IF(OR($C$12&gt;$AR24,$D$12&lt;$AR24),0,Schweine_Werte!$G24))</f>
        <v>0</v>
      </c>
      <c r="BD24" s="730">
        <f>IF(OR($C$24=$AR24,$D$24=$AR24),Schweine_Werte!$G24*0.5,IF(OR($C$24&gt;$AR24,$D$24&lt;$AR24),0,Schweine_Werte!$G24))</f>
        <v>0</v>
      </c>
      <c r="BE24" s="730">
        <f>IF(OR($C$36=$AR24,$D$36=$AR24),Schweine_Werte!$G24*0.5,IF(OR($C$36&gt;$AR24,$D$36&lt;$AR24),0,Schweine_Werte!$G24))</f>
        <v>0</v>
      </c>
      <c r="BF24" s="730">
        <f>IF(OR($C$48=$AR24,$D$48=$AR24),Schweine_Werte!$G24*0.5,IF(OR($C$48&gt;$AR24,$D$48&lt;$AR24),0,Schweine_Werte!$G24))</f>
        <v>0</v>
      </c>
      <c r="BG24" s="730">
        <f>IF(OR($C$60=$AR24,$D$60=$AR24),Schweine_Werte!$G24*0.5,IF(OR($C$60&gt;$AR24,$D$60&lt;$AR24),0,Schweine_Werte!$G24))</f>
        <v>0</v>
      </c>
      <c r="BH24" s="795">
        <f>IF(OR($C$12=$AR24,$D$12=$AR24),Schweine_Werte!$I24*0.5,IF(OR($C$12&gt;$AR24,$D$12&lt;$AR24),0,Schweine_Werte!$I24))</f>
        <v>0</v>
      </c>
      <c r="BI24" s="730">
        <f>IF(OR($C$24=$AR24,$D$24=$AR24),Schweine_Werte!$I24*0.5,IF(OR($C$24&gt;$AR24,$D$24&lt;$AR24),0,Schweine_Werte!$I24))</f>
        <v>0</v>
      </c>
      <c r="BJ24" s="730">
        <f>IF(OR($C$36=$AR24,$D$36=$AR24),Schweine_Werte!$I24*0.5,IF(OR($C$36&gt;$AR24,$D$36&lt;$AR24),0,Schweine_Werte!$I24))</f>
        <v>0</v>
      </c>
      <c r="BK24" s="730">
        <f>IF(OR($C$48=$AR24,$D$48=$AR24),Schweine_Werte!$I24*0.5,IF(OR($C$48&gt;$AR24,$D$48&lt;$AR24),0,Schweine_Werte!$I24))</f>
        <v>0</v>
      </c>
      <c r="BL24" s="730">
        <f>IF(OR($C$60=$AR24,$D$60=$AR24),Schweine_Werte!$I24*0.5,IF(OR($C$60&gt;$AR24,$D$60&lt;$AR24),0,Schweine_Werte!$I24))</f>
        <v>0</v>
      </c>
      <c r="BM24" s="795"/>
      <c r="BN24" s="730"/>
      <c r="BO24" s="730"/>
      <c r="BP24" s="730"/>
      <c r="BQ24" s="730"/>
      <c r="BR24" s="795">
        <f>IF(OR($C$74=$AR24,$D$74=$AR24),Schweine_Werte!$M24*0.5,IF(OR($C$74&gt;$AR24,$D$74&lt;$AR24),0,Schweine_Werte!$M24))</f>
        <v>0</v>
      </c>
      <c r="BS24" s="795">
        <f>IF(OR($C$83=$AR24,$D$83=$AR24),Schweine_Werte!$M24*0.5,IF(OR($C$83&gt;$AR24,$D$83&lt;$AR24),0,Schweine_Werte!$M24))</f>
        <v>0</v>
      </c>
      <c r="BT24" s="730">
        <f>IF(OR($C$92=$AR24,$D$92=$AR24),Schweine_Werte!$M24*0.5,IF(OR($C$92&gt;$AR24,$D$92&lt;$AR24),0,Schweine_Werte!$M24))</f>
        <v>0</v>
      </c>
      <c r="BU24" s="730">
        <f>IF(OR($C$101=$AR24,$D$101=$AR24),Schweine_Werte!$M24*0.5,IF(OR($C$101&gt;$AR24,$D$101&lt;$AR24),0,Schweine_Werte!$M24))</f>
        <v>0</v>
      </c>
      <c r="BV24" s="730">
        <f>IF(OR($C$110=$AR24,$D$110=$AR24),Schweine_Werte!$M24*0.5,IF(OR($C$110&gt;$AR24,$D$110&lt;$AR24),0,Schweine_Werte!$M24))</f>
        <v>0</v>
      </c>
      <c r="BW24" s="730">
        <f>IF(OR(8=$AR24,$E$127=$AR24),Schweine_Werte!$M24*0.5,IF(OR(8&gt;$AR24,$E$127&lt;$AR24),0,Schweine_Werte!$M24))</f>
        <v>1.6300090047913274</v>
      </c>
      <c r="BX24" s="730">
        <f>IF(OR(8=$AR24,$E$145=$AR24),Schweine_Werte!$M24*0.5,IF(OR(8&gt;$AR24,$E$145&lt;$AR24),0,Schweine_Werte!$M24))</f>
        <v>1.6300090047913274</v>
      </c>
      <c r="BY24" s="795">
        <f>IF(OR($C$74=$AR24,$D$74=$AR24),Schweine_Werte!$O24*0.5,IF(OR($C$74&gt;$AR24,$D$74&lt;$AR24),0,Schweine_Werte!$O24))</f>
        <v>0</v>
      </c>
      <c r="BZ24" s="795">
        <f>IF(OR($C$83=$AR24,$D$83=$AR24),Schweine_Werte!$O24*0.5,IF(OR($C$83&gt;$AR24,$D$83&lt;$AR24),0,Schweine_Werte!$O24))</f>
        <v>0</v>
      </c>
      <c r="CA24" s="730">
        <f>IF(OR($C$92=$AR24,$D$92=$AR24),Schweine_Werte!$O24*0.5,IF(OR($C$92&gt;$AR24,$D$92&lt;$AR24),0,Schweine_Werte!$O24))</f>
        <v>0</v>
      </c>
      <c r="CB24" s="730">
        <f>IF(OR($C$101=$AR24,$D$101=$AR24),Schweine_Werte!$O24*0.5,IF(OR($C$101&gt;$AR24,$D$101&lt;$AR24),0,Schweine_Werte!$O24))</f>
        <v>0</v>
      </c>
      <c r="CC24" s="730">
        <f>IF(OR($C$110=$AR24,$D$110=$AR24),Schweine_Werte!$O24*0.5,IF(OR($C$110&gt;$AR24,$D$110&lt;$AR24),0,Schweine_Werte!$O24))</f>
        <v>0</v>
      </c>
    </row>
    <row r="25" spans="1:81" x14ac:dyDescent="0.25">
      <c r="AR25" s="806">
        <v>29</v>
      </c>
      <c r="AS25" s="795">
        <f>IF(OR($C$12=$AR25,$D$12=$AR25),Schweine_Werte!$C25*0.5,IF(OR($C$12&gt;$AR25,$D$12&lt;$AR25),0,Schweine_Werte!$C25))</f>
        <v>0</v>
      </c>
      <c r="AT25" s="730">
        <f>IF(OR($C$24=$AR25,$D$24=$AR25),Schweine_Werte!$C25*0.5,IF(OR($C$24&gt;$AR25,$D$24&lt;$AR25),0,Schweine_Werte!$C25))</f>
        <v>0</v>
      </c>
      <c r="AU25" s="795">
        <f>IF(OR($C$36=$AR25,$D$36=$AR25),Schweine_Werte!$C25*0.5,IF(OR($C$36&gt;$AR25,$D$36&lt;$AR25),0,Schweine_Werte!$C25))</f>
        <v>0</v>
      </c>
      <c r="AV25" s="795">
        <f>IF(OR($C$48=$AR25,$D$48=$AR25),Schweine_Werte!$C25*0.5,IF(OR($C$48&gt;$AR25,$D$48&lt;$AR25),0,Schweine_Werte!$C25))</f>
        <v>0</v>
      </c>
      <c r="AW25" s="795">
        <f>IF(OR($C$60=$AR25,$D$60=$AR25),Schweine_Werte!$C25*0.5,IF(OR($C$60&gt;$AR25,$D$60&lt;$AR25),0,Schweine_Werte!$C25))</f>
        <v>0</v>
      </c>
      <c r="AX25" s="795">
        <f>IF(OR($C$12=$AR25,$D$12=$AR25),Schweine_Werte!$E25*0.5,IF(OR($C$12&gt;$AR25,$D$12&lt;$AR25),0,Schweine_Werte!$E25))</f>
        <v>0</v>
      </c>
      <c r="AY25" s="730">
        <f>IF(OR($C$24=$AR25,$D$24=$AR25),Schweine_Werte!$E25*0.5,IF(OR($C$24&gt;$AR25,$D$24&lt;$AR25),0,Schweine_Werte!$E25))</f>
        <v>0</v>
      </c>
      <c r="AZ25" s="730">
        <f>IF(OR($C$36=$AR25,$D$36=$AR25),Schweine_Werte!$E25*0.5,IF(OR($C$36&gt;$AR25,$D$36&lt;$AR25),0,Schweine_Werte!$E25))</f>
        <v>0</v>
      </c>
      <c r="BA25" s="730">
        <f>IF(OR($C$48=$AR25,$D$48=$AR25),Schweine_Werte!$E25*0.5,IF(OR($C$48&gt;$AR25,$D$48&lt;$AR25),0,Schweine_Werte!$E25))</f>
        <v>0</v>
      </c>
      <c r="BB25" s="730">
        <f>IF(OR($C$60=$AR25,$D$60=$AR25),Schweine_Werte!$E25*0.5,IF(OR($C$60&gt;$AR25,$D$60&lt;$AR25),0,Schweine_Werte!$E25))</f>
        <v>0</v>
      </c>
      <c r="BC25" s="795">
        <f>IF(OR($C$12=$AR25,$D$12=$AR25),Schweine_Werte!$G25*0.5,IF(OR($C$12&gt;$AR25,$D$12&lt;$AR25),0,Schweine_Werte!$G25))</f>
        <v>0</v>
      </c>
      <c r="BD25" s="730">
        <f>IF(OR($C$24=$AR25,$D$24=$AR25),Schweine_Werte!$G25*0.5,IF(OR($C$24&gt;$AR25,$D$24&lt;$AR25),0,Schweine_Werte!$G25))</f>
        <v>0</v>
      </c>
      <c r="BE25" s="730">
        <f>IF(OR($C$36=$AR25,$D$36=$AR25),Schweine_Werte!$G25*0.5,IF(OR($C$36&gt;$AR25,$D$36&lt;$AR25),0,Schweine_Werte!$G25))</f>
        <v>0</v>
      </c>
      <c r="BF25" s="730">
        <f>IF(OR($C$48=$AR25,$D$48=$AR25),Schweine_Werte!$G25*0.5,IF(OR($C$48&gt;$AR25,$D$48&lt;$AR25),0,Schweine_Werte!$G25))</f>
        <v>0</v>
      </c>
      <c r="BG25" s="730">
        <f>IF(OR($C$60=$AR25,$D$60=$AR25),Schweine_Werte!$G25*0.5,IF(OR($C$60&gt;$AR25,$D$60&lt;$AR25),0,Schweine_Werte!$G25))</f>
        <v>0</v>
      </c>
      <c r="BH25" s="795">
        <f>IF(OR($C$12=$AR25,$D$12=$AR25),Schweine_Werte!$I25*0.5,IF(OR($C$12&gt;$AR25,$D$12&lt;$AR25),0,Schweine_Werte!$I25))</f>
        <v>0</v>
      </c>
      <c r="BI25" s="730">
        <f>IF(OR($C$24=$AR25,$D$24=$AR25),Schweine_Werte!$I25*0.5,IF(OR($C$24&gt;$AR25,$D$24&lt;$AR25),0,Schweine_Werte!$I25))</f>
        <v>0</v>
      </c>
      <c r="BJ25" s="730">
        <f>IF(OR($C$36=$AR25,$D$36=$AR25),Schweine_Werte!$I25*0.5,IF(OR($C$36&gt;$AR25,$D$36&lt;$AR25),0,Schweine_Werte!$I25))</f>
        <v>0</v>
      </c>
      <c r="BK25" s="730">
        <f>IF(OR($C$48=$AR25,$D$48=$AR25),Schweine_Werte!$I25*0.5,IF(OR($C$48&gt;$AR25,$D$48&lt;$AR25),0,Schweine_Werte!$I25))</f>
        <v>0</v>
      </c>
      <c r="BL25" s="730">
        <f>IF(OR($C$60=$AR25,$D$60=$AR25),Schweine_Werte!$I25*0.5,IF(OR($C$60&gt;$AR25,$D$60&lt;$AR25),0,Schweine_Werte!$I25))</f>
        <v>0</v>
      </c>
      <c r="BM25" s="795"/>
      <c r="BN25" s="730"/>
      <c r="BO25" s="730"/>
      <c r="BP25" s="730"/>
      <c r="BQ25" s="730"/>
      <c r="BR25" s="795">
        <f>IF(OR($C$74=$AR25,$D$74=$AR25),Schweine_Werte!$M25*0.5,IF(OR($C$74&gt;$AR25,$D$74&lt;$AR25),0,Schweine_Werte!$M25))</f>
        <v>0</v>
      </c>
      <c r="BS25" s="795">
        <f>IF(OR($C$83=$AR25,$D$83=$AR25),Schweine_Werte!$M25*0.5,IF(OR($C$83&gt;$AR25,$D$83&lt;$AR25),0,Schweine_Werte!$M25))</f>
        <v>0</v>
      </c>
      <c r="BT25" s="730">
        <f>IF(OR($C$92=$AR25,$D$92=$AR25),Schweine_Werte!$M25*0.5,IF(OR($C$92&gt;$AR25,$D$92&lt;$AR25),0,Schweine_Werte!$M25))</f>
        <v>0</v>
      </c>
      <c r="BU25" s="730">
        <f>IF(OR($C$101=$AR25,$D$101=$AR25),Schweine_Werte!$M25*0.5,IF(OR($C$101&gt;$AR25,$D$101&lt;$AR25),0,Schweine_Werte!$M25))</f>
        <v>0</v>
      </c>
      <c r="BV25" s="730">
        <f>IF(OR($C$110=$AR25,$D$110=$AR25),Schweine_Werte!$M25*0.5,IF(OR($C$110&gt;$AR25,$D$110&lt;$AR25),0,Schweine_Werte!$M25))</f>
        <v>0</v>
      </c>
      <c r="BW25" s="730">
        <f>IF(OR(8=$AR25,$E$127=$AR25),Schweine_Werte!$M25*0.5,IF(OR(8&gt;$AR25,$E$127&lt;$AR25),0,Schweine_Werte!$M25))</f>
        <v>1.5964550424733612</v>
      </c>
      <c r="BX25" s="730">
        <f>IF(OR(8=$AR25,$E$145=$AR25),Schweine_Werte!$M25*0.5,IF(OR(8&gt;$AR25,$E$145&lt;$AR25),0,Schweine_Werte!$M25))</f>
        <v>1.5964550424733612</v>
      </c>
      <c r="BY25" s="795">
        <f>IF(OR($C$74=$AR25,$D$74=$AR25),Schweine_Werte!$O25*0.5,IF(OR($C$74&gt;$AR25,$D$74&lt;$AR25),0,Schweine_Werte!$O25))</f>
        <v>0</v>
      </c>
      <c r="BZ25" s="795">
        <f>IF(OR($C$83=$AR25,$D$83=$AR25),Schweine_Werte!$O25*0.5,IF(OR($C$83&gt;$AR25,$D$83&lt;$AR25),0,Schweine_Werte!$O25))</f>
        <v>0</v>
      </c>
      <c r="CA25" s="730">
        <f>IF(OR($C$92=$AR25,$D$92=$AR25),Schweine_Werte!$O25*0.5,IF(OR($C$92&gt;$AR25,$D$92&lt;$AR25),0,Schweine_Werte!$O25))</f>
        <v>0</v>
      </c>
      <c r="CB25" s="730">
        <f>IF(OR($C$101=$AR25,$D$101=$AR25),Schweine_Werte!$O25*0.5,IF(OR($C$101&gt;$AR25,$D$101&lt;$AR25),0,Schweine_Werte!$O25))</f>
        <v>0</v>
      </c>
      <c r="CC25" s="730">
        <f>IF(OR($C$110=$AR25,$D$110=$AR25),Schweine_Werte!$O25*0.5,IF(OR($C$110&gt;$AR25,$D$110&lt;$AR25),0,Schweine_Werte!$O25))</f>
        <v>0</v>
      </c>
    </row>
    <row r="26" spans="1:81" ht="18" x14ac:dyDescent="0.35">
      <c r="H26" s="784"/>
      <c r="I26" s="784"/>
      <c r="L26" s="818"/>
      <c r="W26" s="1620" t="s">
        <v>7674</v>
      </c>
      <c r="X26" s="1620"/>
      <c r="Y26" s="1620"/>
      <c r="AR26" s="806">
        <v>30</v>
      </c>
      <c r="AS26" s="795">
        <f>IF(OR($C$12=$AR26,$D$12=$AR26),Schweine_Werte!$C26*0.5,IF(OR($C$12&gt;$AR26,$D$12&lt;$AR26),0,Schweine_Werte!$C26))</f>
        <v>0</v>
      </c>
      <c r="AT26" s="730">
        <f>IF(OR($C$24=$AR26,$D$24=$AR26),Schweine_Werte!$C26*0.5,IF(OR($C$24&gt;$AR26,$D$24&lt;$AR26),0,Schweine_Werte!$C26))</f>
        <v>0</v>
      </c>
      <c r="AU26" s="795">
        <f>IF(OR($C$36=$AR26,$D$36=$AR26),Schweine_Werte!$C26*0.5,IF(OR($C$36&gt;$AR26,$D$36&lt;$AR26),0,Schweine_Werte!$C26))</f>
        <v>0</v>
      </c>
      <c r="AV26" s="795">
        <f>IF(OR($C$48=$AR26,$D$48=$AR26),Schweine_Werte!$C26*0.5,IF(OR($C$48&gt;$AR26,$D$48&lt;$AR26),0,Schweine_Werte!$C26))</f>
        <v>0</v>
      </c>
      <c r="AW26" s="795">
        <f>IF(OR($C$60=$AR26,$D$60=$AR26),Schweine_Werte!$C26*0.5,IF(OR($C$60&gt;$AR26,$D$60&lt;$AR26),0,Schweine_Werte!$C26))</f>
        <v>0</v>
      </c>
      <c r="AX26" s="795">
        <f>IF(OR($C$12=$AR26,$D$12=$AR26),Schweine_Werte!$E26*0.5,IF(OR($C$12&gt;$AR26,$D$12&lt;$AR26),0,Schweine_Werte!$E26))</f>
        <v>0</v>
      </c>
      <c r="AY26" s="730">
        <f>IF(OR($C$24=$AR26,$D$24=$AR26),Schweine_Werte!$E26*0.5,IF(OR($C$24&gt;$AR26,$D$24&lt;$AR26),0,Schweine_Werte!$E26))</f>
        <v>0</v>
      </c>
      <c r="AZ26" s="730">
        <f>IF(OR($C$36=$AR26,$D$36=$AR26),Schweine_Werte!$E26*0.5,IF(OR($C$36&gt;$AR26,$D$36&lt;$AR26),0,Schweine_Werte!$E26))</f>
        <v>0</v>
      </c>
      <c r="BA26" s="730">
        <f>IF(OR($C$48=$AR26,$D$48=$AR26),Schweine_Werte!$E26*0.5,IF(OR($C$48&gt;$AR26,$D$48&lt;$AR26),0,Schweine_Werte!$E26))</f>
        <v>0</v>
      </c>
      <c r="BB26" s="730">
        <f>IF(OR($C$60=$AR26,$D$60=$AR26),Schweine_Werte!$E26*0.5,IF(OR($C$60&gt;$AR26,$D$60&lt;$AR26),0,Schweine_Werte!$E26))</f>
        <v>0</v>
      </c>
      <c r="BC26" s="795">
        <f>IF(OR($C$12=$AR26,$D$12=$AR26),Schweine_Werte!$G26*0.5,IF(OR($C$12&gt;$AR26,$D$12&lt;$AR26),0,Schweine_Werte!$G26))</f>
        <v>0</v>
      </c>
      <c r="BD26" s="730">
        <f>IF(OR($C$24=$AR26,$D$24=$AR26),Schweine_Werte!$G26*0.5,IF(OR($C$24&gt;$AR26,$D$24&lt;$AR26),0,Schweine_Werte!$G26))</f>
        <v>0</v>
      </c>
      <c r="BE26" s="730">
        <f>IF(OR($C$36=$AR26,$D$36=$AR26),Schweine_Werte!$G26*0.5,IF(OR($C$36&gt;$AR26,$D$36&lt;$AR26),0,Schweine_Werte!$G26))</f>
        <v>0</v>
      </c>
      <c r="BF26" s="730">
        <f>IF(OR($C$48=$AR26,$D$48=$AR26),Schweine_Werte!$G26*0.5,IF(OR($C$48&gt;$AR26,$D$48&lt;$AR26),0,Schweine_Werte!$G26))</f>
        <v>0</v>
      </c>
      <c r="BG26" s="730">
        <f>IF(OR($C$60=$AR26,$D$60=$AR26),Schweine_Werte!$G26*0.5,IF(OR($C$60&gt;$AR26,$D$60&lt;$AR26),0,Schweine_Werte!$G26))</f>
        <v>0</v>
      </c>
      <c r="BH26" s="795">
        <f>IF(OR($C$12=$AR26,$D$12=$AR26),Schweine_Werte!$I26*0.5,IF(OR($C$12&gt;$AR26,$D$12&lt;$AR26),0,Schweine_Werte!$I26))</f>
        <v>0</v>
      </c>
      <c r="BI26" s="730">
        <f>IF(OR($C$24=$AR26,$D$24=$AR26),Schweine_Werte!$I26*0.5,IF(OR($C$24&gt;$AR26,$D$24&lt;$AR26),0,Schweine_Werte!$I26))</f>
        <v>0</v>
      </c>
      <c r="BJ26" s="730">
        <f>IF(OR($C$36=$AR26,$D$36=$AR26),Schweine_Werte!$I26*0.5,IF(OR($C$36&gt;$AR26,$D$36&lt;$AR26),0,Schweine_Werte!$I26))</f>
        <v>0</v>
      </c>
      <c r="BK26" s="730">
        <f>IF(OR($C$48=$AR26,$D$48=$AR26),Schweine_Werte!$I26*0.5,IF(OR($C$48&gt;$AR26,$D$48&lt;$AR26),0,Schweine_Werte!$I26))</f>
        <v>0</v>
      </c>
      <c r="BL26" s="730">
        <f>IF(OR($C$60=$AR26,$D$60=$AR26),Schweine_Werte!$I26*0.5,IF(OR($C$60&gt;$AR26,$D$60&lt;$AR26),0,Schweine_Werte!$I26))</f>
        <v>0</v>
      </c>
      <c r="BM26" s="795"/>
      <c r="BN26" s="730"/>
      <c r="BO26" s="730"/>
      <c r="BP26" s="730"/>
      <c r="BQ26" s="730"/>
      <c r="BR26" s="795">
        <f>IF(OR($C$74=$AR26,$D$74=$AR26),Schweine_Werte!$M26*0.5,IF(OR($C$74&gt;$AR26,$D$74&lt;$AR26),0,Schweine_Werte!$M26))</f>
        <v>0</v>
      </c>
      <c r="BS26" s="795">
        <f>IF(OR($C$83=$AR26,$D$83=$AR26),Schweine_Werte!$M26*0.5,IF(OR($C$83&gt;$AR26,$D$83&lt;$AR26),0,Schweine_Werte!$M26))</f>
        <v>0</v>
      </c>
      <c r="BT26" s="730">
        <f>IF(OR($C$92=$AR26,$D$92=$AR26),Schweine_Werte!$M26*0.5,IF(OR($C$92&gt;$AR26,$D$92&lt;$AR26),0,Schweine_Werte!$M26))</f>
        <v>0</v>
      </c>
      <c r="BU26" s="730">
        <f>IF(OR($C$101=$AR26,$D$101=$AR26),Schweine_Werte!$M26*0.5,IF(OR($C$101&gt;$AR26,$D$101&lt;$AR26),0,Schweine_Werte!$M26))</f>
        <v>0</v>
      </c>
      <c r="BV26" s="730">
        <f>IF(OR($C$110=$AR26,$D$110=$AR26),Schweine_Werte!$M26*0.5,IF(OR($C$110&gt;$AR26,$D$110&lt;$AR26),0,Schweine_Werte!$M26))</f>
        <v>0</v>
      </c>
      <c r="BW26" s="730">
        <f>IF(OR(8=$AR26,$E$127=$AR26),Schweine_Werte!$M26*0.5,IF(OR(8&gt;$AR26,$E$127&lt;$AR26),0,Schweine_Werte!$M26))</f>
        <v>1.5649547016254071</v>
      </c>
      <c r="BX26" s="730">
        <f>IF(OR(8=$AR26,$E$145=$AR26),Schweine_Werte!$M26*0.5,IF(OR(8&gt;$AR26,$E$145&lt;$AR26),0,Schweine_Werte!$M26))</f>
        <v>1.5649547016254071</v>
      </c>
      <c r="BY26" s="795">
        <f>IF(OR($C$74=$AR26,$D$74=$AR26),Schweine_Werte!$O26*0.5,IF(OR($C$74&gt;$AR26,$D$74&lt;$AR26),0,Schweine_Werte!$O26))</f>
        <v>0</v>
      </c>
      <c r="BZ26" s="795">
        <f>IF(OR($C$83=$AR26,$D$83=$AR26),Schweine_Werte!$O26*0.5,IF(OR($C$83&gt;$AR26,$D$83&lt;$AR26),0,Schweine_Werte!$O26))</f>
        <v>0</v>
      </c>
      <c r="CA26" s="730">
        <f>IF(OR($C$92=$AR26,$D$92=$AR26),Schweine_Werte!$O26*0.5,IF(OR($C$92&gt;$AR26,$D$92&lt;$AR26),0,Schweine_Werte!$O26))</f>
        <v>0</v>
      </c>
      <c r="CB26" s="730">
        <f>IF(OR($C$101=$AR26,$D$101=$AR26),Schweine_Werte!$O26*0.5,IF(OR($C$101&gt;$AR26,$D$101&lt;$AR26),0,Schweine_Werte!$O26))</f>
        <v>0</v>
      </c>
      <c r="CC26" s="730">
        <f>IF(OR($C$110=$AR26,$D$110=$AR26),Schweine_Werte!$O26*0.5,IF(OR($C$110&gt;$AR26,$D$110&lt;$AR26),0,Schweine_Werte!$O26))</f>
        <v>0</v>
      </c>
    </row>
    <row r="27" spans="1:81" ht="18" x14ac:dyDescent="0.35">
      <c r="B27" s="788"/>
      <c r="C27" s="788"/>
      <c r="D27" s="788"/>
      <c r="E27" s="788"/>
      <c r="F27" s="788"/>
      <c r="G27" s="788"/>
      <c r="H27" s="789"/>
      <c r="L27" s="129" t="s">
        <v>255</v>
      </c>
      <c r="Q27" s="1620" t="s">
        <v>7781</v>
      </c>
      <c r="R27" s="1620"/>
      <c r="S27" s="1620"/>
      <c r="T27" s="1620" t="s">
        <v>7782</v>
      </c>
      <c r="U27" s="1620"/>
      <c r="V27" s="1620"/>
      <c r="W27" t="s">
        <v>7687</v>
      </c>
      <c r="X27" t="s">
        <v>7688</v>
      </c>
      <c r="Y27" t="s">
        <v>7689</v>
      </c>
      <c r="Z27" t="s">
        <v>7783</v>
      </c>
      <c r="AG27" t="s">
        <v>7784</v>
      </c>
      <c r="AJ27" t="s">
        <v>7785</v>
      </c>
      <c r="AR27" s="806">
        <v>31</v>
      </c>
      <c r="AS27" s="795">
        <f>IF(OR($C$12=$AR27,$D$12=$AR27),Schweine_Werte!$C27*0.5,IF(OR($C$12&gt;$AR27,$D$12&lt;$AR27),0,Schweine_Werte!$C27))</f>
        <v>0</v>
      </c>
      <c r="AT27" s="730">
        <f>IF(OR($C$24=$AR27,$D$24=$AR27),Schweine_Werte!$C27*0.5,IF(OR($C$24&gt;$AR27,$D$24&lt;$AR27),0,Schweine_Werte!$C27))</f>
        <v>0</v>
      </c>
      <c r="AU27" s="795">
        <f>IF(OR($C$36=$AR27,$D$36=$AR27),Schweine_Werte!$C27*0.5,IF(OR($C$36&gt;$AR27,$D$36&lt;$AR27),0,Schweine_Werte!$C27))</f>
        <v>0</v>
      </c>
      <c r="AV27" s="795">
        <f>IF(OR($C$48=$AR27,$D$48=$AR27),Schweine_Werte!$C27*0.5,IF(OR($C$48&gt;$AR27,$D$48&lt;$AR27),0,Schweine_Werte!$C27))</f>
        <v>0</v>
      </c>
      <c r="AW27" s="795">
        <f>IF(OR($C$60=$AR27,$D$60=$AR27),Schweine_Werte!$C27*0.5,IF(OR($C$60&gt;$AR27,$D$60&lt;$AR27),0,Schweine_Werte!$C27))</f>
        <v>0</v>
      </c>
      <c r="AX27" s="795">
        <f>IF(OR($C$12=$AR27,$D$12=$AR27),Schweine_Werte!$E27*0.5,IF(OR($C$12&gt;$AR27,$D$12&lt;$AR27),0,Schweine_Werte!$E27))</f>
        <v>0</v>
      </c>
      <c r="AY27" s="730">
        <f>IF(OR($C$24=$AR27,$D$24=$AR27),Schweine_Werte!$E27*0.5,IF(OR($C$24&gt;$AR27,$D$24&lt;$AR27),0,Schweine_Werte!$E27))</f>
        <v>0</v>
      </c>
      <c r="AZ27" s="730">
        <f>IF(OR($C$36=$AR27,$D$36=$AR27),Schweine_Werte!$E27*0.5,IF(OR($C$36&gt;$AR27,$D$36&lt;$AR27),0,Schweine_Werte!$E27))</f>
        <v>0</v>
      </c>
      <c r="BA27" s="730">
        <f>IF(OR($C$48=$AR27,$D$48=$AR27),Schweine_Werte!$E27*0.5,IF(OR($C$48&gt;$AR27,$D$48&lt;$AR27),0,Schweine_Werte!$E27))</f>
        <v>0</v>
      </c>
      <c r="BB27" s="730">
        <f>IF(OR($C$60=$AR27,$D$60=$AR27),Schweine_Werte!$E27*0.5,IF(OR($C$60&gt;$AR27,$D$60&lt;$AR27),0,Schweine_Werte!$E27))</f>
        <v>0</v>
      </c>
      <c r="BC27" s="795">
        <f>IF(OR($C$12=$AR27,$D$12=$AR27),Schweine_Werte!$G27*0.5,IF(OR($C$12&gt;$AR27,$D$12&lt;$AR27),0,Schweine_Werte!$G27))</f>
        <v>0</v>
      </c>
      <c r="BD27" s="730">
        <f>IF(OR($C$24=$AR27,$D$24=$AR27),Schweine_Werte!$G27*0.5,IF(OR($C$24&gt;$AR27,$D$24&lt;$AR27),0,Schweine_Werte!$G27))</f>
        <v>0</v>
      </c>
      <c r="BE27" s="730">
        <f>IF(OR($C$36=$AR27,$D$36=$AR27),Schweine_Werte!$G27*0.5,IF(OR($C$36&gt;$AR27,$D$36&lt;$AR27),0,Schweine_Werte!$G27))</f>
        <v>0</v>
      </c>
      <c r="BF27" s="730">
        <f>IF(OR($C$48=$AR27,$D$48=$AR27),Schweine_Werte!$G27*0.5,IF(OR($C$48&gt;$AR27,$D$48&lt;$AR27),0,Schweine_Werte!$G27))</f>
        <v>0</v>
      </c>
      <c r="BG27" s="730">
        <f>IF(OR($C$60=$AR27,$D$60=$AR27),Schweine_Werte!$G27*0.5,IF(OR($C$60&gt;$AR27,$D$60&lt;$AR27),0,Schweine_Werte!$G27))</f>
        <v>0</v>
      </c>
      <c r="BH27" s="795">
        <f>IF(OR($C$12=$AR27,$D$12=$AR27),Schweine_Werte!$I27*0.5,IF(OR($C$12&gt;$AR27,$D$12&lt;$AR27),0,Schweine_Werte!$I27))</f>
        <v>0</v>
      </c>
      <c r="BI27" s="730">
        <f>IF(OR($C$24=$AR27,$D$24=$AR27),Schweine_Werte!$I27*0.5,IF(OR($C$24&gt;$AR27,$D$24&lt;$AR27),0,Schweine_Werte!$I27))</f>
        <v>0</v>
      </c>
      <c r="BJ27" s="730">
        <f>IF(OR($C$36=$AR27,$D$36=$AR27),Schweine_Werte!$I27*0.5,IF(OR($C$36&gt;$AR27,$D$36&lt;$AR27),0,Schweine_Werte!$I27))</f>
        <v>0</v>
      </c>
      <c r="BK27" s="730">
        <f>IF(OR($C$48=$AR27,$D$48=$AR27),Schweine_Werte!$I27*0.5,IF(OR($C$48&gt;$AR27,$D$48&lt;$AR27),0,Schweine_Werte!$I27))</f>
        <v>0</v>
      </c>
      <c r="BL27" s="730">
        <f>IF(OR($C$60=$AR27,$D$60=$AR27),Schweine_Werte!$I27*0.5,IF(OR($C$60&gt;$AR27,$D$60&lt;$AR27),0,Schweine_Werte!$I27))</f>
        <v>0</v>
      </c>
      <c r="BM27" s="795"/>
      <c r="BN27" s="730"/>
      <c r="BO27" s="730"/>
      <c r="BP27" s="730"/>
      <c r="BQ27" s="730"/>
      <c r="BR27" s="795">
        <f>IF(OR($C$74=$AR27,$D$74=$AR27),Schweine_Werte!$M27*0.5,IF(OR($C$74&gt;$AR27,$D$74&lt;$AR27),0,Schweine_Werte!$M27))</f>
        <v>0</v>
      </c>
      <c r="BS27" s="795">
        <f>IF(OR($C$83=$AR27,$D$83=$AR27),Schweine_Werte!$M27*0.5,IF(OR($C$83&gt;$AR27,$D$83&lt;$AR27),0,Schweine_Werte!$M27))</f>
        <v>0</v>
      </c>
      <c r="BT27" s="730">
        <f>IF(OR($C$92=$AR27,$D$92=$AR27),Schweine_Werte!$M27*0.5,IF(OR($C$92&gt;$AR27,$D$92&lt;$AR27),0,Schweine_Werte!$M27))</f>
        <v>0</v>
      </c>
      <c r="BU27" s="730">
        <f>IF(OR($C$101=$AR27,$D$101=$AR27),Schweine_Werte!$M27*0.5,IF(OR($C$101&gt;$AR27,$D$101&lt;$AR27),0,Schweine_Werte!$M27))</f>
        <v>0</v>
      </c>
      <c r="BV27" s="730">
        <f>IF(OR($C$110=$AR27,$D$110=$AR27),Schweine_Werte!$M27*0.5,IF(OR($C$110&gt;$AR27,$D$110&lt;$AR27),0,Schweine_Werte!$M27))</f>
        <v>0</v>
      </c>
      <c r="BW27" s="730">
        <f>IF(OR(8=$AR27,$E$127=$AR27),Schweine_Werte!$M27*0.5,IF(OR(8&gt;$AR27,$E$127&lt;$AR27),0,Schweine_Werte!$M27))</f>
        <v>1.5353483916272892</v>
      </c>
      <c r="BX27" s="730">
        <f>IF(OR(8=$AR27,$E$145=$AR27),Schweine_Werte!$M27*0.5,IF(OR(8&gt;$AR27,$E$145&lt;$AR27),0,Schweine_Werte!$M27))</f>
        <v>1.5353483916272892</v>
      </c>
      <c r="BY27" s="795">
        <f>IF(OR($C$74=$AR27,$D$74=$AR27),Schweine_Werte!$O27*0.5,IF(OR($C$74&gt;$AR27,$D$74&lt;$AR27),0,Schweine_Werte!$O27))</f>
        <v>0</v>
      </c>
      <c r="BZ27" s="795">
        <f>IF(OR($C$83=$AR27,$D$83=$AR27),Schweine_Werte!$O27*0.5,IF(OR($C$83&gt;$AR27,$D$83&lt;$AR27),0,Schweine_Werte!$O27))</f>
        <v>0</v>
      </c>
      <c r="CA27" s="730">
        <f>IF(OR($C$92=$AR27,$D$92=$AR27),Schweine_Werte!$O27*0.5,IF(OR($C$92&gt;$AR27,$D$92&lt;$AR27),0,Schweine_Werte!$O27))</f>
        <v>0</v>
      </c>
      <c r="CB27" s="730">
        <f>IF(OR($C$101=$AR27,$D$101=$AR27),Schweine_Werte!$O27*0.5,IF(OR($C$101&gt;$AR27,$D$101&lt;$AR27),0,Schweine_Werte!$O27))</f>
        <v>0</v>
      </c>
      <c r="CC27" s="730">
        <f>IF(OR($C$110=$AR27,$D$110=$AR27),Schweine_Werte!$O27*0.5,IF(OR($C$110&gt;$AR27,$D$110&lt;$AR27),0,Schweine_Werte!$O27))</f>
        <v>0</v>
      </c>
    </row>
    <row r="28" spans="1:81" x14ac:dyDescent="0.25">
      <c r="B28" t="s">
        <v>7699</v>
      </c>
      <c r="E28" t="s">
        <v>7700</v>
      </c>
      <c r="F28" t="s">
        <v>196</v>
      </c>
      <c r="G28" t="s">
        <v>7701</v>
      </c>
      <c r="H28" t="s">
        <v>7702</v>
      </c>
      <c r="I28" t="s">
        <v>7703</v>
      </c>
      <c r="J28" t="s">
        <v>596</v>
      </c>
      <c r="K28" t="s">
        <v>7704</v>
      </c>
      <c r="L28" s="129" t="s">
        <v>7705</v>
      </c>
      <c r="M28" t="s">
        <v>7706</v>
      </c>
      <c r="N28" t="s">
        <v>7707</v>
      </c>
      <c r="O28" t="s">
        <v>7708</v>
      </c>
      <c r="P28" t="s">
        <v>7709</v>
      </c>
      <c r="Q28" t="s">
        <v>39</v>
      </c>
      <c r="R28" t="s">
        <v>40</v>
      </c>
      <c r="S28" t="s">
        <v>41</v>
      </c>
      <c r="T28" t="s">
        <v>39</v>
      </c>
      <c r="U28" t="s">
        <v>40</v>
      </c>
      <c r="V28" t="s">
        <v>41</v>
      </c>
      <c r="AR28" s="806">
        <v>32</v>
      </c>
      <c r="AS28" s="795">
        <f>IF(OR($C$12=$AR28,$D$12=$AR28),Schweine_Werte!$C28*0.5,IF(OR($C$12&gt;$AR28,$D$12&lt;$AR28),0,Schweine_Werte!$C28))</f>
        <v>0</v>
      </c>
      <c r="AT28" s="730">
        <f>IF(OR($C$24=$AR28,$D$24=$AR28),Schweine_Werte!$C28*0.5,IF(OR($C$24&gt;$AR28,$D$24&lt;$AR28),0,Schweine_Werte!$C28))</f>
        <v>0</v>
      </c>
      <c r="AU28" s="795">
        <f>IF(OR($C$36=$AR28,$D$36=$AR28),Schweine_Werte!$C28*0.5,IF(OR($C$36&gt;$AR28,$D$36&lt;$AR28),0,Schweine_Werte!$C28))</f>
        <v>0</v>
      </c>
      <c r="AV28" s="795">
        <f>IF(OR($C$48=$AR28,$D$48=$AR28),Schweine_Werte!$C28*0.5,IF(OR($C$48&gt;$AR28,$D$48&lt;$AR28),0,Schweine_Werte!$C28))</f>
        <v>0</v>
      </c>
      <c r="AW28" s="795">
        <f>IF(OR($C$60=$AR28,$D$60=$AR28),Schweine_Werte!$C28*0.5,IF(OR($C$60&gt;$AR28,$D$60&lt;$AR28),0,Schweine_Werte!$C28))</f>
        <v>0</v>
      </c>
      <c r="AX28" s="795">
        <f>IF(OR($C$12=$AR28,$D$12=$AR28),Schweine_Werte!$E28*0.5,IF(OR($C$12&gt;$AR28,$D$12&lt;$AR28),0,Schweine_Werte!$E28))</f>
        <v>0</v>
      </c>
      <c r="AY28" s="730">
        <f>IF(OR($C$24=$AR28,$D$24=$AR28),Schweine_Werte!$E28*0.5,IF(OR($C$24&gt;$AR28,$D$24&lt;$AR28),0,Schweine_Werte!$E28))</f>
        <v>0</v>
      </c>
      <c r="AZ28" s="730">
        <f>IF(OR($C$36=$AR28,$D$36=$AR28),Schweine_Werte!$E28*0.5,IF(OR($C$36&gt;$AR28,$D$36&lt;$AR28),0,Schweine_Werte!$E28))</f>
        <v>0</v>
      </c>
      <c r="BA28" s="730">
        <f>IF(OR($C$48=$AR28,$D$48=$AR28),Schweine_Werte!$E28*0.5,IF(OR($C$48&gt;$AR28,$D$48&lt;$AR28),0,Schweine_Werte!$E28))</f>
        <v>0</v>
      </c>
      <c r="BB28" s="730">
        <f>IF(OR($C$60=$AR28,$D$60=$AR28),Schweine_Werte!$E28*0.5,IF(OR($C$60&gt;$AR28,$D$60&lt;$AR28),0,Schweine_Werte!$E28))</f>
        <v>0</v>
      </c>
      <c r="BC28" s="795">
        <f>IF(OR($C$12=$AR28,$D$12=$AR28),Schweine_Werte!$G28*0.5,IF(OR($C$12&gt;$AR28,$D$12&lt;$AR28),0,Schweine_Werte!$G28))</f>
        <v>0</v>
      </c>
      <c r="BD28" s="730">
        <f>IF(OR($C$24=$AR28,$D$24=$AR28),Schweine_Werte!$G28*0.5,IF(OR($C$24&gt;$AR28,$D$24&lt;$AR28),0,Schweine_Werte!$G28))</f>
        <v>0</v>
      </c>
      <c r="BE28" s="730">
        <f>IF(OR($C$36=$AR28,$D$36=$AR28),Schweine_Werte!$G28*0.5,IF(OR($C$36&gt;$AR28,$D$36&lt;$AR28),0,Schweine_Werte!$G28))</f>
        <v>0</v>
      </c>
      <c r="BF28" s="730">
        <f>IF(OR($C$48=$AR28,$D$48=$AR28),Schweine_Werte!$G28*0.5,IF(OR($C$48&gt;$AR28,$D$48&lt;$AR28),0,Schweine_Werte!$G28))</f>
        <v>0</v>
      </c>
      <c r="BG28" s="730">
        <f>IF(OR($C$60=$AR28,$D$60=$AR28),Schweine_Werte!$G28*0.5,IF(OR($C$60&gt;$AR28,$D$60&lt;$AR28),0,Schweine_Werte!$G28))</f>
        <v>0</v>
      </c>
      <c r="BH28" s="795">
        <f>IF(OR($C$12=$AR28,$D$12=$AR28),Schweine_Werte!$I28*0.5,IF(OR($C$12&gt;$AR28,$D$12&lt;$AR28),0,Schweine_Werte!$I28))</f>
        <v>0</v>
      </c>
      <c r="BI28" s="730">
        <f>IF(OR($C$24=$AR28,$D$24=$AR28),Schweine_Werte!$I28*0.5,IF(OR($C$24&gt;$AR28,$D$24&lt;$AR28),0,Schweine_Werte!$I28))</f>
        <v>0</v>
      </c>
      <c r="BJ28" s="730">
        <f>IF(OR($C$36=$AR28,$D$36=$AR28),Schweine_Werte!$I28*0.5,IF(OR($C$36&gt;$AR28,$D$36&lt;$AR28),0,Schweine_Werte!$I28))</f>
        <v>0</v>
      </c>
      <c r="BK28" s="730">
        <f>IF(OR($C$48=$AR28,$D$48=$AR28),Schweine_Werte!$I28*0.5,IF(OR($C$48&gt;$AR28,$D$48&lt;$AR28),0,Schweine_Werte!$I28))</f>
        <v>0</v>
      </c>
      <c r="BL28" s="730">
        <f>IF(OR($C$60=$AR28,$D$60=$AR28),Schweine_Werte!$I28*0.5,IF(OR($C$60&gt;$AR28,$D$60&lt;$AR28),0,Schweine_Werte!$I28))</f>
        <v>0</v>
      </c>
      <c r="BM28" s="795"/>
      <c r="BN28" s="730"/>
      <c r="BO28" s="730"/>
      <c r="BP28" s="730"/>
      <c r="BQ28" s="730"/>
      <c r="BR28" s="795">
        <f>IF(OR($C$74=$AR28,$D$74=$AR28),Schweine_Werte!$M28*0.5,IF(OR($C$74&gt;$AR28,$D$74&lt;$AR28),0,Schweine_Werte!$M28))</f>
        <v>0</v>
      </c>
      <c r="BS28" s="795">
        <f>IF(OR($C$83=$AR28,$D$83=$AR28),Schweine_Werte!$M28*0.5,IF(OR($C$83&gt;$AR28,$D$83&lt;$AR28),0,Schweine_Werte!$M28))</f>
        <v>0</v>
      </c>
      <c r="BT28" s="730">
        <f>IF(OR($C$92=$AR28,$D$92=$AR28),Schweine_Werte!$M28*0.5,IF(OR($C$92&gt;$AR28,$D$92&lt;$AR28),0,Schweine_Werte!$M28))</f>
        <v>0</v>
      </c>
      <c r="BU28" s="730">
        <f>IF(OR($C$101=$AR28,$D$101=$AR28),Schweine_Werte!$M28*0.5,IF(OR($C$101&gt;$AR28,$D$101&lt;$AR28),0,Schweine_Werte!$M28))</f>
        <v>0</v>
      </c>
      <c r="BV28" s="730">
        <f>IF(OR($C$110=$AR28,$D$110=$AR28),Schweine_Werte!$M28*0.5,IF(OR($C$110&gt;$AR28,$D$110&lt;$AR28),0,Schweine_Werte!$M28))</f>
        <v>0</v>
      </c>
      <c r="BW28" s="730">
        <f>IF(OR(8=$AR28,$E$127=$AR28),Schweine_Werte!$M28*0.5,IF(OR(8&gt;$AR28,$E$127&lt;$AR28),0,Schweine_Werte!$M28))</f>
        <v>1.5074933090959595</v>
      </c>
      <c r="BX28" s="730">
        <f>IF(OR(8=$AR28,$E$145=$AR28),Schweine_Werte!$M28*0.5,IF(OR(8&gt;$AR28,$E$145&lt;$AR28),0,Schweine_Werte!$M28))</f>
        <v>1.5074933090959595</v>
      </c>
      <c r="BY28" s="795">
        <f>IF(OR($C$74=$AR28,$D$74=$AR28),Schweine_Werte!$O28*0.5,IF(OR($C$74&gt;$AR28,$D$74&lt;$AR28),0,Schweine_Werte!$O28))</f>
        <v>0</v>
      </c>
      <c r="BZ28" s="795">
        <f>IF(OR($C$83=$AR28,$D$83=$AR28),Schweine_Werte!$O28*0.5,IF(OR($C$83&gt;$AR28,$D$83&lt;$AR28),0,Schweine_Werte!$O28))</f>
        <v>0</v>
      </c>
      <c r="CA28" s="730">
        <f>IF(OR($C$92=$AR28,$D$92=$AR28),Schweine_Werte!$O28*0.5,IF(OR($C$92&gt;$AR28,$D$92&lt;$AR28),0,Schweine_Werte!$O28))</f>
        <v>0</v>
      </c>
      <c r="CB28" s="730">
        <f>IF(OR($C$101=$AR28,$D$101=$AR28),Schweine_Werte!$O28*0.5,IF(OR($C$101&gt;$AR28,$D$101&lt;$AR28),0,Schweine_Werte!$O28))</f>
        <v>0</v>
      </c>
      <c r="CC28" s="730">
        <f>IF(OR($C$110=$AR28,$D$110=$AR28),Schweine_Werte!$O28*0.5,IF(OR($C$110&gt;$AR28,$D$110&lt;$AR28),0,Schweine_Werte!$O28))</f>
        <v>0</v>
      </c>
    </row>
    <row r="29" spans="1:81" x14ac:dyDescent="0.25">
      <c r="B29" s="705">
        <v>700</v>
      </c>
      <c r="D29" s="730"/>
      <c r="E29" s="730" t="e">
        <f>($D36-$C36)*1000/SUM($AU$4:$AU$146)</f>
        <v>#VALUE!</v>
      </c>
      <c r="F29" s="730" t="e">
        <f>SUMPRODUCT($AU$4:$AU$146,Schweine_Werte!$Q$4:$Q$146)/SUM($AU$4:$AU$146)</f>
        <v>#DIV/0!</v>
      </c>
      <c r="G29" s="730" t="e">
        <f>IF($B36=$A$8,SUMPRODUCT($AU$4:$AU$146,Schweine_Werte!EH$4:EH$146)/SUM($AU$4:$AU$146),IF($B36=$A$7,SUMPRODUCT($AU$4:$AU$146,Schweine_Werte!DB$4:DB$146)/SUM($AU$4:$AU$146),IF($B36=$A$6,SUMPRODUCT($AU$4:$AU$146,Schweine_Werte!BV$4:BV$146)/SUM($AU$4:$AU$146),SUMPRODUCT($AU$4:$AU$146,Schweine_Werte!AP$4:AP$146)/SUM($AU$4:$AU$146))))</f>
        <v>#DIV/0!</v>
      </c>
      <c r="H29" s="730" t="e">
        <f>IF($B36=$A$8,SUMPRODUCT($AU$4:$AU$146,Schweine_Werte!EI$4:EI$146)/SUM($AU$4:$AU$146),IF($B36=$A$7,SUMPRODUCT($AU$4:$AU$146,Schweine_Werte!DC$4:DC$146)/SUM($AU$4:$AU$146),IF($B36=$A$6,SUMPRODUCT($AU$4:$AU$146,Schweine_Werte!BW$4:BW$146)/SUM($AU$4:$AU$146),SUMPRODUCT($AU$4:$AU$146,Schweine_Werte!AQ$4:AQ$146)/SUM($AU$4:$AU$146))))</f>
        <v>#DIV/0!</v>
      </c>
      <c r="I29" s="730" t="e">
        <f>IF($B36=$A$8,SUMPRODUCT($AU$4:$AU$146,Schweine_Werte!EJ$4:EJ$146)/SUM($AU$4:$AU$146),IF($B36=$A$7,SUMPRODUCT($AU$4:$AU$146,Schweine_Werte!DD$4:DD$146)/SUM($AU$4:$AU$146),IF($B36=$A$6,SUMPRODUCT($AU$4:$AU$146,Schweine_Werte!BX$4:BX$146)/SUM($AU$4:$AU$146),SUMPRODUCT($AU$4:$AU$146,Schweine_Werte!AR$4:AR$146)/SUM($AU$4:$AU$146))))</f>
        <v>#DIV/0!</v>
      </c>
      <c r="J29" s="730" t="e">
        <f>SUMPRODUCT($AU$4:$AU$146,Schweine_Werte!$Y$4:$Y$146)/SUM($AU$4:$AU$146)</f>
        <v>#DIV/0!</v>
      </c>
      <c r="K29" s="730" t="e">
        <f>SUMPRODUCT($AU$4:$AU$146,Schweine_Werte!$AG$4:$AG$146)/SUM($AU$4:$AU$146)</f>
        <v>#DIV/0!</v>
      </c>
      <c r="L29" s="818" t="e">
        <f>T29*$F29*365/1000+$J29-$K29</f>
        <v>#DIV/0!</v>
      </c>
      <c r="M29" s="730" t="e">
        <f>U29*$F29*365/1000+$J29-$K29/2</f>
        <v>#DIV/0!</v>
      </c>
      <c r="N29" s="730" t="e">
        <f>V29*$F29*365/1000+$J29</f>
        <v>#DIV/0!</v>
      </c>
      <c r="O29" s="730">
        <f>IF($C36&lt;28,SUM($AU$4:$AU$23)+IF($D36&gt;28,$AU$24*0.5,$AU$24),0)</f>
        <v>0</v>
      </c>
      <c r="P29" s="730">
        <f>IF($D36&gt;28,SUM($AU$25:$AU$146)+IF($C36&lt;28,$AU$24*0.5,$AU$24),0)</f>
        <v>0</v>
      </c>
      <c r="Q29" s="730" t="e">
        <f t="shared" ref="Q29:S32" si="16">+T29*$F29</f>
        <v>#DIV/0!</v>
      </c>
      <c r="R29" s="730" t="e">
        <f t="shared" si="16"/>
        <v>#DIV/0!</v>
      </c>
      <c r="S29" s="730" t="e">
        <f t="shared" si="16"/>
        <v>#DIV/0!</v>
      </c>
      <c r="T29" s="730" t="e">
        <f>+($O29*Schweine_Werte!$HT$5+$P29*Schweine_Werte!$HU$5)/SUM($O29:$P29)</f>
        <v>#DIV/0!</v>
      </c>
      <c r="U29" s="730" t="e">
        <f>+($O29*Schweine_Werte!$HV$5+$P29*Schweine_Werte!$HW$5)/SUM($O29:$P29)</f>
        <v>#DIV/0!</v>
      </c>
      <c r="V29" s="730" t="e">
        <f>+($O29*Schweine_Werte!$HX$5+$P29*Schweine_Werte!$HY$5)/SUM($O29:$P29)</f>
        <v>#DIV/0!</v>
      </c>
      <c r="W29" s="785" t="e">
        <f>($J29*0.055+T29*0.365*0.86*$F29-$K29*0.018)/L29*100</f>
        <v>#DIV/0!</v>
      </c>
      <c r="X29" s="730" t="e">
        <f>($J29*0.055+U29*0.365*0.86*$F29-$K29*0.018/2)/M29*100</f>
        <v>#DIV/0!</v>
      </c>
      <c r="Y29" s="730" t="e">
        <f>($J29*0.055+V29*0.365*0.86*$F29)/N29*100</f>
        <v>#DIV/0!</v>
      </c>
      <c r="Z29" s="730" t="e">
        <f>IF($B36=$A$8,SUMPRODUCT($AU$4:$AU$146,Schweine_Werte!$EK$4:$EK$146,Schweine_Werte!$EL$4:$EL$146)/SUMPRODUCT($AU$4:$AU$146,Schweine_Werte!$EK$4:$EK$146),IF($B36=$A$7,SUMPRODUCT($AU$4:$AU$146,Schweine_Werte!$DE$4:$DE$146,Schweine_Werte!$DF$4:$DF$146)/SUMPRODUCT($AU$4:$AU$146,Schweine_Werte!$DE$4:$DE$146),IF($B36=$A$6,SUMPRODUCT($AU$4:$AU$146,Schweine_Werte!$BY$4:$BY$146,Schweine_Werte!$BZ$4:$BZ$146)/SUMPRODUCT($AU$4:$AU$146,Schweine_Werte!$BY$4:$BY$146),SUMPRODUCT($AU$4:$AU$146,Schweine_Werte!$AS$4:$AS$146,Schweine_Werte!$AT$4:$AT$146)/SUMPRODUCT($AU$4:$AU$146,Schweine_Werte!$AS$4:$AS$146))))</f>
        <v>#DIV/0!</v>
      </c>
      <c r="AA29" s="730"/>
      <c r="AB29" s="730">
        <f>IF($B36=$A$8,SUMIF(Schweine_Werte!$AO$4:$AO$146,$C36,Schweine_Werte!$EL$4:$EL$146),IF($B36=$A$7,SUMIF(Schweine_Werte!$AO$4:$AO$146,$C36,Schweine_Werte!$DF$4:$DF$146),IF($B36=$A$6,SUMIF(Schweine_Werte!$AO$4:$AO$146,$C36,Schweine_Werte!$BZ$4:$BZ$146),SUMIF(Schweine_Werte!$AO$4:$AO$146,$C36,Schweine_Werte!$AT$4:$AT$146))))</f>
        <v>0</v>
      </c>
      <c r="AC29" s="730"/>
      <c r="AD29" s="730">
        <f>IF($B36=$A$8,SUMIF(Schweine_Werte!$AO$4:$AO$146,$D36,Schweine_Werte!$EL$4:$EL$146),IF($B36=$A$7,SUMIF(Schweine_Werte!$AO$4:$AO$146,$D36,Schweine_Werte!$DF$4:$DF$146),IF($B36=$A$6,SUMIF(Schweine_Werte!$AO$4:$AO$146,$D36,Schweine_Werte!$BZ$4:$BZ$146),SUMIF(Schweine_Werte!$AO$4:$AO$146,$D36,Schweine_Werte!$AT$4:$AT$146))))</f>
        <v>0</v>
      </c>
      <c r="AE29" s="730"/>
      <c r="AF29" s="730"/>
      <c r="AG29" s="730" t="e">
        <f>IF($B36=$A$8,SUMPRODUCT($AU$4:$AU$146,Schweine_Werte!$EK$4:$EK$146)/SUM($AU$4:$AU$146),IF($B36=$A$7,SUMPRODUCT($AU$4:$AU$146,Schweine_Werte!$DE$4:$DE$146)/SUM($AU$4:$AU$146),IF($B36=$A$6,SUMPRODUCT($AU$4:$AU$146,Schweine_Werte!$BY$4:$BY$146)/SUM($AU$4:$AU$146),SUMPRODUCT($AU$4:$AU$146,Schweine_Werte!$AS$4:$AS$146)/SUM($AU$4:$AU$146))))</f>
        <v>#DIV/0!</v>
      </c>
      <c r="AH29" s="730"/>
      <c r="AI29" s="730"/>
      <c r="AJ29" s="730" t="e">
        <f>IF($B36=$A$8,SUMPRODUCT($AU$4:$AU$146,Schweine_Werte!$EK$4:$EK$146,Schweine_Werte!$EM$4:$EM$146)/SUMPRODUCT($AU$4:$AU$146,Schweine_Werte!$EK$4:$EK$146),IF($B36=$A$7,SUMPRODUCT($AU$4:$AU$146,Schweine_Werte!$DE$4:$DE$146,Schweine_Werte!$DG$4:$DG$146)/SUMPRODUCT($AU$4:$AU$146,Schweine_Werte!$DE$4:$DE$146),IF($B36=$A$6,SUMPRODUCT($AU$4:$AU$146,Schweine_Werte!$BY$4:$BY$146,Schweine_Werte!$CA$4:$CA$146)/SUMPRODUCT($AU$4:$AU$146,Schweine_Werte!$BY$4:$BY$146),SUMPRODUCT($AU$4:$AU$146,Schweine_Werte!$AS$4:$AS$146,Schweine_Werte!$AU$4:$AU$146)/SUMPRODUCT($AU$4:$AU$146,Schweine_Werte!$AS$4:$AS$146))))</f>
        <v>#DIV/0!</v>
      </c>
      <c r="AK29" s="730"/>
      <c r="AL29" s="730">
        <f>IF($B36=$A$8,SUMIF(Schweine_Werte!$AO$4:$AO$146,$C36,Schweine_Werte!$EM$4:$EM$146),IF($B36=$A$7,SUMIF(Schweine_Werte!$AO$4:$AO$146,$C36,Schweine_Werte!$DG$4:$DG$146),IF($B36=$A$6,SUMIF(Schweine_Werte!$AO$4:$AO$146,$C36,Schweine_Werte!$CA$4:$CA$146),SUMIF(Schweine_Werte!$AO$4:$AO$146,$C36,Schweine_Werte!$AU$4:$AU$146))))</f>
        <v>0</v>
      </c>
      <c r="AM29" s="730"/>
      <c r="AN29" s="730">
        <f>IF($B36=$A$8,SUMIF(Schweine_Werte!$AO$4:$AO$146,$D36,Schweine_Werte!$EM$4:$EM$146),IF($B36=$A$7,SUMIF(Schweine_Werte!$AO$4:$AO$146,$D36,Schweine_Werte!$DG$4:$DG$146),IF($B36=$A$6,SUMIF(Schweine_Werte!$AO$4:$AO$146,$D36,Schweine_Werte!$CA$4:$CA$146),SUMIF(Schweine_Werte!$AO$4:$AO$146,$D36,Schweine_Werte!$AU$4:$AU$146))))</f>
        <v>0</v>
      </c>
      <c r="AR29" s="806">
        <v>33</v>
      </c>
      <c r="AS29" s="795">
        <f>IF(OR($C$12=$AR29,$D$12=$AR29),Schweine_Werte!$C29*0.5,IF(OR($C$12&gt;$AR29,$D$12&lt;$AR29),0,Schweine_Werte!$C29))</f>
        <v>0</v>
      </c>
      <c r="AT29" s="730">
        <f>IF(OR($C$24=$AR29,$D$24=$AR29),Schweine_Werte!$C29*0.5,IF(OR($C$24&gt;$AR29,$D$24&lt;$AR29),0,Schweine_Werte!$C29))</f>
        <v>0</v>
      </c>
      <c r="AU29" s="795">
        <f>IF(OR($C$36=$AR29,$D$36=$AR29),Schweine_Werte!$C29*0.5,IF(OR($C$36&gt;$AR29,$D$36&lt;$AR29),0,Schweine_Werte!$C29))</f>
        <v>0</v>
      </c>
      <c r="AV29" s="795">
        <f>IF(OR($C$48=$AR29,$D$48=$AR29),Schweine_Werte!$C29*0.5,IF(OR($C$48&gt;$AR29,$D$48&lt;$AR29),0,Schweine_Werte!$C29))</f>
        <v>0</v>
      </c>
      <c r="AW29" s="795">
        <f>IF(OR($C$60=$AR29,$D$60=$AR29),Schweine_Werte!$C29*0.5,IF(OR($C$60&gt;$AR29,$D$60&lt;$AR29),0,Schweine_Werte!$C29))</f>
        <v>0</v>
      </c>
      <c r="AX29" s="795">
        <f>IF(OR($C$12=$AR29,$D$12=$AR29),Schweine_Werte!$E29*0.5,IF(OR($C$12&gt;$AR29,$D$12&lt;$AR29),0,Schweine_Werte!$E29))</f>
        <v>0</v>
      </c>
      <c r="AY29" s="730">
        <f>IF(OR($C$24=$AR29,$D$24=$AR29),Schweine_Werte!$E29*0.5,IF(OR($C$24&gt;$AR29,$D$24&lt;$AR29),0,Schweine_Werte!$E29))</f>
        <v>0</v>
      </c>
      <c r="AZ29" s="730">
        <f>IF(OR($C$36=$AR29,$D$36=$AR29),Schweine_Werte!$E29*0.5,IF(OR($C$36&gt;$AR29,$D$36&lt;$AR29),0,Schweine_Werte!$E29))</f>
        <v>0</v>
      </c>
      <c r="BA29" s="730">
        <f>IF(OR($C$48=$AR29,$D$48=$AR29),Schweine_Werte!$E29*0.5,IF(OR($C$48&gt;$AR29,$D$48&lt;$AR29),0,Schweine_Werte!$E29))</f>
        <v>0</v>
      </c>
      <c r="BB29" s="730">
        <f>IF(OR($C$60=$AR29,$D$60=$AR29),Schweine_Werte!$E29*0.5,IF(OR($C$60&gt;$AR29,$D$60&lt;$AR29),0,Schweine_Werte!$E29))</f>
        <v>0</v>
      </c>
      <c r="BC29" s="795">
        <f>IF(OR($C$12=$AR29,$D$12=$AR29),Schweine_Werte!$G29*0.5,IF(OR($C$12&gt;$AR29,$D$12&lt;$AR29),0,Schweine_Werte!$G29))</f>
        <v>0</v>
      </c>
      <c r="BD29" s="730">
        <f>IF(OR($C$24=$AR29,$D$24=$AR29),Schweine_Werte!$G29*0.5,IF(OR($C$24&gt;$AR29,$D$24&lt;$AR29),0,Schweine_Werte!$G29))</f>
        <v>0</v>
      </c>
      <c r="BE29" s="730">
        <f>IF(OR($C$36=$AR29,$D$36=$AR29),Schweine_Werte!$G29*0.5,IF(OR($C$36&gt;$AR29,$D$36&lt;$AR29),0,Schweine_Werte!$G29))</f>
        <v>0</v>
      </c>
      <c r="BF29" s="730">
        <f>IF(OR($C$48=$AR29,$D$48=$AR29),Schweine_Werte!$G29*0.5,IF(OR($C$48&gt;$AR29,$D$48&lt;$AR29),0,Schweine_Werte!$G29))</f>
        <v>0</v>
      </c>
      <c r="BG29" s="730">
        <f>IF(OR($C$60=$AR29,$D$60=$AR29),Schweine_Werte!$G29*0.5,IF(OR($C$60&gt;$AR29,$D$60&lt;$AR29),0,Schweine_Werte!$G29))</f>
        <v>0</v>
      </c>
      <c r="BH29" s="795">
        <f>IF(OR($C$12=$AR29,$D$12=$AR29),Schweine_Werte!$I29*0.5,IF(OR($C$12&gt;$AR29,$D$12&lt;$AR29),0,Schweine_Werte!$I29))</f>
        <v>0</v>
      </c>
      <c r="BI29" s="730">
        <f>IF(OR($C$24=$AR29,$D$24=$AR29),Schweine_Werte!$I29*0.5,IF(OR($C$24&gt;$AR29,$D$24&lt;$AR29),0,Schweine_Werte!$I29))</f>
        <v>0</v>
      </c>
      <c r="BJ29" s="730">
        <f>IF(OR($C$36=$AR29,$D$36=$AR29),Schweine_Werte!$I29*0.5,IF(OR($C$36&gt;$AR29,$D$36&lt;$AR29),0,Schweine_Werte!$I29))</f>
        <v>0</v>
      </c>
      <c r="BK29" s="730">
        <f>IF(OR($C$48=$AR29,$D$48=$AR29),Schweine_Werte!$I29*0.5,IF(OR($C$48&gt;$AR29,$D$48&lt;$AR29),0,Schweine_Werte!$I29))</f>
        <v>0</v>
      </c>
      <c r="BL29" s="730">
        <f>IF(OR($C$60=$AR29,$D$60=$AR29),Schweine_Werte!$I29*0.5,IF(OR($C$60&gt;$AR29,$D$60&lt;$AR29),0,Schweine_Werte!$I29))</f>
        <v>0</v>
      </c>
      <c r="BM29" s="795"/>
      <c r="BN29" s="730"/>
      <c r="BO29" s="730"/>
      <c r="BP29" s="730"/>
      <c r="BQ29" s="730"/>
      <c r="BR29" s="795">
        <f>IF(OR($C$74=$AR29,$D$74=$AR29),Schweine_Werte!$M29*0.5,IF(OR($C$74&gt;$AR29,$D$74&lt;$AR29),0,Schweine_Werte!$M29))</f>
        <v>0</v>
      </c>
      <c r="BS29" s="795">
        <f>IF(OR($C$83=$AR29,$D$83=$AR29),Schweine_Werte!$M29*0.5,IF(OR($C$83&gt;$AR29,$D$83&lt;$AR29),0,Schweine_Werte!$M29))</f>
        <v>0</v>
      </c>
      <c r="BT29" s="730">
        <f>IF(OR($C$92=$AR29,$D$92=$AR29),Schweine_Werte!$M29*0.5,IF(OR($C$92&gt;$AR29,$D$92&lt;$AR29),0,Schweine_Werte!$M29))</f>
        <v>0</v>
      </c>
      <c r="BU29" s="730">
        <f>IF(OR($C$101=$AR29,$D$101=$AR29),Schweine_Werte!$M29*0.5,IF(OR($C$101&gt;$AR29,$D$101&lt;$AR29),0,Schweine_Werte!$M29))</f>
        <v>0</v>
      </c>
      <c r="BV29" s="730">
        <f>IF(OR($C$110=$AR29,$D$110=$AR29),Schweine_Werte!$M29*0.5,IF(OR($C$110&gt;$AR29,$D$110&lt;$AR29),0,Schweine_Werte!$M29))</f>
        <v>0</v>
      </c>
      <c r="BW29" s="730">
        <f>IF(OR(8=$AR29,$E$127=$AR29),Schweine_Werte!$M29*0.5,IF(OR(8&gt;$AR29,$E$127&lt;$AR29),0,Schweine_Werte!$M29))</f>
        <v>1.4812613148067963</v>
      </c>
      <c r="BX29" s="730">
        <f>IF(OR(8=$AR29,$E$145=$AR29),Schweine_Werte!$M29*0.5,IF(OR(8&gt;$AR29,$E$145&lt;$AR29),0,Schweine_Werte!$M29))</f>
        <v>1.4812613148067963</v>
      </c>
      <c r="BY29" s="795">
        <f>IF(OR($C$74=$AR29,$D$74=$AR29),Schweine_Werte!$O29*0.5,IF(OR($C$74&gt;$AR29,$D$74&lt;$AR29),0,Schweine_Werte!$O29))</f>
        <v>0</v>
      </c>
      <c r="BZ29" s="795">
        <f>IF(OR($C$83=$AR29,$D$83=$AR29),Schweine_Werte!$O29*0.5,IF(OR($C$83&gt;$AR29,$D$83&lt;$AR29),0,Schweine_Werte!$O29))</f>
        <v>0</v>
      </c>
      <c r="CA29" s="730">
        <f>IF(OR($C$92=$AR29,$D$92=$AR29),Schweine_Werte!$O29*0.5,IF(OR($C$92&gt;$AR29,$D$92&lt;$AR29),0,Schweine_Werte!$O29))</f>
        <v>0</v>
      </c>
      <c r="CB29" s="730">
        <f>IF(OR($C$101=$AR29,$D$101=$AR29),Schweine_Werte!$O29*0.5,IF(OR($C$101&gt;$AR29,$D$101&lt;$AR29),0,Schweine_Werte!$O29))</f>
        <v>0</v>
      </c>
      <c r="CC29" s="730">
        <f>IF(OR($C$110=$AR29,$D$110=$AR29),Schweine_Werte!$O29*0.5,IF(OR($C$110&gt;$AR29,$D$110&lt;$AR29),0,Schweine_Werte!$O29))</f>
        <v>0</v>
      </c>
    </row>
    <row r="30" spans="1:81" x14ac:dyDescent="0.25">
      <c r="B30" s="705">
        <v>750</v>
      </c>
      <c r="D30" s="798"/>
      <c r="E30" s="730" t="e">
        <f>($D36-$C36)*1000/SUM($AZ$4:$AZ$146)</f>
        <v>#VALUE!</v>
      </c>
      <c r="F30" s="730" t="e">
        <f>SUMPRODUCT($AZ$4:$AZ$146,Schweine_Werte!$R$4:$R$146)/SUM($AZ$4:$AZ$146)</f>
        <v>#DIV/0!</v>
      </c>
      <c r="G30" s="730" t="e">
        <f>IF($B36=$A$8,SUMPRODUCT($AZ$4:$AZ$146,Schweine_Werte!EN$4:EN$146)/SUM($AZ$4:$AZ$146),IF($B36=$A$7,SUMPRODUCT($AZ$4:$AZ$146,Schweine_Werte!DH$4:DH$146)/SUM($AZ$4:$AZ$146),IF($B36=$A$6,SUMPRODUCT($AZ$4:$AZ$146,Schweine_Werte!CB$4:CB$146)/SUM($AZ$4:$AZ$146),SUMPRODUCT($AZ$4:$AZ$146,Schweine_Werte!AV$4:AV$146)/SUM($AZ$4:$AZ$146))))</f>
        <v>#DIV/0!</v>
      </c>
      <c r="H30" s="730" t="e">
        <f>IF($B36=$A$8,SUMPRODUCT($AZ$4:$AZ$146,Schweine_Werte!EO$4:EO$146)/SUM($AZ$4:$AZ$146),IF($B36=$A$7,SUMPRODUCT($AZ$4:$AZ$146,Schweine_Werte!DI$4:DI$146)/SUM($AZ$4:$AZ$146),IF($B36=$A$6,SUMPRODUCT($AZ$4:$AZ$146,Schweine_Werte!CC$4:CC$146)/SUM($AZ$4:$AZ$146),SUMPRODUCT($AZ$4:$AZ$146,Schweine_Werte!AW$4:AW$146)/SUM($AZ$4:$AZ$146))))</f>
        <v>#DIV/0!</v>
      </c>
      <c r="I30" s="730" t="e">
        <f>IF($B36=$A$8,SUMPRODUCT($AZ$4:$AZ$146,Schweine_Werte!EP$4:EP$146)/SUM($AZ$4:$AZ$146),IF($B36=$A$7,SUMPRODUCT($AZ$4:$AZ$146,Schweine_Werte!DJ$4:DJ$146)/SUM($AZ$4:$AZ$146),IF($B36=$A$6,SUMPRODUCT($AZ$4:$AZ$146,Schweine_Werte!CD$4:CD$146)/SUM($AZ$4:$AZ$146),SUMPRODUCT($AZ$4:$AZ$146,Schweine_Werte!AX$4:AX$146)/SUM($AZ$4:$AZ$146))))</f>
        <v>#DIV/0!</v>
      </c>
      <c r="J30" s="730" t="e">
        <f>SUMPRODUCT($AZ$4:$AZ$146,Schweine_Werte!$Z$4:$Z$146)/SUM($AZ$4:$AZ$146)</f>
        <v>#DIV/0!</v>
      </c>
      <c r="K30" s="730" t="e">
        <f>SUMPRODUCT($AZ$4:$AZ$146,Schweine_Werte!$AH$4:$AH$146)/SUM($AZ$4:$AZ$146)</f>
        <v>#DIV/0!</v>
      </c>
      <c r="L30" s="818" t="e">
        <f>T30*$F30*365/1000+$J30-$K30</f>
        <v>#DIV/0!</v>
      </c>
      <c r="M30" s="730" t="e">
        <f>U30*$F30*365/1000+$J30-$K30/2</f>
        <v>#DIV/0!</v>
      </c>
      <c r="N30" s="730" t="e">
        <f>V30*$F30*365/1000+$J30</f>
        <v>#DIV/0!</v>
      </c>
      <c r="O30" s="730">
        <f>IF($C36&lt;28,SUM($AZ$4:$AZ$23)+IF($D36&gt;28,$AZ$24*0.5,$AZ$24),0)</f>
        <v>0</v>
      </c>
      <c r="P30" s="730">
        <f>IF($D36&gt;28,SUM($AZ$25:$AZ$146)+IF($C36&lt;28,$AZ$24*0.5,$AZ$24),0)</f>
        <v>0</v>
      </c>
      <c r="Q30" s="730" t="e">
        <f t="shared" si="16"/>
        <v>#DIV/0!</v>
      </c>
      <c r="R30" s="730" t="e">
        <f t="shared" si="16"/>
        <v>#DIV/0!</v>
      </c>
      <c r="S30" s="730" t="e">
        <f t="shared" si="16"/>
        <v>#DIV/0!</v>
      </c>
      <c r="T30" s="730" t="e">
        <f>+($O30*Schweine_Werte!$HT$6+$P30*Schweine_Werte!$HU$6)/SUM($O30:$P30)</f>
        <v>#DIV/0!</v>
      </c>
      <c r="U30" s="730" t="e">
        <f>+($O30*Schweine_Werte!$HV$6+$P30*Schweine_Werte!$HW$6)/SUM($O30:$P30)</f>
        <v>#DIV/0!</v>
      </c>
      <c r="V30" s="730" t="e">
        <f>+($O30*Schweine_Werte!$HX$6+$P30*Schweine_Werte!$HY$6)/SUM($O30:$P30)</f>
        <v>#DIV/0!</v>
      </c>
      <c r="W30" s="785" t="e">
        <f>($J30*0.055+T30*0.365*0.86*$F30-$K30*0.018)/L30*100</f>
        <v>#DIV/0!</v>
      </c>
      <c r="X30" s="730" t="e">
        <f>($J30*0.055+U30*0.365*0.86*$F30-$K30*0.018/2)/M30*100</f>
        <v>#DIV/0!</v>
      </c>
      <c r="Y30" s="730" t="e">
        <f>($J30*0.055+V30*0.365*0.86*$F30)/N30*100</f>
        <v>#DIV/0!</v>
      </c>
      <c r="Z30" s="730" t="e">
        <f>IF($B36=$A$8,SUMPRODUCT($AZ$4:$AZ$146,Schweine_Werte!$EQ$4:$EQ$146,Schweine_Werte!$ER$4:$ER$146)/SUMPRODUCT($AZ$4:$AZ$146,Schweine_Werte!$EQ$4:$EQ$146),IF($B36=$A$7,SUMPRODUCT($AZ$4:$AZ$146,Schweine_Werte!$DK$4:$DK$146,Schweine_Werte!$DL$4:$DL$146)/SUMPRODUCT($AZ$4:$AZ$146,Schweine_Werte!$DK$4:$DK$146),IF($B36=$A$6,SUMPRODUCT($AZ$4:$AZ$146,Schweine_Werte!$CE$4:$CE$146,Schweine_Werte!$CF$4:$CF$146)/SUMPRODUCT($AZ$4:$AZ$146,Schweine_Werte!$CE$4:$CE$146),SUMPRODUCT($AZ$4:$AZ$146,Schweine_Werte!$AY$4:$AY$146,Schweine_Werte!$AZ$4:$AZ$146)/SUMPRODUCT($AZ$4:$AZ$146,Schweine_Werte!$AY$4:$AY$146))))</f>
        <v>#DIV/0!</v>
      </c>
      <c r="AA30" s="730"/>
      <c r="AB30" s="730">
        <f>IF($B36=$A$8,SUMIF(Schweine_Werte!$AO$4:$AO$146,$C36,Schweine_Werte!$ER$4:$ER$146),IF($B36=$A$7,SUMIF(Schweine_Werte!$AO$4:$AO$146,$C36,Schweine_Werte!$DL$4:$DL$146),IF($B36=$A$6,SUMIF(Schweine_Werte!$AO$4:$AO$146,$C36,Schweine_Werte!$CF$4:$CF$146),SUMIF(Schweine_Werte!$AO$4:$AO$146,$C36,Schweine_Werte!$AZ$4:$AZ$146))))</f>
        <v>0</v>
      </c>
      <c r="AC30" s="730"/>
      <c r="AD30" s="730">
        <f>IF($B36=$A$8,SUMIF(Schweine_Werte!$AO$4:$AO$146,$D36,Schweine_Werte!$ER$4:$ER$146),IF($B36=$A$7,SUMIF(Schweine_Werte!$AO$4:$AO$146,$D36,Schweine_Werte!$DL$4:$DL$146),IF($B36=$A$6,SUMIF(Schweine_Werte!$AO$4:$AO$146,$D36,Schweine_Werte!$CF$4:$CF$146),SUMIF(Schweine_Werte!$AO$4:$AO$146,$D36,Schweine_Werte!$AZ$4:$AZ$146))))</f>
        <v>0</v>
      </c>
      <c r="AE30" s="730"/>
      <c r="AF30" s="730"/>
      <c r="AG30" s="730" t="e">
        <f>IF($B36=$A$8,SUMPRODUCT($AZ$4:$AZ$146,Schweine_Werte!$EQ$4:$EQ$146)/SUM($AZ$4:$AZ$146),IF($B36=$A$7,SUMPRODUCT($AZ$4:$AZ$146,Schweine_Werte!$DK$4:$DK$146)/SUM($AZ$4:$AZ$146),IF($B36=$A$6,SUMPRODUCT($AZ$4:$AZ$146,Schweine_Werte!$CE$4:$CE$146)/SUM($AZ$4:$AZ$146),SUMPRODUCT($AZ$4:$AZ$146,Schweine_Werte!$AY$4:$AY$146)/SUM($AZ$4:$AZ$146))))</f>
        <v>#DIV/0!</v>
      </c>
      <c r="AH30" s="730"/>
      <c r="AI30" s="730"/>
      <c r="AJ30" s="730" t="e">
        <f>IF($B36=$A$8,SUMPRODUCT($AZ$4:$AZ$146,Schweine_Werte!$EQ$4:$EQ$146,Schweine_Werte!$ES$4:$ES$146)/SUMPRODUCT($AZ$4:$AZ$146,Schweine_Werte!$EQ$4:$EQ$146),IF($B36=$A$7,SUMPRODUCT($AZ$4:$AZ$146,Schweine_Werte!$DK$4:$DK$146,Schweine_Werte!$DM$4:$DM$146)/SUMPRODUCT($AZ$4:$AZ$146,Schweine_Werte!$DK$4:$DK$146),IF($B36=$A$6,SUMPRODUCT($AZ$4:$AZ$146,Schweine_Werte!$CE$4:$CE$146,Schweine_Werte!$CG$4:$CG$146)/SUMPRODUCT($AZ$4:$AZ$146,Schweine_Werte!$CE$4:$CE$146),SUMPRODUCT($AZ$4:$AZ$146,Schweine_Werte!$AY$4:$AY$146,Schweine_Werte!$BA$4:$BA$146)/SUMPRODUCT($AZ$4:$AZ$146,Schweine_Werte!$AY$4:$AY$146))))</f>
        <v>#DIV/0!</v>
      </c>
      <c r="AK30" s="730"/>
      <c r="AL30" s="730">
        <f>IF($B36=$A$8,SUMIF(Schweine_Werte!$AO$4:$AO$146,$C36,Schweine_Werte!$ES$4:$ES$146),IF($B36=$A$7,SUMIF(Schweine_Werte!$AO$4:$AO$146,$C36,Schweine_Werte!$DM$4:$DM$146),IF($B36=$A$6,SUMIF(Schweine_Werte!$AO$4:$AO$146,$C36,Schweine_Werte!$CG$4:$CG$146),SUMIF(Schweine_Werte!$AO$4:$AO$146,$C36,Schweine_Werte!$BA$4:$BA$146))))</f>
        <v>0</v>
      </c>
      <c r="AM30" s="730"/>
      <c r="AN30" s="730">
        <f>IF($B36=$A$8,SUMIF(Schweine_Werte!$AO$4:$AO$146,$D36,Schweine_Werte!$ES$4:$ES$146),IF($B36=$A$7,SUMIF(Schweine_Werte!$AO$4:$AO$146,$D36,Schweine_Werte!$DM$4:$DM$146),IF($B36=$A$6,SUMIF(Schweine_Werte!$AO$4:$AO$146,$D36,Schweine_Werte!$CG$4:$CG$146),SUMIF(Schweine_Werte!$AO$4:$AO$146,$D36,Schweine_Werte!$BA$4:$BA$146))))</f>
        <v>0</v>
      </c>
      <c r="AR30" s="806">
        <v>34</v>
      </c>
      <c r="AS30" s="795">
        <f>IF(OR($C$12=$AR30,$D$12=$AR30),Schweine_Werte!$C30*0.5,IF(OR($C$12&gt;$AR30,$D$12&lt;$AR30),0,Schweine_Werte!$C30))</f>
        <v>0</v>
      </c>
      <c r="AT30" s="730">
        <f>IF(OR($C$24=$AR30,$D$24=$AR30),Schweine_Werte!$C30*0.5,IF(OR($C$24&gt;$AR30,$D$24&lt;$AR30),0,Schweine_Werte!$C30))</f>
        <v>0</v>
      </c>
      <c r="AU30" s="795">
        <f>IF(OR($C$36=$AR30,$D$36=$AR30),Schweine_Werte!$C30*0.5,IF(OR($C$36&gt;$AR30,$D$36&lt;$AR30),0,Schweine_Werte!$C30))</f>
        <v>0</v>
      </c>
      <c r="AV30" s="795">
        <f>IF(OR($C$48=$AR30,$D$48=$AR30),Schweine_Werte!$C30*0.5,IF(OR($C$48&gt;$AR30,$D$48&lt;$AR30),0,Schweine_Werte!$C30))</f>
        <v>0</v>
      </c>
      <c r="AW30" s="795">
        <f>IF(OR($C$60=$AR30,$D$60=$AR30),Schweine_Werte!$C30*0.5,IF(OR($C$60&gt;$AR30,$D$60&lt;$AR30),0,Schweine_Werte!$C30))</f>
        <v>0</v>
      </c>
      <c r="AX30" s="795">
        <f>IF(OR($C$12=$AR30,$D$12=$AR30),Schweine_Werte!$E30*0.5,IF(OR($C$12&gt;$AR30,$D$12&lt;$AR30),0,Schweine_Werte!$E30))</f>
        <v>0</v>
      </c>
      <c r="AY30" s="730">
        <f>IF(OR($C$24=$AR30,$D$24=$AR30),Schweine_Werte!$E30*0.5,IF(OR($C$24&gt;$AR30,$D$24&lt;$AR30),0,Schweine_Werte!$E30))</f>
        <v>0</v>
      </c>
      <c r="AZ30" s="730">
        <f>IF(OR($C$36=$AR30,$D$36=$AR30),Schweine_Werte!$E30*0.5,IF(OR($C$36&gt;$AR30,$D$36&lt;$AR30),0,Schweine_Werte!$E30))</f>
        <v>0</v>
      </c>
      <c r="BA30" s="730">
        <f>IF(OR($C$48=$AR30,$D$48=$AR30),Schweine_Werte!$E30*0.5,IF(OR($C$48&gt;$AR30,$D$48&lt;$AR30),0,Schweine_Werte!$E30))</f>
        <v>0</v>
      </c>
      <c r="BB30" s="730">
        <f>IF(OR($C$60=$AR30,$D$60=$AR30),Schweine_Werte!$E30*0.5,IF(OR($C$60&gt;$AR30,$D$60&lt;$AR30),0,Schweine_Werte!$E30))</f>
        <v>0</v>
      </c>
      <c r="BC30" s="795">
        <f>IF(OR($C$12=$AR30,$D$12=$AR30),Schweine_Werte!$G30*0.5,IF(OR($C$12&gt;$AR30,$D$12&lt;$AR30),0,Schweine_Werte!$G30))</f>
        <v>0</v>
      </c>
      <c r="BD30" s="730">
        <f>IF(OR($C$24=$AR30,$D$24=$AR30),Schweine_Werte!$G30*0.5,IF(OR($C$24&gt;$AR30,$D$24&lt;$AR30),0,Schweine_Werte!$G30))</f>
        <v>0</v>
      </c>
      <c r="BE30" s="730">
        <f>IF(OR($C$36=$AR30,$D$36=$AR30),Schweine_Werte!$G30*0.5,IF(OR($C$36&gt;$AR30,$D$36&lt;$AR30),0,Schweine_Werte!$G30))</f>
        <v>0</v>
      </c>
      <c r="BF30" s="730">
        <f>IF(OR($C$48=$AR30,$D$48=$AR30),Schweine_Werte!$G30*0.5,IF(OR($C$48&gt;$AR30,$D$48&lt;$AR30),0,Schweine_Werte!$G30))</f>
        <v>0</v>
      </c>
      <c r="BG30" s="730">
        <f>IF(OR($C$60=$AR30,$D$60=$AR30),Schweine_Werte!$G30*0.5,IF(OR($C$60&gt;$AR30,$D$60&lt;$AR30),0,Schweine_Werte!$G30))</f>
        <v>0</v>
      </c>
      <c r="BH30" s="795">
        <f>IF(OR($C$12=$AR30,$D$12=$AR30),Schweine_Werte!$I30*0.5,IF(OR($C$12&gt;$AR30,$D$12&lt;$AR30),0,Schweine_Werte!$I30))</f>
        <v>0</v>
      </c>
      <c r="BI30" s="730">
        <f>IF(OR($C$24=$AR30,$D$24=$AR30),Schweine_Werte!$I30*0.5,IF(OR($C$24&gt;$AR30,$D$24&lt;$AR30),0,Schweine_Werte!$I30))</f>
        <v>0</v>
      </c>
      <c r="BJ30" s="730">
        <f>IF(OR($C$36=$AR30,$D$36=$AR30),Schweine_Werte!$I30*0.5,IF(OR($C$36&gt;$AR30,$D$36&lt;$AR30),0,Schweine_Werte!$I30))</f>
        <v>0</v>
      </c>
      <c r="BK30" s="730">
        <f>IF(OR($C$48=$AR30,$D$48=$AR30),Schweine_Werte!$I30*0.5,IF(OR($C$48&gt;$AR30,$D$48&lt;$AR30),0,Schweine_Werte!$I30))</f>
        <v>0</v>
      </c>
      <c r="BL30" s="730">
        <f>IF(OR($C$60=$AR30,$D$60=$AR30),Schweine_Werte!$I30*0.5,IF(OR($C$60&gt;$AR30,$D$60&lt;$AR30),0,Schweine_Werte!$I30))</f>
        <v>0</v>
      </c>
      <c r="BM30" s="795"/>
      <c r="BN30" s="730"/>
      <c r="BO30" s="730"/>
      <c r="BP30" s="730"/>
      <c r="BQ30" s="730"/>
      <c r="BR30" s="795">
        <f>IF(OR($C$74=$AR30,$D$74=$AR30),Schweine_Werte!$M30*0.5,IF(OR($C$74&gt;$AR30,$D$74&lt;$AR30),0,Schweine_Werte!$M30))</f>
        <v>0</v>
      </c>
      <c r="BS30" s="795">
        <f>IF(OR($C$83=$AR30,$D$83=$AR30),Schweine_Werte!$M30*0.5,IF(OR($C$83&gt;$AR30,$D$83&lt;$AR30),0,Schweine_Werte!$M30))</f>
        <v>0</v>
      </c>
      <c r="BT30" s="730">
        <f>IF(OR($C$92=$AR30,$D$92=$AR30),Schweine_Werte!$M30*0.5,IF(OR($C$92&gt;$AR30,$D$92&lt;$AR30),0,Schweine_Werte!$M30))</f>
        <v>0</v>
      </c>
      <c r="BU30" s="730">
        <f>IF(OR($C$101=$AR30,$D$101=$AR30),Schweine_Werte!$M30*0.5,IF(OR($C$101&gt;$AR30,$D$101&lt;$AR30),0,Schweine_Werte!$M30))</f>
        <v>0</v>
      </c>
      <c r="BV30" s="730">
        <f>IF(OR($C$110=$AR30,$D$110=$AR30),Schweine_Werte!$M30*0.5,IF(OR($C$110&gt;$AR30,$D$110&lt;$AR30),0,Schweine_Werte!$M30))</f>
        <v>0</v>
      </c>
      <c r="BW30" s="730">
        <f>IF(OR(8=$AR30,$E$127=$AR30),Schweine_Werte!$M30*0.5,IF(OR(8&gt;$AR30,$E$127&lt;$AR30),0,Schweine_Werte!$M30))</f>
        <v>1.4565371262046849</v>
      </c>
      <c r="BX30" s="730">
        <f>IF(OR(8=$AR30,$E$145=$AR30),Schweine_Werte!$M30*0.5,IF(OR(8&gt;$AR30,$E$145&lt;$AR30),0,Schweine_Werte!$M30))</f>
        <v>1.4565371262046849</v>
      </c>
      <c r="BY30" s="795">
        <f>IF(OR($C$74=$AR30,$D$74=$AR30),Schweine_Werte!$O30*0.5,IF(OR($C$74&gt;$AR30,$D$74&lt;$AR30),0,Schweine_Werte!$O30))</f>
        <v>0</v>
      </c>
      <c r="BZ30" s="795">
        <f>IF(OR($C$83=$AR30,$D$83=$AR30),Schweine_Werte!$O30*0.5,IF(OR($C$83&gt;$AR30,$D$83&lt;$AR30),0,Schweine_Werte!$O30))</f>
        <v>0</v>
      </c>
      <c r="CA30" s="730">
        <f>IF(OR($C$92=$AR30,$D$92=$AR30),Schweine_Werte!$O30*0.5,IF(OR($C$92&gt;$AR30,$D$92&lt;$AR30),0,Schweine_Werte!$O30))</f>
        <v>0</v>
      </c>
      <c r="CB30" s="730">
        <f>IF(OR($C$101=$AR30,$D$101=$AR30),Schweine_Werte!$O30*0.5,IF(OR($C$101&gt;$AR30,$D$101&lt;$AR30),0,Schweine_Werte!$O30))</f>
        <v>0</v>
      </c>
      <c r="CC30" s="730">
        <f>IF(OR($C$110=$AR30,$D$110=$AR30),Schweine_Werte!$O30*0.5,IF(OR($C$110&gt;$AR30,$D$110&lt;$AR30),0,Schweine_Werte!$O30))</f>
        <v>0</v>
      </c>
    </row>
    <row r="31" spans="1:81" x14ac:dyDescent="0.25">
      <c r="B31" s="705">
        <v>850</v>
      </c>
      <c r="D31" s="730"/>
      <c r="E31" s="730" t="e">
        <f>($D36-$C36)*1000/SUM($BE$4:$BE$146)</f>
        <v>#VALUE!</v>
      </c>
      <c r="F31" s="730" t="e">
        <f>SUMPRODUCT($BE$4:$BE$146,Schweine_Werte!$S$4:$S$146)/SUM($BE$4:$BE$146)</f>
        <v>#DIV/0!</v>
      </c>
      <c r="G31" s="730" t="e">
        <f>IF($B36=$A$8,SUMPRODUCT($BE$4:$BE$146,Schweine_Werte!ET$4:ET$146)/SUM($BE$4:$BE$146),IF($B36=$A$7,SUMPRODUCT($BE$4:$BE$146,Schweine_Werte!DN$4:DN$146)/SUM($BE$4:$BE$146),IF($B36=$A$6,SUMPRODUCT($BE$4:$BE$146,Schweine_Werte!CH$4:CH$146)/SUM($BE$4:$BE$146),SUMPRODUCT($BE$4:$BE$146,Schweine_Werte!BB$4:BB$146)/SUM($BE$4:$BE$146))))</f>
        <v>#DIV/0!</v>
      </c>
      <c r="H31" s="730" t="e">
        <f>IF($B36=$A$8,SUMPRODUCT($BE$4:$BE$146,Schweine_Werte!EU$4:EU$146)/SUM($BE$4:$BE$146),IF($B36=$A$7,SUMPRODUCT($BE$4:$BE$146,Schweine_Werte!DO$4:DO$146)/SUM($BE$4:$BE$146),IF($B36=$A$6,SUMPRODUCT($BE$4:$BE$146,Schweine_Werte!CI$4:CI$146)/SUM($BE$4:$BE$146),SUMPRODUCT($BE$4:$BE$146,Schweine_Werte!BC$4:BC$146)/SUM($BE$4:$BE$146))))</f>
        <v>#DIV/0!</v>
      </c>
      <c r="I31" s="730" t="e">
        <f>IF($B36=$A$8,SUMPRODUCT($BE$4:$BE$146,Schweine_Werte!EV$4:EV$146)/SUM($BE$4:$BE$146),IF($B36=$A$7,SUMPRODUCT($BE$4:$BE$146,Schweine_Werte!DP$4:DP$146)/SUM($BE$4:$BE$146),IF($B36=$A$6,SUMPRODUCT($BE$4:$BE$146,Schweine_Werte!CJ$4:CJ$146)/SUM($BE$4:$BE$146),SUMPRODUCT($BE$4:$BE$146,Schweine_Werte!BD$4:BD$146)/SUM($BE$4:$BE$146))))</f>
        <v>#DIV/0!</v>
      </c>
      <c r="J31" s="730" t="e">
        <f>SUMPRODUCT($BE$4:$BE$146,Schweine_Werte!$AA$4:$AA$146)/SUM($BE$4:$BE$146)</f>
        <v>#DIV/0!</v>
      </c>
      <c r="K31" s="730" t="e">
        <f>SUMPRODUCT($BE$4:$BE$146,Schweine_Werte!$AI$4:$AI$146)/SUM($BE$4:$BE$146)</f>
        <v>#DIV/0!</v>
      </c>
      <c r="L31" s="818" t="e">
        <f>T31*$F31*365/1000+$J31-$K31</f>
        <v>#DIV/0!</v>
      </c>
      <c r="M31" s="730" t="e">
        <f>U31*$F31*365/1000+$J31-$K31/2</f>
        <v>#DIV/0!</v>
      </c>
      <c r="N31" s="730" t="e">
        <f>V31*$F31*365/1000+$J31</f>
        <v>#DIV/0!</v>
      </c>
      <c r="O31" s="730">
        <f>IF($C36&lt;28,SUM($BE$4:$BE$23)+IF($D36&gt;28,$BE$24*0.5,$BE$24),0)</f>
        <v>0</v>
      </c>
      <c r="P31" s="730">
        <f>IF($D36&gt;28,SUM($BE$25:$BE$146)+IF($C36&lt;28,$BE$24*0.5,$BE$24),0)</f>
        <v>0</v>
      </c>
      <c r="Q31" s="730" t="e">
        <f t="shared" si="16"/>
        <v>#DIV/0!</v>
      </c>
      <c r="R31" s="730" t="e">
        <f t="shared" si="16"/>
        <v>#DIV/0!</v>
      </c>
      <c r="S31" s="730" t="e">
        <f t="shared" si="16"/>
        <v>#DIV/0!</v>
      </c>
      <c r="T31" s="730" t="e">
        <f>+($O31*Schweine_Werte!$HT$7+$P31*Schweine_Werte!$HU$7)/SUM($O31:$P31)</f>
        <v>#DIV/0!</v>
      </c>
      <c r="U31" s="730" t="e">
        <f>+($O31*Schweine_Werte!$HV$7+$P31*Schweine_Werte!$HW$7)/SUM($O31:$P31)</f>
        <v>#DIV/0!</v>
      </c>
      <c r="V31" s="730" t="e">
        <f>+($O31*Schweine_Werte!$HX$7+$P31*Schweine_Werte!$HY$7)/SUM($O31:$P31)</f>
        <v>#DIV/0!</v>
      </c>
      <c r="W31" s="730" t="e">
        <f>($J31*0.055+T31*0.365*0.86*$F31-$K31*0.018)/L31*100</f>
        <v>#DIV/0!</v>
      </c>
      <c r="X31" s="730" t="e">
        <f>($J31*0.055+U31*0.365*0.86*$F31-$K31*0.018/2)/M31*100</f>
        <v>#DIV/0!</v>
      </c>
      <c r="Y31" s="730" t="e">
        <f>($J31*0.055+V31*0.365*0.86*$F31)/N31*100</f>
        <v>#DIV/0!</v>
      </c>
      <c r="Z31" s="730" t="e">
        <f>IF($B36=$A$8,SUMPRODUCT($BE$4:$BE$146,Schweine_Werte!$EW$4:$EW$146,Schweine_Werte!$EX$4:$EX$146)/SUMPRODUCT($BE$4:$BE$146,Schweine_Werte!$EW$4:$EW$146),IF($B36=$A$7,SUMPRODUCT($BE$4:$BE$146,Schweine_Werte!$DQ$4:$DQ$146,Schweine_Werte!$DR$4:$DR$146)/SUMPRODUCT($BE$4:$BE$146,Schweine_Werte!$DQ$4:$DQ$146),IF($B36=$A$6,SUMPRODUCT($BE$4:$BE$146,Schweine_Werte!$CK$4:$CK$146,Schweine_Werte!$CL$4:$CL$146)/SUMPRODUCT($BE$4:$BE$146,Schweine_Werte!$CK$4:$CK$146),SUMPRODUCT($BE$4:$BE$146,Schweine_Werte!$BE$4:$BE$146,Schweine_Werte!$BF$4:$BF$146)/SUMPRODUCT($BE$4:$BE$146,Schweine_Werte!$BE$4:$BE$146))))</f>
        <v>#DIV/0!</v>
      </c>
      <c r="AA31" s="730"/>
      <c r="AB31" s="730">
        <f>IF($B36=$A$8,SUMIF(Schweine_Werte!$AO$4:$AO$146,$C36,Schweine_Werte!$EX$4:$EX$146),IF($B36=$A$7,SUMIF(Schweine_Werte!$AO$4:$AO$146,$C36,Schweine_Werte!$DR$4:$DR$146),IF($B36=$A$6,SUMIF(Schweine_Werte!$AO$4:$AO$146,$C36,Schweine_Werte!$CL$4:$CL$146),SUMIF(Schweine_Werte!$AO$4:$AO$146,$C36,Schweine_Werte!$BF$4:$BF$146))))</f>
        <v>0</v>
      </c>
      <c r="AC31" s="730"/>
      <c r="AD31" s="730">
        <f>IF($B36=$A$8,SUMIF(Schweine_Werte!$AO$4:$AO$146,$D36,Schweine_Werte!$EX$4:$EX$146),IF($B36=$A$7,SUMIF(Schweine_Werte!$AO$4:$AO$146,$D36,Schweine_Werte!$DR$4:$DR$146),IF($B36=$A$6,SUMIF(Schweine_Werte!$AO$4:$AO$146,$D36,Schweine_Werte!$CL$4:$CL$146),SUMIF(Schweine_Werte!$AO$4:$AO$146,$D36,Schweine_Werte!$BF$4:$BF$146))))</f>
        <v>0</v>
      </c>
      <c r="AE31" s="730"/>
      <c r="AF31" s="730"/>
      <c r="AG31" s="730" t="e">
        <f>IF($B36=$A$8,SUMPRODUCT($BE$4:$BE$146,Schweine_Werte!$EW$4:$EW$146)/SUM($BE$4:$BE$146),IF($B36=$A$7,SUMPRODUCT($BE$4:$BE$146,Schweine_Werte!$DQ$4:$DQ$146)/SUM($BE$4:$BE$146),IF($B36=$A$6,SUMPRODUCT($BE$4:$BE$146,Schweine_Werte!$CK$4:$CK$146)/SUM($BE$4:$BE$146),SUMPRODUCT($BE$4:$BE$146,Schweine_Werte!$BE$4:$BE$146)/SUM($BE$4:$BE$146))))</f>
        <v>#DIV/0!</v>
      </c>
      <c r="AH31" s="730"/>
      <c r="AI31" s="730"/>
      <c r="AJ31" s="730" t="e">
        <f>IF($B36=$A$8,SUMPRODUCT($BE$4:$BE$146,Schweine_Werte!$EW$4:$EW$146,Schweine_Werte!$EY$4:$EY$146)/SUMPRODUCT($BE$4:$BE$146,Schweine_Werte!$EW$4:$EW$146),IF($B36=$A$7,SUMPRODUCT($BE$4:$BE$146,Schweine_Werte!$DQ$4:$DQ$146,Schweine_Werte!$DS$4:$DS$146)/SUMPRODUCT($BE$4:$BE$146,Schweine_Werte!$DQ$4:$DQ$146),IF($B36=$A$6,SUMPRODUCT($BE$4:$BE$146,Schweine_Werte!$CK$4:$CK$146,Schweine_Werte!$CM$4:$CM$146)/SUMPRODUCT($BE$4:$BE$146,Schweine_Werte!$CK$4:$CK$146),SUMPRODUCT($BE$4:$BE$146,Schweine_Werte!$BE$4:$BE$146,Schweine_Werte!$BG$4:$BG$146)/SUMPRODUCT($BE$4:$BE$146,Schweine_Werte!$BE$4:$BE$146))))</f>
        <v>#DIV/0!</v>
      </c>
      <c r="AK31" s="730"/>
      <c r="AL31" s="730">
        <f>IF($B36=$A$8,SUMIF(Schweine_Werte!$AO$4:$AO$146,$C36,Schweine_Werte!$EY$4:$EY$146),IF($B36=$A$7,SUMIF(Schweine_Werte!$AO$4:$AO$146,$C36,Schweine_Werte!$DS$4:$DS$146),IF($B36=$A$6,SUMIF(Schweine_Werte!$AO$4:$AO$146,$C36,Schweine_Werte!$CM$4:$CM$146),SUMIF(Schweine_Werte!$AO$4:$AO$146,$C36,Schweine_Werte!$BG$4:$BG$146))))</f>
        <v>0</v>
      </c>
      <c r="AM31" s="730"/>
      <c r="AN31" s="730">
        <f>IF($B36=$A$8,SUMIF(Schweine_Werte!$AO$4:$AO$146,$D36,Schweine_Werte!$EY$4:$EY$146),IF($B36=$A$7,SUMIF(Schweine_Werte!$AO$4:$AO$146,$D36,Schweine_Werte!$DS$4:$DS$146),IF($B36=$A$6,SUMIF(Schweine_Werte!$AO$4:$AO$146,$D36,Schweine_Werte!$CM$4:$CM$146),SUMIF(Schweine_Werte!$AO$4:$AO$146,$D36,Schweine_Werte!$BG$4:$BG$146))))</f>
        <v>0</v>
      </c>
      <c r="AR31" s="806">
        <v>35</v>
      </c>
      <c r="AS31" s="795">
        <f>IF(OR($C$12=$AR31,$D$12=$AR31),Schweine_Werte!$C31*0.5,IF(OR($C$12&gt;$AR31,$D$12&lt;$AR31),0,Schweine_Werte!$C31))</f>
        <v>0</v>
      </c>
      <c r="AT31" s="730">
        <f>IF(OR($C$24=$AR31,$D$24=$AR31),Schweine_Werte!$C31*0.5,IF(OR($C$24&gt;$AR31,$D$24&lt;$AR31),0,Schweine_Werte!$C31))</f>
        <v>0</v>
      </c>
      <c r="AU31" s="795">
        <f>IF(OR($C$36=$AR31,$D$36=$AR31),Schweine_Werte!$C31*0.5,IF(OR($C$36&gt;$AR31,$D$36&lt;$AR31),0,Schweine_Werte!$C31))</f>
        <v>0</v>
      </c>
      <c r="AV31" s="795">
        <f>IF(OR($C$48=$AR31,$D$48=$AR31),Schweine_Werte!$C31*0.5,IF(OR($C$48&gt;$AR31,$D$48&lt;$AR31),0,Schweine_Werte!$C31))</f>
        <v>0</v>
      </c>
      <c r="AW31" s="795">
        <f>IF(OR($C$60=$AR31,$D$60=$AR31),Schweine_Werte!$C31*0.5,IF(OR($C$60&gt;$AR31,$D$60&lt;$AR31),0,Schweine_Werte!$C31))</f>
        <v>0</v>
      </c>
      <c r="AX31" s="795">
        <f>IF(OR($C$12=$AR31,$D$12=$AR31),Schweine_Werte!$E31*0.5,IF(OR($C$12&gt;$AR31,$D$12&lt;$AR31),0,Schweine_Werte!$E31))</f>
        <v>0</v>
      </c>
      <c r="AY31" s="730">
        <f>IF(OR($C$24=$AR31,$D$24=$AR31),Schweine_Werte!$E31*0.5,IF(OR($C$24&gt;$AR31,$D$24&lt;$AR31),0,Schweine_Werte!$E31))</f>
        <v>0</v>
      </c>
      <c r="AZ31" s="730">
        <f>IF(OR($C$36=$AR31,$D$36=$AR31),Schweine_Werte!$E31*0.5,IF(OR($C$36&gt;$AR31,$D$36&lt;$AR31),0,Schweine_Werte!$E31))</f>
        <v>0</v>
      </c>
      <c r="BA31" s="730">
        <f>IF(OR($C$48=$AR31,$D$48=$AR31),Schweine_Werte!$E31*0.5,IF(OR($C$48&gt;$AR31,$D$48&lt;$AR31),0,Schweine_Werte!$E31))</f>
        <v>0</v>
      </c>
      <c r="BB31" s="730">
        <f>IF(OR($C$60=$AR31,$D$60=$AR31),Schweine_Werte!$E31*0.5,IF(OR($C$60&gt;$AR31,$D$60&lt;$AR31),0,Schweine_Werte!$E31))</f>
        <v>0</v>
      </c>
      <c r="BC31" s="795">
        <f>IF(OR($C$12=$AR31,$D$12=$AR31),Schweine_Werte!$G31*0.5,IF(OR($C$12&gt;$AR31,$D$12&lt;$AR31),0,Schweine_Werte!$G31))</f>
        <v>0</v>
      </c>
      <c r="BD31" s="730">
        <f>IF(OR($C$24=$AR31,$D$24=$AR31),Schweine_Werte!$G31*0.5,IF(OR($C$24&gt;$AR31,$D$24&lt;$AR31),0,Schweine_Werte!$G31))</f>
        <v>0</v>
      </c>
      <c r="BE31" s="730">
        <f>IF(OR($C$36=$AR31,$D$36=$AR31),Schweine_Werte!$G31*0.5,IF(OR($C$36&gt;$AR31,$D$36&lt;$AR31),0,Schweine_Werte!$G31))</f>
        <v>0</v>
      </c>
      <c r="BF31" s="730">
        <f>IF(OR($C$48=$AR31,$D$48=$AR31),Schweine_Werte!$G31*0.5,IF(OR($C$48&gt;$AR31,$D$48&lt;$AR31),0,Schweine_Werte!$G31))</f>
        <v>0</v>
      </c>
      <c r="BG31" s="730">
        <f>IF(OR($C$60=$AR31,$D$60=$AR31),Schweine_Werte!$G31*0.5,IF(OR($C$60&gt;$AR31,$D$60&lt;$AR31),0,Schweine_Werte!$G31))</f>
        <v>0</v>
      </c>
      <c r="BH31" s="795">
        <f>IF(OR($C$12=$AR31,$D$12=$AR31),Schweine_Werte!$I31*0.5,IF(OR($C$12&gt;$AR31,$D$12&lt;$AR31),0,Schweine_Werte!$I31))</f>
        <v>0</v>
      </c>
      <c r="BI31" s="730">
        <f>IF(OR($C$24=$AR31,$D$24=$AR31),Schweine_Werte!$I31*0.5,IF(OR($C$24&gt;$AR31,$D$24&lt;$AR31),0,Schweine_Werte!$I31))</f>
        <v>0</v>
      </c>
      <c r="BJ31" s="730">
        <f>IF(OR($C$36=$AR31,$D$36=$AR31),Schweine_Werte!$I31*0.5,IF(OR($C$36&gt;$AR31,$D$36&lt;$AR31),0,Schweine_Werte!$I31))</f>
        <v>0</v>
      </c>
      <c r="BK31" s="730">
        <f>IF(OR($C$48=$AR31,$D$48=$AR31),Schweine_Werte!$I31*0.5,IF(OR($C$48&gt;$AR31,$D$48&lt;$AR31),0,Schweine_Werte!$I31))</f>
        <v>0</v>
      </c>
      <c r="BL31" s="730">
        <f>IF(OR($C$60=$AR31,$D$60=$AR31),Schweine_Werte!$I31*0.5,IF(OR($C$60&gt;$AR31,$D$60&lt;$AR31),0,Schweine_Werte!$I31))</f>
        <v>0</v>
      </c>
      <c r="BM31" s="795"/>
      <c r="BN31" s="730"/>
      <c r="BO31" s="730"/>
      <c r="BP31" s="730"/>
      <c r="BQ31" s="730"/>
      <c r="BR31" s="795">
        <f>IF(OR($C$74=$AR31,$D$74=$AR31),Schweine_Werte!$M31*0.5,IF(OR($C$74&gt;$AR31,$D$74&lt;$AR31),0,Schweine_Werte!$M31))</f>
        <v>0</v>
      </c>
      <c r="BS31" s="795">
        <f>IF(OR($C$83=$AR31,$D$83=$AR31),Schweine_Werte!$M31*0.5,IF(OR($C$83&gt;$AR31,$D$83&lt;$AR31),0,Schweine_Werte!$M31))</f>
        <v>0</v>
      </c>
      <c r="BT31" s="730">
        <f>IF(OR($C$92=$AR31,$D$92=$AR31),Schweine_Werte!$M31*0.5,IF(OR($C$92&gt;$AR31,$D$92&lt;$AR31),0,Schweine_Werte!$M31))</f>
        <v>0</v>
      </c>
      <c r="BU31" s="730">
        <f>IF(OR($C$101=$AR31,$D$101=$AR31),Schweine_Werte!$M31*0.5,IF(OR($C$101&gt;$AR31,$D$101&lt;$AR31),0,Schweine_Werte!$M31))</f>
        <v>0</v>
      </c>
      <c r="BV31" s="730">
        <f>IF(OR($C$110=$AR31,$D$110=$AR31),Schweine_Werte!$M31*0.5,IF(OR($C$110&gt;$AR31,$D$110&lt;$AR31),0,Schweine_Werte!$M31))</f>
        <v>0</v>
      </c>
      <c r="BW31" s="730">
        <f>IF(OR(8=$AR31,$E$127=$AR31),Schweine_Werte!$M31*0.5,IF(OR(8&gt;$AR31,$E$127&lt;$AR31),0,Schweine_Werte!$M31))</f>
        <v>1.4332167721744244</v>
      </c>
      <c r="BX31" s="730">
        <f>IF(OR(8=$AR31,$E$145=$AR31),Schweine_Werte!$M31*0.5,IF(OR(8&gt;$AR31,$E$145&lt;$AR31),0,Schweine_Werte!$M31))</f>
        <v>1.4332167721744244</v>
      </c>
      <c r="BY31" s="795">
        <f>IF(OR($C$74=$AR31,$D$74=$AR31),Schweine_Werte!$O31*0.5,IF(OR($C$74&gt;$AR31,$D$74&lt;$AR31),0,Schweine_Werte!$O31))</f>
        <v>0</v>
      </c>
      <c r="BZ31" s="795">
        <f>IF(OR($C$83=$AR31,$D$83=$AR31),Schweine_Werte!$O31*0.5,IF(OR($C$83&gt;$AR31,$D$83&lt;$AR31),0,Schweine_Werte!$O31))</f>
        <v>0</v>
      </c>
      <c r="CA31" s="730">
        <f>IF(OR($C$92=$AR31,$D$92=$AR31),Schweine_Werte!$O31*0.5,IF(OR($C$92&gt;$AR31,$D$92&lt;$AR31),0,Schweine_Werte!$O31))</f>
        <v>0</v>
      </c>
      <c r="CB31" s="730">
        <f>IF(OR($C$101=$AR31,$D$101=$AR31),Schweine_Werte!$O31*0.5,IF(OR($C$101&gt;$AR31,$D$101&lt;$AR31),0,Schweine_Werte!$O31))</f>
        <v>0</v>
      </c>
      <c r="CC31" s="730">
        <f>IF(OR($C$110=$AR31,$D$110=$AR31),Schweine_Werte!$O31*0.5,IF(OR($C$110&gt;$AR31,$D$110&lt;$AR31),0,Schweine_Werte!$O31))</f>
        <v>0</v>
      </c>
    </row>
    <row r="32" spans="1:81" x14ac:dyDescent="0.25">
      <c r="B32" s="705">
        <v>950</v>
      </c>
      <c r="D32" s="730"/>
      <c r="E32" s="730" t="e">
        <f>($D36-$C36)*1000/SUM($BJ$4:$BJ$146)</f>
        <v>#VALUE!</v>
      </c>
      <c r="F32" s="730" t="e">
        <f>SUMPRODUCT($BJ$4:$BJ$146,Schweine_Werte!$T$4:$T$146)/SUM($BJ$4:$BJ$146)</f>
        <v>#DIV/0!</v>
      </c>
      <c r="G32" s="730" t="e">
        <f>IF($B36=$A$8,SUMPRODUCT($BJ$4:$BJ$146,Schweine_Werte!EZ$4:EZ$146)/SUM($BJ$4:$BJ$146),IF($B36=$A$7,SUMPRODUCT($BJ$4:$BJ$146,Schweine_Werte!DT$4:DT$146)/SUM($BJ$4:$BJ$146),IF($B36=$A$6,SUMPRODUCT($BJ$4:$BJ$146,Schweine_Werte!CN$4:CN$146)/SUM($BJ$4:$BJ$146),SUMPRODUCT($BJ$4:$BJ$146,Schweine_Werte!BH$4:BH$146)/SUM($BJ$4:$BJ$146))))</f>
        <v>#DIV/0!</v>
      </c>
      <c r="H32" s="730" t="e">
        <f>IF($B36=$A$8,SUMPRODUCT($BJ$4:$BJ$146,Schweine_Werte!FA$4:FA$146)/SUM($BJ$4:$BJ$146),IF($B36=$A$7,SUMPRODUCT($BJ$4:$BJ$146,Schweine_Werte!DU$4:DU$146)/SUM($BJ$4:$BJ$146),IF($B36=$A$6,SUMPRODUCT($BJ$4:$BJ$146,Schweine_Werte!CO$4:CO$146)/SUM($BJ$4:$BJ$146),SUMPRODUCT($BJ$4:$BJ$146,Schweine_Werte!BI$4:BI$146)/SUM($BJ$4:$BJ$146))))</f>
        <v>#DIV/0!</v>
      </c>
      <c r="I32" s="730" t="e">
        <f>IF($B36=$A$8,SUMPRODUCT($BJ$4:$BJ$146,Schweine_Werte!FB$4:FB$146)/SUM($BJ$4:$BJ$146),IF($B36=$A$7,SUMPRODUCT($BJ$4:$BJ$146,Schweine_Werte!DV$4:DV$146)/SUM($BJ$4:$BJ$146),IF($B36=$A$6,SUMPRODUCT($BJ$4:$BJ$146,Schweine_Werte!CP$4:CP$146)/SUM($BJ$4:$BJ$146),SUMPRODUCT($BJ$4:$BJ$146,Schweine_Werte!BJ$4:BJ$146)/SUM($BJ$4:$BJ$146))))</f>
        <v>#DIV/0!</v>
      </c>
      <c r="J32" s="730" t="e">
        <f>SUMPRODUCT($BJ$4:$BJ$146,Schweine_Werte!$AB$4:$AB$146)/SUM($BJ$4:$BJ$146)</f>
        <v>#DIV/0!</v>
      </c>
      <c r="K32" s="730" t="e">
        <f>SUMPRODUCT($BJ$4:$BJ$146,Schweine_Werte!$AJ$4:$AJ$146)/SUM($BJ$4:$BJ$146)</f>
        <v>#DIV/0!</v>
      </c>
      <c r="L32" s="818" t="e">
        <f>T32*$F32*365/1000+$J32-$K32</f>
        <v>#DIV/0!</v>
      </c>
      <c r="M32" s="730" t="e">
        <f>U32*$F32*365/1000+$J32-$K32/2</f>
        <v>#DIV/0!</v>
      </c>
      <c r="N32" s="730" t="e">
        <f>V32*$F32*365/1000+$J32</f>
        <v>#DIV/0!</v>
      </c>
      <c r="O32" s="730">
        <f>IF($C36&lt;28,SUM($BJ$4:$BJ$23)+IF($D36&gt;28,$BJ$24*0.5,$BJ$24),0)</f>
        <v>0</v>
      </c>
      <c r="P32" s="730">
        <f>IF($D36&gt;28,SUM($BJ$25:$BJ$146)+IF($C36&lt;28,$BJ$24*0.5,$BJ$24),0)</f>
        <v>0</v>
      </c>
      <c r="Q32" s="730" t="e">
        <f t="shared" si="16"/>
        <v>#DIV/0!</v>
      </c>
      <c r="R32" s="730" t="e">
        <f t="shared" si="16"/>
        <v>#DIV/0!</v>
      </c>
      <c r="S32" s="730" t="e">
        <f t="shared" si="16"/>
        <v>#DIV/0!</v>
      </c>
      <c r="T32" s="730" t="e">
        <f>+($O32*Schweine_Werte!$HT$8+$P32*Schweine_Werte!$HU$8)/SUM($O32:$P32)</f>
        <v>#DIV/0!</v>
      </c>
      <c r="U32" s="730" t="e">
        <f>+($O32*Schweine_Werte!$HV$8+$P32*Schweine_Werte!$HW$8)/SUM($O32:$P32)</f>
        <v>#DIV/0!</v>
      </c>
      <c r="V32" s="730" t="e">
        <f>+($O32*Schweine_Werte!$HX$8+$P32*Schweine_Werte!$HY$8)/SUM($O32:$P32)</f>
        <v>#DIV/0!</v>
      </c>
      <c r="W32" s="785" t="e">
        <f>($J32*0.055+T32*0.365*0.86*$F32-$K32*0.018)/L32*100</f>
        <v>#DIV/0!</v>
      </c>
      <c r="X32" s="730" t="e">
        <f>($J32*0.055+U32*0.365*0.86*$F32-$K32*0.018/2)/M32*100</f>
        <v>#DIV/0!</v>
      </c>
      <c r="Y32" s="730" t="e">
        <f>($J32*0.055+V32*0.365*0.86*$F32)/N32*100</f>
        <v>#DIV/0!</v>
      </c>
      <c r="Z32" s="730" t="e">
        <f>IF($B36=$A$8,SUMPRODUCT($BJ$4:$BJ$146,Schweine_Werte!$FC$4:$FC$146,Schweine_Werte!$FD$4:$FD$146)/SUMPRODUCT($BJ$4:$BJ$146,Schweine_Werte!$FC$4:$FC$146),IF($B36=$A$7,SUMPRODUCT($BJ$4:$BJ$146,Schweine_Werte!$DW$4:$DW$146,Schweine_Werte!$DX$4:$DX$146)/SUMPRODUCT($BJ$4:$BJ$146,Schweine_Werte!$DW$4:$DW$146),IF($B36=$A$6,SUMPRODUCT($BJ$4:$BJ$146,Schweine_Werte!$CQ$4:$CQ$146,Schweine_Werte!$CR$4:$CR$146)/SUMPRODUCT($BJ$4:$BJ$146,Schweine_Werte!$CQ$4:$CQ$146),SUMPRODUCT($BJ$4:$BJ$146,Schweine_Werte!$BK$4:$BK$146,Schweine_Werte!$BL$4:$BL$146)/SUMPRODUCT($BJ$4:$BJ$146,Schweine_Werte!$BK$4:$BK$146))))</f>
        <v>#DIV/0!</v>
      </c>
      <c r="AA32" s="730"/>
      <c r="AB32" s="730">
        <f>IF($B36=$A$8,SUMIF(Schweine_Werte!$AO$4:$AO$146,$C36,Schweine_Werte!$FD$4:$FD$146),IF($B36=$A$7,SUMIF(Schweine_Werte!$AO$4:$AO$146,$C36,Schweine_Werte!$DX$4:$DX$146),IF($B36=$A$6,SUMIF(Schweine_Werte!$AO$4:$AO$146,$C36,Schweine_Werte!$CR$4:$CR$146),SUMIF(Schweine_Werte!$AO$4:$AO$146,$C36,Schweine_Werte!$BL$4:$BL$146))))</f>
        <v>0</v>
      </c>
      <c r="AC32" s="730"/>
      <c r="AD32" s="730">
        <f>IF($B36=$A$8,SUMIF(Schweine_Werte!$AO$4:$AO$146,$D36,Schweine_Werte!$FD$4:$FD$146),IF($B36=$A$7,SUMIF(Schweine_Werte!$AO$4:$AO$146,$D36,Schweine_Werte!$DX$4:$DX$146),IF($B36=$A$6,SUMIF(Schweine_Werte!$AO$4:$AO$146,$D36,Schweine_Werte!$CR$4:$CR$146),SUMIF(Schweine_Werte!$AO$4:$AO$146,$D36,Schweine_Werte!$BL$4:$BL$146))))</f>
        <v>0</v>
      </c>
      <c r="AE32" s="730"/>
      <c r="AF32" s="730"/>
      <c r="AG32" s="730" t="e">
        <f>IF($B36=$A$8,SUMPRODUCT($BJ$4:$BJ$146,Schweine_Werte!$FC$4:$FC$146)/SUM($BJ$4:$BJ$146),IF($B36=$A$7,SUMPRODUCT($BJ$4:$BJ$146,Schweine_Werte!$DW$4:$DW$146)/SUM($BJ$4:$BJ$146),IF($B36=$A$6,SUMPRODUCT($BJ$4:$BJ$146,Schweine_Werte!$CQ$4:$CQ$146)/SUM($BJ$4:$BJ$146),SUMPRODUCT($BJ$4:$BJ$146,Schweine_Werte!$BK$4:$BK$146)/SUM($BJ$4:$BJ$146))))</f>
        <v>#DIV/0!</v>
      </c>
      <c r="AH32" s="730"/>
      <c r="AI32" s="730"/>
      <c r="AJ32" s="730" t="e">
        <f>IF($B36=$A$8,SUMPRODUCT($BJ$4:$BJ$146,Schweine_Werte!$FC$4:$FC$146,Schweine_Werte!$FE$4:$FE$146)/SUMPRODUCT($BJ$4:$BJ$146,Schweine_Werte!$FC$4:$FC$146),IF($B36=$A$7,SUMPRODUCT($BJ$4:$BJ$146,Schweine_Werte!$DW$4:$DW$146,Schweine_Werte!$DY$4:$DY$146)/SUMPRODUCT($BJ$4:$BJ$146,Schweine_Werte!$DW$4:$DW$146),IF($B36=$A$6,SUMPRODUCT($BJ$4:$BJ$146,Schweine_Werte!$CQ$4:$CQ$146,Schweine_Werte!$CS$4:$CS$146)/SUMPRODUCT($BJ$4:$BJ$146,Schweine_Werte!$CQ$4:$CQ$146),SUMPRODUCT($BJ$4:$BJ$146,Schweine_Werte!$BK$4:$BK$146,Schweine_Werte!$BM$4:$BM$146)/SUMPRODUCT($BJ$4:$BJ$146,Schweine_Werte!$BK$4:$BK$146))))</f>
        <v>#DIV/0!</v>
      </c>
      <c r="AK32" s="730"/>
      <c r="AL32" s="730">
        <f>IF($B36=$A$8,SUMIF(Schweine_Werte!$AO$4:$AO$146,$C36,Schweine_Werte!$FE$4:$FE$146),IF($B36=$A$7,SUMIF(Schweine_Werte!$AO$4:$AO$146,$C36,Schweine_Werte!$DY$4:$DY$146),IF($B36=$A$6,SUMIF(Schweine_Werte!$AO$4:$AO$146,$C36,Schweine_Werte!$CS$4:$CS$146),SUMIF(Schweine_Werte!$AO$4:$AO$146,$C36,Schweine_Werte!$BM$4:$BM$146))))</f>
        <v>0</v>
      </c>
      <c r="AM32" s="730"/>
      <c r="AN32" s="730">
        <f>IF($B36=$A$8,SUMIF(Schweine_Werte!$AO$4:$AO$146,$D36,Schweine_Werte!$FE$4:$FE$146),IF($B36=$A$7,SUMIF(Schweine_Werte!$AO$4:$AO$146,$D36,Schweine_Werte!$DY$4:$DY$146),IF($B36=$A$6,SUMIF(Schweine_Werte!$AO$4:$AO$146,$D36,Schweine_Werte!$CS$4:$CS$146),SUMIF(Schweine_Werte!$AO$4:$AO$146,$D36,Schweine_Werte!$BM$4:$BM$146))))</f>
        <v>0</v>
      </c>
      <c r="AR32" s="806">
        <v>36</v>
      </c>
      <c r="AS32" s="795">
        <f>IF(OR($C$12=$AR32,$D$12=$AR32),Schweine_Werte!$C32*0.5,IF(OR($C$12&gt;$AR32,$D$12&lt;$AR32),0,Schweine_Werte!$C32))</f>
        <v>0</v>
      </c>
      <c r="AT32" s="730">
        <f>IF(OR($C$24=$AR32,$D$24=$AR32),Schweine_Werte!$C32*0.5,IF(OR($C$24&gt;$AR32,$D$24&lt;$AR32),0,Schweine_Werte!$C32))</f>
        <v>0</v>
      </c>
      <c r="AU32" s="795">
        <f>IF(OR($C$36=$AR32,$D$36=$AR32),Schweine_Werte!$C32*0.5,IF(OR($C$36&gt;$AR32,$D$36&lt;$AR32),0,Schweine_Werte!$C32))</f>
        <v>0</v>
      </c>
      <c r="AV32" s="795">
        <f>IF(OR($C$48=$AR32,$D$48=$AR32),Schweine_Werte!$C32*0.5,IF(OR($C$48&gt;$AR32,$D$48&lt;$AR32),0,Schweine_Werte!$C32))</f>
        <v>0</v>
      </c>
      <c r="AW32" s="795">
        <f>IF(OR($C$60=$AR32,$D$60=$AR32),Schweine_Werte!$C32*0.5,IF(OR($C$60&gt;$AR32,$D$60&lt;$AR32),0,Schweine_Werte!$C32))</f>
        <v>0</v>
      </c>
      <c r="AX32" s="795">
        <f>IF(OR($C$12=$AR32,$D$12=$AR32),Schweine_Werte!$E32*0.5,IF(OR($C$12&gt;$AR32,$D$12&lt;$AR32),0,Schweine_Werte!$E32))</f>
        <v>0</v>
      </c>
      <c r="AY32" s="730">
        <f>IF(OR($C$24=$AR32,$D$24=$AR32),Schweine_Werte!$E32*0.5,IF(OR($C$24&gt;$AR32,$D$24&lt;$AR32),0,Schweine_Werte!$E32))</f>
        <v>0</v>
      </c>
      <c r="AZ32" s="730">
        <f>IF(OR($C$36=$AR32,$D$36=$AR32),Schweine_Werte!$E32*0.5,IF(OR($C$36&gt;$AR32,$D$36&lt;$AR32),0,Schweine_Werte!$E32))</f>
        <v>0</v>
      </c>
      <c r="BA32" s="730">
        <f>IF(OR($C$48=$AR32,$D$48=$AR32),Schweine_Werte!$E32*0.5,IF(OR($C$48&gt;$AR32,$D$48&lt;$AR32),0,Schweine_Werte!$E32))</f>
        <v>0</v>
      </c>
      <c r="BB32" s="730">
        <f>IF(OR($C$60=$AR32,$D$60=$AR32),Schweine_Werte!$E32*0.5,IF(OR($C$60&gt;$AR32,$D$60&lt;$AR32),0,Schweine_Werte!$E32))</f>
        <v>0</v>
      </c>
      <c r="BC32" s="795">
        <f>IF(OR($C$12=$AR32,$D$12=$AR32),Schweine_Werte!$G32*0.5,IF(OR($C$12&gt;$AR32,$D$12&lt;$AR32),0,Schweine_Werte!$G32))</f>
        <v>0</v>
      </c>
      <c r="BD32" s="730">
        <f>IF(OR($C$24=$AR32,$D$24=$AR32),Schweine_Werte!$G32*0.5,IF(OR($C$24&gt;$AR32,$D$24&lt;$AR32),0,Schweine_Werte!$G32))</f>
        <v>0</v>
      </c>
      <c r="BE32" s="730">
        <f>IF(OR($C$36=$AR32,$D$36=$AR32),Schweine_Werte!$G32*0.5,IF(OR($C$36&gt;$AR32,$D$36&lt;$AR32),0,Schweine_Werte!$G32))</f>
        <v>0</v>
      </c>
      <c r="BF32" s="730">
        <f>IF(OR($C$48=$AR32,$D$48=$AR32),Schweine_Werte!$G32*0.5,IF(OR($C$48&gt;$AR32,$D$48&lt;$AR32),0,Schweine_Werte!$G32))</f>
        <v>0</v>
      </c>
      <c r="BG32" s="730">
        <f>IF(OR($C$60=$AR32,$D$60=$AR32),Schweine_Werte!$G32*0.5,IF(OR($C$60&gt;$AR32,$D$60&lt;$AR32),0,Schweine_Werte!$G32))</f>
        <v>0</v>
      </c>
      <c r="BH32" s="795">
        <f>IF(OR($C$12=$AR32,$D$12=$AR32),Schweine_Werte!$I32*0.5,IF(OR($C$12&gt;$AR32,$D$12&lt;$AR32),0,Schweine_Werte!$I32))</f>
        <v>0</v>
      </c>
      <c r="BI32" s="730">
        <f>IF(OR($C$24=$AR32,$D$24=$AR32),Schweine_Werte!$I32*0.5,IF(OR($C$24&gt;$AR32,$D$24&lt;$AR32),0,Schweine_Werte!$I32))</f>
        <v>0</v>
      </c>
      <c r="BJ32" s="730">
        <f>IF(OR($C$36=$AR32,$D$36=$AR32),Schweine_Werte!$I32*0.5,IF(OR($C$36&gt;$AR32,$D$36&lt;$AR32),0,Schweine_Werte!$I32))</f>
        <v>0</v>
      </c>
      <c r="BK32" s="730">
        <f>IF(OR($C$48=$AR32,$D$48=$AR32),Schweine_Werte!$I32*0.5,IF(OR($C$48&gt;$AR32,$D$48&lt;$AR32),0,Schweine_Werte!$I32))</f>
        <v>0</v>
      </c>
      <c r="BL32" s="730">
        <f>IF(OR($C$60=$AR32,$D$60=$AR32),Schweine_Werte!$I32*0.5,IF(OR($C$60&gt;$AR32,$D$60&lt;$AR32),0,Schweine_Werte!$I32))</f>
        <v>0</v>
      </c>
      <c r="BM32" s="795"/>
      <c r="BN32" s="730"/>
      <c r="BO32" s="730"/>
      <c r="BP32" s="730"/>
      <c r="BQ32" s="730"/>
      <c r="BR32" s="795">
        <f>IF(OR($C$74=$AR32,$D$74=$AR32),Schweine_Werte!$M32*0.5,IF(OR($C$74&gt;$AR32,$D$74&lt;$AR32),0,Schweine_Werte!$M32))</f>
        <v>0</v>
      </c>
      <c r="BS32" s="795">
        <f>IF(OR($C$83=$AR32,$D$83=$AR32),Schweine_Werte!$M32*0.5,IF(OR($C$83&gt;$AR32,$D$83&lt;$AR32),0,Schweine_Werte!$M32))</f>
        <v>0</v>
      </c>
      <c r="BT32" s="797">
        <f>IF(OR($C$92=$AR32,$D$92=$AR32),Schweine_Werte!$M32*0.5,IF(OR($C$92&gt;$AR32,$D$92&lt;$AR32),0,Schweine_Werte!$M32))</f>
        <v>0</v>
      </c>
      <c r="BU32" s="797">
        <f>IF(OR($C$101=$AR32,$D$101=$AR32),Schweine_Werte!$M32*0.5,IF(OR($C$101&gt;$AR32,$D$101&lt;$AR32),0,Schweine_Werte!$M32))</f>
        <v>0</v>
      </c>
      <c r="BV32" s="797">
        <f>IF(OR($C$110=$AR32,$D$110=$AR32),Schweine_Werte!$M32*0.5,IF(OR($C$110&gt;$AR32,$D$110&lt;$AR32),0,Schweine_Werte!$M32))</f>
        <v>0</v>
      </c>
      <c r="BW32" s="797">
        <f>IF(OR(8=$AR32,$E$127=$AR32),Schweine_Werte!$M32*0.5,IF(OR(8&gt;$AR32,$E$127&lt;$AR32),0,Schweine_Werte!$M32))</f>
        <v>1.4112062668018681</v>
      </c>
      <c r="BX32" s="797">
        <f>IF(OR(8=$AR32,$E$145=$AR32),Schweine_Werte!$M32*0.5,IF(OR(8&gt;$AR32,$E$145&lt;$AR32),0,Schweine_Werte!$M32))</f>
        <v>1.4112062668018681</v>
      </c>
      <c r="BY32" s="795">
        <f>IF(OR($C$74=$AR32,$D$74=$AR32),Schweine_Werte!$O32*0.5,IF(OR($C$74&gt;$AR32,$D$74&lt;$AR32),0,Schweine_Werte!$O32))</f>
        <v>0</v>
      </c>
      <c r="BZ32" s="795">
        <f>IF(OR($C$83=$AR32,$D$83=$AR32),Schweine_Werte!$O32*0.5,IF(OR($C$83&gt;$AR32,$D$83&lt;$AR32),0,Schweine_Werte!$O32))</f>
        <v>0</v>
      </c>
      <c r="CA32" s="797">
        <f>IF(OR($C$92=$AR32,$D$92=$AR32),Schweine_Werte!$O32*0.5,IF(OR($C$92&gt;$AR32,$D$92&lt;$AR32),0,Schweine_Werte!$O32))</f>
        <v>0</v>
      </c>
      <c r="CB32" s="797">
        <f>IF(OR($C$101=$AR32,$D$101=$AR32),Schweine_Werte!$O32*0.5,IF(OR($C$101&gt;$AR32,$D$101&lt;$AR32),0,Schweine_Werte!$O32))</f>
        <v>0</v>
      </c>
      <c r="CC32" s="797">
        <f>IF(OR($C$110=$AR32,$D$110=$AR32),Schweine_Werte!$O32*0.5,IF(OR($C$110&gt;$AR32,$D$110&lt;$AR32),0,Schweine_Werte!$O32))</f>
        <v>0</v>
      </c>
    </row>
    <row r="33" spans="1:81" x14ac:dyDescent="0.25">
      <c r="B33" s="705"/>
      <c r="D33" s="730"/>
      <c r="E33" s="730"/>
      <c r="F33" s="730"/>
      <c r="G33" s="730"/>
      <c r="H33" s="730"/>
      <c r="I33" s="730"/>
      <c r="J33" s="730"/>
      <c r="K33" s="730"/>
      <c r="L33" s="730"/>
      <c r="M33" s="730"/>
      <c r="N33" s="730"/>
      <c r="O33" s="730"/>
      <c r="P33" s="730"/>
      <c r="Q33" s="730"/>
      <c r="R33" s="730"/>
      <c r="S33" s="730"/>
      <c r="T33" s="730"/>
      <c r="U33" s="730"/>
      <c r="V33" s="730"/>
      <c r="W33" s="785"/>
      <c r="X33" s="730"/>
      <c r="Y33" s="730"/>
      <c r="Z33" s="730"/>
      <c r="AA33" s="730"/>
      <c r="AB33" s="730"/>
      <c r="AC33" s="730"/>
      <c r="AD33" s="730"/>
      <c r="AE33" s="730"/>
      <c r="AF33" s="730"/>
      <c r="AG33" s="730"/>
      <c r="AH33" s="730"/>
      <c r="AI33" s="730"/>
      <c r="AJ33" s="730"/>
      <c r="AK33" s="730"/>
      <c r="AL33" s="730"/>
      <c r="AM33" s="730"/>
      <c r="AN33" s="730"/>
      <c r="AR33" s="806">
        <v>37</v>
      </c>
      <c r="AS33" s="795">
        <f>IF(OR($C$12=$AR33,$D$12=$AR33),Schweine_Werte!$C33*0.5,IF(OR($C$12&gt;$AR33,$D$12&lt;$AR33),0,Schweine_Werte!$C33))</f>
        <v>0</v>
      </c>
      <c r="AT33" s="730">
        <f>IF(OR($C$24=$AR33,$D$24=$AR33),Schweine_Werte!$C33*0.5,IF(OR($C$24&gt;$AR33,$D$24&lt;$AR33),0,Schweine_Werte!$C33))</f>
        <v>0</v>
      </c>
      <c r="AU33" s="795">
        <f>IF(OR($C$36=$AR33,$D$36=$AR33),Schweine_Werte!$C33*0.5,IF(OR($C$36&gt;$AR33,$D$36&lt;$AR33),0,Schweine_Werte!$C33))</f>
        <v>0</v>
      </c>
      <c r="AV33" s="795">
        <f>IF(OR($C$48=$AR33,$D$48=$AR33),Schweine_Werte!$C33*0.5,IF(OR($C$48&gt;$AR33,$D$48&lt;$AR33),0,Schweine_Werte!$C33))</f>
        <v>0</v>
      </c>
      <c r="AW33" s="795">
        <f>IF(OR($C$60=$AR33,$D$60=$AR33),Schweine_Werte!$C33*0.5,IF(OR($C$60&gt;$AR33,$D$60&lt;$AR33),0,Schweine_Werte!$C33))</f>
        <v>0</v>
      </c>
      <c r="AX33" s="795">
        <f>IF(OR($C$12=$AR33,$D$12=$AR33),Schweine_Werte!$E33*0.5,IF(OR($C$12&gt;$AR33,$D$12&lt;$AR33),0,Schweine_Werte!$E33))</f>
        <v>0</v>
      </c>
      <c r="AY33" s="730">
        <f>IF(OR($C$24=$AR33,$D$24=$AR33),Schweine_Werte!$E33*0.5,IF(OR($C$24&gt;$AR33,$D$24&lt;$AR33),0,Schweine_Werte!$E33))</f>
        <v>0</v>
      </c>
      <c r="AZ33" s="730">
        <f>IF(OR($C$36=$AR33,$D$36=$AR33),Schweine_Werte!$E33*0.5,IF(OR($C$36&gt;$AR33,$D$36&lt;$AR33),0,Schweine_Werte!$E33))</f>
        <v>0</v>
      </c>
      <c r="BA33" s="730">
        <f>IF(OR($C$48=$AR33,$D$48=$AR33),Schweine_Werte!$E33*0.5,IF(OR($C$48&gt;$AR33,$D$48&lt;$AR33),0,Schweine_Werte!$E33))</f>
        <v>0</v>
      </c>
      <c r="BB33" s="730">
        <f>IF(OR($C$60=$AR33,$D$60=$AR33),Schweine_Werte!$E33*0.5,IF(OR($C$60&gt;$AR33,$D$60&lt;$AR33),0,Schweine_Werte!$E33))</f>
        <v>0</v>
      </c>
      <c r="BC33" s="795">
        <f>IF(OR($C$12=$AR33,$D$12=$AR33),Schweine_Werte!$G33*0.5,IF(OR($C$12&gt;$AR33,$D$12&lt;$AR33),0,Schweine_Werte!$G33))</f>
        <v>0</v>
      </c>
      <c r="BD33" s="730">
        <f>IF(OR($C$24=$AR33,$D$24=$AR33),Schweine_Werte!$G33*0.5,IF(OR($C$24&gt;$AR33,$D$24&lt;$AR33),0,Schweine_Werte!$G33))</f>
        <v>0</v>
      </c>
      <c r="BE33" s="730">
        <f>IF(OR($C$36=$AR33,$D$36=$AR33),Schweine_Werte!$G33*0.5,IF(OR($C$36&gt;$AR33,$D$36&lt;$AR33),0,Schweine_Werte!$G33))</f>
        <v>0</v>
      </c>
      <c r="BF33" s="730">
        <f>IF(OR($C$48=$AR33,$D$48=$AR33),Schweine_Werte!$G33*0.5,IF(OR($C$48&gt;$AR33,$D$48&lt;$AR33),0,Schweine_Werte!$G33))</f>
        <v>0</v>
      </c>
      <c r="BG33" s="730">
        <f>IF(OR($C$60=$AR33,$D$60=$AR33),Schweine_Werte!$G33*0.5,IF(OR($C$60&gt;$AR33,$D$60&lt;$AR33),0,Schweine_Werte!$G33))</f>
        <v>0</v>
      </c>
      <c r="BH33" s="795">
        <f>IF(OR($C$12=$AR33,$D$12=$AR33),Schweine_Werte!$I33*0.5,IF(OR($C$12&gt;$AR33,$D$12&lt;$AR33),0,Schweine_Werte!$I33))</f>
        <v>0</v>
      </c>
      <c r="BI33" s="730">
        <f>IF(OR($C$24=$AR33,$D$24=$AR33),Schweine_Werte!$I33*0.5,IF(OR($C$24&gt;$AR33,$D$24&lt;$AR33),0,Schweine_Werte!$I33))</f>
        <v>0</v>
      </c>
      <c r="BJ33" s="730">
        <f>IF(OR($C$36=$AR33,$D$36=$AR33),Schweine_Werte!$I33*0.5,IF(OR($C$36&gt;$AR33,$D$36&lt;$AR33),0,Schweine_Werte!$I33))</f>
        <v>0</v>
      </c>
      <c r="BK33" s="730">
        <f>IF(OR($C$48=$AR33,$D$48=$AR33),Schweine_Werte!$I33*0.5,IF(OR($C$48&gt;$AR33,$D$48&lt;$AR33),0,Schweine_Werte!$I33))</f>
        <v>0</v>
      </c>
      <c r="BL33" s="730">
        <f>IF(OR($C$60=$AR33,$D$60=$AR33),Schweine_Werte!$I33*0.5,IF(OR($C$60&gt;$AR33,$D$60&lt;$AR33),0,Schweine_Werte!$I33))</f>
        <v>0</v>
      </c>
      <c r="BM33" s="795"/>
      <c r="BN33" s="730"/>
      <c r="BO33" s="730"/>
      <c r="BP33" s="730"/>
      <c r="BQ33" s="730"/>
      <c r="BR33" s="795">
        <f>IF(OR($C$74=$AR33,$D$74=$AR33),Schweine_Werte!$M33*0.5,IF(OR($C$74&gt;$AR33,$D$74&lt;$AR33),0,Schweine_Werte!$M33))</f>
        <v>0</v>
      </c>
      <c r="BS33" s="795">
        <f>IF(OR($C$83=$AR33,$D$83=$AR33),Schweine_Werte!$M33*0.5,IF(OR($C$83&gt;$AR33,$D$83&lt;$AR33),0,Schweine_Werte!$M33))</f>
        <v>0</v>
      </c>
      <c r="BT33" s="797">
        <f>IF(OR($C$92=$AR33,$D$92=$AR33),Schweine_Werte!$M33*0.5,IF(OR($C$92&gt;$AR33,$D$92&lt;$AR33),0,Schweine_Werte!$M33))</f>
        <v>0</v>
      </c>
      <c r="BU33" s="797">
        <f>IF(OR($C$101=$AR33,$D$101=$AR33),Schweine_Werte!$M33*0.5,IF(OR($C$101&gt;$AR33,$D$101&lt;$AR33),0,Schweine_Werte!$M33))</f>
        <v>0</v>
      </c>
      <c r="BV33" s="797">
        <f>IF(OR($C$110=$AR33,$D$110=$AR33),Schweine_Werte!$M33*0.5,IF(OR($C$110&gt;$AR33,$D$110&lt;$AR33),0,Schweine_Werte!$M33))</f>
        <v>0</v>
      </c>
      <c r="BW33" s="797">
        <f>IF(OR(8=$AR33,$E$127=$AR33),Schweine_Werte!$M33*0.5,IF(OR(8&gt;$AR33,$E$127&lt;$AR33),0,Schweine_Werte!$M33))</f>
        <v>1.3904204668329827</v>
      </c>
      <c r="BX33" s="797">
        <f>IF(OR(8=$AR33,$E$145=$AR33),Schweine_Werte!$M33*0.5,IF(OR(8&gt;$AR33,$E$145&lt;$AR33),0,Schweine_Werte!$M33))</f>
        <v>1.3904204668329827</v>
      </c>
      <c r="BY33" s="795">
        <f>IF(OR($C$74=$AR33,$D$74=$AR33),Schweine_Werte!$O33*0.5,IF(OR($C$74&gt;$AR33,$D$74&lt;$AR33),0,Schweine_Werte!$O33))</f>
        <v>0</v>
      </c>
      <c r="BZ33" s="795">
        <f>IF(OR($C$83=$AR33,$D$83=$AR33),Schweine_Werte!$O33*0.5,IF(OR($C$83&gt;$AR33,$D$83&lt;$AR33),0,Schweine_Werte!$O33))</f>
        <v>0</v>
      </c>
      <c r="CA33" s="797">
        <f>IF(OR($C$92=$AR33,$D$92=$AR33),Schweine_Werte!$O33*0.5,IF(OR($C$92&gt;$AR33,$D$92&lt;$AR33),0,Schweine_Werte!$O33))</f>
        <v>0</v>
      </c>
      <c r="CB33" s="797">
        <f>IF(OR($C$101=$AR33,$D$101=$AR33),Schweine_Werte!$O33*0.5,IF(OR($C$101&gt;$AR33,$D$101&lt;$AR33),0,Schweine_Werte!$O33))</f>
        <v>0</v>
      </c>
      <c r="CC33" s="797">
        <f>IF(OR($C$110=$AR33,$D$110=$AR33),Schweine_Werte!$O33*0.5,IF(OR($C$110&gt;$AR33,$D$110&lt;$AR33),0,Schweine_Werte!$O33))</f>
        <v>0</v>
      </c>
    </row>
    <row r="34" spans="1:81" ht="15.6" x14ac:dyDescent="0.3">
      <c r="F34" s="357"/>
      <c r="G34" s="1626" t="s">
        <v>7713</v>
      </c>
      <c r="H34" s="1627"/>
      <c r="I34" s="1628"/>
      <c r="J34" s="1039" t="s">
        <v>596</v>
      </c>
      <c r="K34" s="1039" t="s">
        <v>226</v>
      </c>
      <c r="L34" s="1621" t="s">
        <v>7714</v>
      </c>
      <c r="M34" s="1622"/>
      <c r="N34" s="1623"/>
      <c r="O34" s="1621" t="s">
        <v>7715</v>
      </c>
      <c r="P34" s="1623"/>
      <c r="Q34" s="1621" t="s">
        <v>7770</v>
      </c>
      <c r="R34" s="1622"/>
      <c r="S34" s="1623"/>
      <c r="T34" s="1621" t="s">
        <v>7716</v>
      </c>
      <c r="U34" s="1622"/>
      <c r="V34" s="1623"/>
      <c r="W34" s="1621" t="s">
        <v>7798</v>
      </c>
      <c r="X34" s="1622"/>
      <c r="Y34" s="1623"/>
      <c r="Z34" s="1632" t="s">
        <v>7799</v>
      </c>
      <c r="AA34" s="1633"/>
      <c r="AB34" s="1632" t="s">
        <v>7800</v>
      </c>
      <c r="AC34" s="1633"/>
      <c r="AD34" s="1632" t="s">
        <v>7801</v>
      </c>
      <c r="AE34" s="1633"/>
      <c r="AF34" s="1040" t="s">
        <v>7910</v>
      </c>
      <c r="AG34" s="1624" t="s">
        <v>7804</v>
      </c>
      <c r="AH34" s="1625"/>
      <c r="AI34" s="1148" t="s">
        <v>7911</v>
      </c>
      <c r="AJ34" s="1632" t="s">
        <v>7799</v>
      </c>
      <c r="AK34" s="1633"/>
      <c r="AL34" s="1632" t="s">
        <v>7800</v>
      </c>
      <c r="AM34" s="1633"/>
      <c r="AN34" s="1632" t="s">
        <v>7801</v>
      </c>
      <c r="AO34" s="1633"/>
      <c r="AR34" s="806">
        <v>38</v>
      </c>
      <c r="AS34" s="795">
        <f>IF(OR($C$12=$AR34,$D$12=$AR34),Schweine_Werte!$C34*0.5,IF(OR($C$12&gt;$AR34,$D$12&lt;$AR34),0,Schweine_Werte!$C34))</f>
        <v>0</v>
      </c>
      <c r="AT34" s="730">
        <f>IF(OR($C$24=$AR34,$D$24=$AR34),Schweine_Werte!$C34*0.5,IF(OR($C$24&gt;$AR34,$D$24&lt;$AR34),0,Schweine_Werte!$C34))</f>
        <v>0</v>
      </c>
      <c r="AU34" s="795">
        <f>IF(OR($C$36=$AR34,$D$36=$AR34),Schweine_Werte!$C34*0.5,IF(OR($C$36&gt;$AR34,$D$36&lt;$AR34),0,Schweine_Werte!$C34))</f>
        <v>0</v>
      </c>
      <c r="AV34" s="795">
        <f>IF(OR($C$48=$AR34,$D$48=$AR34),Schweine_Werte!$C34*0.5,IF(OR($C$48&gt;$AR34,$D$48&lt;$AR34),0,Schweine_Werte!$C34))</f>
        <v>0</v>
      </c>
      <c r="AW34" s="795">
        <f>IF(OR($C$60=$AR34,$D$60=$AR34),Schweine_Werte!$C34*0.5,IF(OR($C$60&gt;$AR34,$D$60&lt;$AR34),0,Schweine_Werte!$C34))</f>
        <v>0</v>
      </c>
      <c r="AX34" s="795">
        <f>IF(OR($C$12=$AR34,$D$12=$AR34),Schweine_Werte!$E34*0.5,IF(OR($C$12&gt;$AR34,$D$12&lt;$AR34),0,Schweine_Werte!$E34))</f>
        <v>0</v>
      </c>
      <c r="AY34" s="730">
        <f>IF(OR($C$24=$AR34,$D$24=$AR34),Schweine_Werte!$E34*0.5,IF(OR($C$24&gt;$AR34,$D$24&lt;$AR34),0,Schweine_Werte!$E34))</f>
        <v>0</v>
      </c>
      <c r="AZ34" s="730">
        <f>IF(OR($C$36=$AR34,$D$36=$AR34),Schweine_Werte!$E34*0.5,IF(OR($C$36&gt;$AR34,$D$36&lt;$AR34),0,Schweine_Werte!$E34))</f>
        <v>0</v>
      </c>
      <c r="BA34" s="730">
        <f>IF(OR($C$48=$AR34,$D$48=$AR34),Schweine_Werte!$E34*0.5,IF(OR($C$48&gt;$AR34,$D$48&lt;$AR34),0,Schweine_Werte!$E34))</f>
        <v>0</v>
      </c>
      <c r="BB34" s="730">
        <f>IF(OR($C$60=$AR34,$D$60=$AR34),Schweine_Werte!$E34*0.5,IF(OR($C$60&gt;$AR34,$D$60&lt;$AR34),0,Schweine_Werte!$E34))</f>
        <v>0</v>
      </c>
      <c r="BC34" s="795">
        <f>IF(OR($C$12=$AR34,$D$12=$AR34),Schweine_Werte!$G34*0.5,IF(OR($C$12&gt;$AR34,$D$12&lt;$AR34),0,Schweine_Werte!$G34))</f>
        <v>0</v>
      </c>
      <c r="BD34" s="730">
        <f>IF(OR($C$24=$AR34,$D$24=$AR34),Schweine_Werte!$G34*0.5,IF(OR($C$24&gt;$AR34,$D$24&lt;$AR34),0,Schweine_Werte!$G34))</f>
        <v>0</v>
      </c>
      <c r="BE34" s="730">
        <f>IF(OR($C$36=$AR34,$D$36=$AR34),Schweine_Werte!$G34*0.5,IF(OR($C$36&gt;$AR34,$D$36&lt;$AR34),0,Schweine_Werte!$G34))</f>
        <v>0</v>
      </c>
      <c r="BF34" s="730">
        <f>IF(OR($C$48=$AR34,$D$48=$AR34),Schweine_Werte!$G34*0.5,IF(OR($C$48&gt;$AR34,$D$48&lt;$AR34),0,Schweine_Werte!$G34))</f>
        <v>0</v>
      </c>
      <c r="BG34" s="730">
        <f>IF(OR($C$60=$AR34,$D$60=$AR34),Schweine_Werte!$G34*0.5,IF(OR($C$60&gt;$AR34,$D$60&lt;$AR34),0,Schweine_Werte!$G34))</f>
        <v>0</v>
      </c>
      <c r="BH34" s="795">
        <f>IF(OR($C$12=$AR34,$D$12=$AR34),Schweine_Werte!$I34*0.5,IF(OR($C$12&gt;$AR34,$D$12&lt;$AR34),0,Schweine_Werte!$I34))</f>
        <v>0</v>
      </c>
      <c r="BI34" s="730">
        <f>IF(OR($C$24=$AR34,$D$24=$AR34),Schweine_Werte!$I34*0.5,IF(OR($C$24&gt;$AR34,$D$24&lt;$AR34),0,Schweine_Werte!$I34))</f>
        <v>0</v>
      </c>
      <c r="BJ34" s="730">
        <f>IF(OR($C$36=$AR34,$D$36=$AR34),Schweine_Werte!$I34*0.5,IF(OR($C$36&gt;$AR34,$D$36&lt;$AR34),0,Schweine_Werte!$I34))</f>
        <v>0</v>
      </c>
      <c r="BK34" s="730">
        <f>IF(OR($C$48=$AR34,$D$48=$AR34),Schweine_Werte!$I34*0.5,IF(OR($C$48&gt;$AR34,$D$48&lt;$AR34),0,Schweine_Werte!$I34))</f>
        <v>0</v>
      </c>
      <c r="BL34" s="730">
        <f>IF(OR($C$60=$AR34,$D$60=$AR34),Schweine_Werte!$I34*0.5,IF(OR($C$60&gt;$AR34,$D$60&lt;$AR34),0,Schweine_Werte!$I34))</f>
        <v>0</v>
      </c>
      <c r="BM34" s="795"/>
      <c r="BN34" s="730"/>
      <c r="BO34" s="730"/>
      <c r="BP34" s="730"/>
      <c r="BQ34" s="730"/>
      <c r="BR34" s="795">
        <f>IF(OR($C$74=$AR34,$D$74=$AR34),Schweine_Werte!$M34*0.5,IF(OR($C$74&gt;$AR34,$D$74&lt;$AR34),0,Schweine_Werte!$M34))</f>
        <v>0</v>
      </c>
      <c r="BS34" s="795">
        <f>IF(OR($C$83=$AR34,$D$83=$AR34),Schweine_Werte!$M34*0.5,IF(OR($C$83&gt;$AR34,$D$83&lt;$AR34),0,Schweine_Werte!$M34))</f>
        <v>0</v>
      </c>
      <c r="BT34" s="797">
        <f>IF(OR($C$92=$AR34,$D$92=$AR34),Schweine_Werte!$M34*0.5,IF(OR($C$92&gt;$AR34,$D$92&lt;$AR34),0,Schweine_Werte!$M34))</f>
        <v>0</v>
      </c>
      <c r="BU34" s="797">
        <f>IF(OR($C$101=$AR34,$D$101=$AR34),Schweine_Werte!$M34*0.5,IF(OR($C$101&gt;$AR34,$D$101&lt;$AR34),0,Schweine_Werte!$M34))</f>
        <v>0</v>
      </c>
      <c r="BV34" s="797">
        <f>IF(OR($C$110=$AR34,$D$110=$AR34),Schweine_Werte!$M34*0.5,IF(OR($C$110&gt;$AR34,$D$110&lt;$AR34),0,Schweine_Werte!$M34))</f>
        <v>0</v>
      </c>
      <c r="BW34" s="797">
        <f>IF(OR(8=$AR34,$E$127=$AR34),Schweine_Werte!$M34*0.5,IF(OR(8&gt;$AR34,$E$127&lt;$AR34),0,Schweine_Werte!$M34))</f>
        <v>1.3707820838974658</v>
      </c>
      <c r="BX34" s="797">
        <f>IF(OR(8=$AR34,$E$145=$AR34),Schweine_Werte!$M34*0.5,IF(OR(8&gt;$AR34,$E$145&lt;$AR34),0,Schweine_Werte!$M34))</f>
        <v>1.3707820838974658</v>
      </c>
      <c r="BY34" s="795">
        <f>IF(OR($C$74=$AR34,$D$74=$AR34),Schweine_Werte!$O34*0.5,IF(OR($C$74&gt;$AR34,$D$74&lt;$AR34),0,Schweine_Werte!$O34))</f>
        <v>0</v>
      </c>
      <c r="BZ34" s="795">
        <f>IF(OR($C$83=$AR34,$D$83=$AR34),Schweine_Werte!$O34*0.5,IF(OR($C$83&gt;$AR34,$D$83&lt;$AR34),0,Schweine_Werte!$O34))</f>
        <v>0</v>
      </c>
      <c r="CA34" s="797">
        <f>IF(OR($C$92=$AR34,$D$92=$AR34),Schweine_Werte!$O34*0.5,IF(OR($C$92&gt;$AR34,$D$92&lt;$AR34),0,Schweine_Werte!$O34))</f>
        <v>0</v>
      </c>
      <c r="CB34" s="797">
        <f>IF(OR($C$101=$AR34,$D$101=$AR34),Schweine_Werte!$O34*0.5,IF(OR($C$101&gt;$AR34,$D$101&lt;$AR34),0,Schweine_Werte!$O34))</f>
        <v>0</v>
      </c>
      <c r="CC34" s="797">
        <f>IF(OR($C$110=$AR34,$D$110=$AR34),Schweine_Werte!$O34*0.5,IF(OR($C$110&gt;$AR34,$D$110&lt;$AR34),0,Schweine_Werte!$O34))</f>
        <v>0</v>
      </c>
    </row>
    <row r="35" spans="1:81" ht="18" x14ac:dyDescent="0.25">
      <c r="B35" s="800" t="s">
        <v>7717</v>
      </c>
      <c r="C35" s="801" t="s">
        <v>7657</v>
      </c>
      <c r="D35" s="801" t="s">
        <v>7718</v>
      </c>
      <c r="E35" s="801" t="s">
        <v>7659</v>
      </c>
      <c r="F35" s="747" t="s">
        <v>196</v>
      </c>
      <c r="G35" s="675" t="s">
        <v>4</v>
      </c>
      <c r="H35" s="675" t="s">
        <v>7719</v>
      </c>
      <c r="I35" s="675" t="s">
        <v>7720</v>
      </c>
      <c r="J35" s="676" t="s">
        <v>7721</v>
      </c>
      <c r="K35" s="676" t="s">
        <v>7721</v>
      </c>
      <c r="L35" s="677" t="s">
        <v>39</v>
      </c>
      <c r="M35" s="677" t="s">
        <v>7722</v>
      </c>
      <c r="N35" s="677" t="s">
        <v>41</v>
      </c>
      <c r="O35" s="678" t="s">
        <v>0</v>
      </c>
      <c r="P35" s="678" t="s">
        <v>8</v>
      </c>
      <c r="Q35" s="677" t="s">
        <v>39</v>
      </c>
      <c r="R35" s="677" t="s">
        <v>40</v>
      </c>
      <c r="S35" s="677" t="s">
        <v>41</v>
      </c>
      <c r="T35" s="677" t="s">
        <v>39</v>
      </c>
      <c r="U35" s="677" t="s">
        <v>40</v>
      </c>
      <c r="V35" s="677" t="s">
        <v>41</v>
      </c>
      <c r="W35" s="676" t="s">
        <v>7696</v>
      </c>
      <c r="X35" s="676" t="s">
        <v>7697</v>
      </c>
      <c r="Y35" s="676" t="s">
        <v>7698</v>
      </c>
      <c r="Z35" s="802" t="s">
        <v>7802</v>
      </c>
      <c r="AA35" s="802" t="s">
        <v>7803</v>
      </c>
      <c r="AB35" s="802" t="s">
        <v>7802</v>
      </c>
      <c r="AC35" s="802" t="s">
        <v>7803</v>
      </c>
      <c r="AD35" s="802" t="s">
        <v>7802</v>
      </c>
      <c r="AE35" s="802" t="s">
        <v>7803</v>
      </c>
      <c r="AF35" s="802" t="s">
        <v>7912</v>
      </c>
      <c r="AG35" s="1049" t="s">
        <v>7913</v>
      </c>
      <c r="AH35" s="802" t="s">
        <v>7914</v>
      </c>
      <c r="AI35" s="802"/>
      <c r="AJ35" s="802" t="s">
        <v>7778</v>
      </c>
      <c r="AK35" s="802" t="s">
        <v>7805</v>
      </c>
      <c r="AL35" s="802" t="s">
        <v>7806</v>
      </c>
      <c r="AM35" s="802" t="s">
        <v>7807</v>
      </c>
      <c r="AN35" s="802" t="s">
        <v>7806</v>
      </c>
      <c r="AO35" s="802" t="s">
        <v>7808</v>
      </c>
      <c r="AR35" s="806">
        <v>39</v>
      </c>
      <c r="AS35" s="795">
        <f>IF(OR($C$12=$AR35,$D$12=$AR35),Schweine_Werte!$C35*0.5,IF(OR($C$12&gt;$AR35,$D$12&lt;$AR35),0,Schweine_Werte!$C35))</f>
        <v>0</v>
      </c>
      <c r="AT35" s="730">
        <f>IF(OR($C$24=$AR35,$D$24=$AR35),Schweine_Werte!$C35*0.5,IF(OR($C$24&gt;$AR35,$D$24&lt;$AR35),0,Schweine_Werte!$C35))</f>
        <v>0</v>
      </c>
      <c r="AU35" s="795">
        <f>IF(OR($C$36=$AR35,$D$36=$AR35),Schweine_Werte!$C35*0.5,IF(OR($C$36&gt;$AR35,$D$36&lt;$AR35),0,Schweine_Werte!$C35))</f>
        <v>0</v>
      </c>
      <c r="AV35" s="795">
        <f>IF(OR($C$48=$AR35,$D$48=$AR35),Schweine_Werte!$C35*0.5,IF(OR($C$48&gt;$AR35,$D$48&lt;$AR35),0,Schweine_Werte!$C35))</f>
        <v>0</v>
      </c>
      <c r="AW35" s="795">
        <f>IF(OR($C$60=$AR35,$D$60=$AR35),Schweine_Werte!$C35*0.5,IF(OR($C$60&gt;$AR35,$D$60&lt;$AR35),0,Schweine_Werte!$C35))</f>
        <v>0</v>
      </c>
      <c r="AX35" s="795">
        <f>IF(OR($C$12=$AR35,$D$12=$AR35),Schweine_Werte!$E35*0.5,IF(OR($C$12&gt;$AR35,$D$12&lt;$AR35),0,Schweine_Werte!$E35))</f>
        <v>0</v>
      </c>
      <c r="AY35" s="730">
        <f>IF(OR($C$24=$AR35,$D$24=$AR35),Schweine_Werte!$E35*0.5,IF(OR($C$24&gt;$AR35,$D$24&lt;$AR35),0,Schweine_Werte!$E35))</f>
        <v>0</v>
      </c>
      <c r="AZ35" s="730">
        <f>IF(OR($C$36=$AR35,$D$36=$AR35),Schweine_Werte!$E35*0.5,IF(OR($C$36&gt;$AR35,$D$36&lt;$AR35),0,Schweine_Werte!$E35))</f>
        <v>0</v>
      </c>
      <c r="BA35" s="730">
        <f>IF(OR($C$48=$AR35,$D$48=$AR35),Schweine_Werte!$E35*0.5,IF(OR($C$48&gt;$AR35,$D$48&lt;$AR35),0,Schweine_Werte!$E35))</f>
        <v>0</v>
      </c>
      <c r="BB35" s="730">
        <f>IF(OR($C$60=$AR35,$D$60=$AR35),Schweine_Werte!$E35*0.5,IF(OR($C$60&gt;$AR35,$D$60&lt;$AR35),0,Schweine_Werte!$E35))</f>
        <v>0</v>
      </c>
      <c r="BC35" s="795">
        <f>IF(OR($C$12=$AR35,$D$12=$AR35),Schweine_Werte!$G35*0.5,IF(OR($C$12&gt;$AR35,$D$12&lt;$AR35),0,Schweine_Werte!$G35))</f>
        <v>0</v>
      </c>
      <c r="BD35" s="730">
        <f>IF(OR($C$24=$AR35,$D$24=$AR35),Schweine_Werte!$G35*0.5,IF(OR($C$24&gt;$AR35,$D$24&lt;$AR35),0,Schweine_Werte!$G35))</f>
        <v>0</v>
      </c>
      <c r="BE35" s="730">
        <f>IF(OR($C$36=$AR35,$D$36=$AR35),Schweine_Werte!$G35*0.5,IF(OR($C$36&gt;$AR35,$D$36&lt;$AR35),0,Schweine_Werte!$G35))</f>
        <v>0</v>
      </c>
      <c r="BF35" s="730">
        <f>IF(OR($C$48=$AR35,$D$48=$AR35),Schweine_Werte!$G35*0.5,IF(OR($C$48&gt;$AR35,$D$48&lt;$AR35),0,Schweine_Werte!$G35))</f>
        <v>0</v>
      </c>
      <c r="BG35" s="730">
        <f>IF(OR($C$60=$AR35,$D$60=$AR35),Schweine_Werte!$G35*0.5,IF(OR($C$60&gt;$AR35,$D$60&lt;$AR35),0,Schweine_Werte!$G35))</f>
        <v>0</v>
      </c>
      <c r="BH35" s="795">
        <f>IF(OR($C$12=$AR35,$D$12=$AR35),Schweine_Werte!$I35*0.5,IF(OR($C$12&gt;$AR35,$D$12&lt;$AR35),0,Schweine_Werte!$I35))</f>
        <v>0</v>
      </c>
      <c r="BI35" s="730">
        <f>IF(OR($C$24=$AR35,$D$24=$AR35),Schweine_Werte!$I35*0.5,IF(OR($C$24&gt;$AR35,$D$24&lt;$AR35),0,Schweine_Werte!$I35))</f>
        <v>0</v>
      </c>
      <c r="BJ35" s="730">
        <f>IF(OR($C$36=$AR35,$D$36=$AR35),Schweine_Werte!$I35*0.5,IF(OR($C$36&gt;$AR35,$D$36&lt;$AR35),0,Schweine_Werte!$I35))</f>
        <v>0</v>
      </c>
      <c r="BK35" s="730">
        <f>IF(OR($C$48=$AR35,$D$48=$AR35),Schweine_Werte!$I35*0.5,IF(OR($C$48&gt;$AR35,$D$48&lt;$AR35),0,Schweine_Werte!$I35))</f>
        <v>0</v>
      </c>
      <c r="BL35" s="730">
        <f>IF(OR($C$60=$AR35,$D$60=$AR35),Schweine_Werte!$I35*0.5,IF(OR($C$60&gt;$AR35,$D$60&lt;$AR35),0,Schweine_Werte!$I35))</f>
        <v>0</v>
      </c>
      <c r="BM35" s="795"/>
      <c r="BN35" s="730"/>
      <c r="BO35" s="730"/>
      <c r="BP35" s="730"/>
      <c r="BQ35" s="730"/>
      <c r="BR35" s="795">
        <f>IF(OR($C$74=$AR35,$D$74=$AR35),Schweine_Werte!$M35*0.5,IF(OR($C$74&gt;$AR35,$D$74&lt;$AR35),0,Schweine_Werte!$M35))</f>
        <v>0</v>
      </c>
      <c r="BS35" s="795">
        <f>IF(OR($C$83=$AR35,$D$83=$AR35),Schweine_Werte!$M35*0.5,IF(OR($C$83&gt;$AR35,$D$83&lt;$AR35),0,Schweine_Werte!$M35))</f>
        <v>0</v>
      </c>
      <c r="BT35" s="797">
        <f>IF(OR($C$92=$AR35,$D$92=$AR35),Schweine_Werte!$M35*0.5,IF(OR($C$92&gt;$AR35,$D$92&lt;$AR35),0,Schweine_Werte!$M35))</f>
        <v>0</v>
      </c>
      <c r="BU35" s="797">
        <f>IF(OR($C$101=$AR35,$D$101=$AR35),Schweine_Werte!$M35*0.5,IF(OR($C$101&gt;$AR35,$D$101&lt;$AR35),0,Schweine_Werte!$M35))</f>
        <v>0</v>
      </c>
      <c r="BV35" s="797">
        <f>IF(OR($C$110=$AR35,$D$110=$AR35),Schweine_Werte!$M35*0.5,IF(OR($C$110&gt;$AR35,$D$110&lt;$AR35),0,Schweine_Werte!$M35))</f>
        <v>0</v>
      </c>
      <c r="BW35" s="797">
        <f>IF(OR(8=$AR35,$E$127=$AR35),Schweine_Werte!$M35*0.5,IF(OR(8&gt;$AR35,$E$127&lt;$AR35),0,Schweine_Werte!$M35))</f>
        <v>1.3522208276626688</v>
      </c>
      <c r="BX35" s="797">
        <f>IF(OR(8=$AR35,$E$145=$AR35),Schweine_Werte!$M35*0.5,IF(OR(8&gt;$AR35,$E$145&lt;$AR35),0,Schweine_Werte!$M35))</f>
        <v>1.3522208276626688</v>
      </c>
      <c r="BY35" s="795">
        <f>IF(OR($C$74=$AR35,$D$74=$AR35),Schweine_Werte!$O35*0.5,IF(OR($C$74&gt;$AR35,$D$74&lt;$AR35),0,Schweine_Werte!$O35))</f>
        <v>0</v>
      </c>
      <c r="BZ35" s="795">
        <f>IF(OR($C$83=$AR35,$D$83=$AR35),Schweine_Werte!$O35*0.5,IF(OR($C$83&gt;$AR35,$D$83&lt;$AR35),0,Schweine_Werte!$O35))</f>
        <v>0</v>
      </c>
      <c r="CA35" s="797">
        <f>IF(OR($C$92=$AR35,$D$92=$AR35),Schweine_Werte!$O35*0.5,IF(OR($C$92&gt;$AR35,$D$92&lt;$AR35),0,Schweine_Werte!$O35))</f>
        <v>0</v>
      </c>
      <c r="CB35" s="797">
        <f>IF(OR($C$101=$AR35,$D$101=$AR35),Schweine_Werte!$O35*0.5,IF(OR($C$101&gt;$AR35,$D$101&lt;$AR35),0,Schweine_Werte!$O35))</f>
        <v>0</v>
      </c>
      <c r="CC35" s="797">
        <f>IF(OR($C$110=$AR35,$D$110=$AR35),Schweine_Werte!$O35*0.5,IF(OR($C$110&gt;$AR35,$D$110&lt;$AR35),0,Schweine_Werte!$O35))</f>
        <v>0</v>
      </c>
    </row>
    <row r="36" spans="1:81" ht="15.6" x14ac:dyDescent="0.25">
      <c r="A36" t="s">
        <v>7788</v>
      </c>
      <c r="B36" s="770" t="str">
        <f>IF('Abweichende Werte'!W7=1,'Abweichende Werte'!F7,"")</f>
        <v/>
      </c>
      <c r="C36" s="679" t="str">
        <f>IF('Abweichende Werte'!W7=1,'Abweichende Werte'!J7,"")</f>
        <v/>
      </c>
      <c r="D36" s="679" t="str">
        <f>IF('Abweichende Werte'!W7=1,'Abweichende Werte'!M7,"")</f>
        <v/>
      </c>
      <c r="E36" s="815" t="str">
        <f>IF('Abweichende Werte'!W7=1,'Abweichende Werte'!P7,"")</f>
        <v/>
      </c>
      <c r="F36" s="803" t="e">
        <f>IF($E36&lt;=$E29,F29,IF(AND($E36&gt;$E29,$E36&lt;=$E30),F29+(F30-F29)/($E30-$E29)*($E36-$E29),IF(AND($E36&gt;$E30,$E36&lt;=$E31),F30+(F31-F30)/($E31-$E30)*($E36-$E30),IF(AND($E36&gt;$E31,$E36&lt;=$E32),F31+(F32-F31)/($E32-$E31)*($E36-$E31),IF($E36&gt;$E32,F32)))))</f>
        <v>#VALUE!</v>
      </c>
      <c r="G36" s="803" t="e">
        <f t="shared" ref="G36:N36" si="17">IF($E36&lt;=$E29,G29,IF(AND($E36&gt;$E29,$E36&lt;=$E30),G29+(G30-G29)/($E30-$E29)*($E36-$E29),IF(AND($E36&gt;$E30,$E36&lt;=$E31),G30+(G31-G30)/($E31-$E30)*($E36-$E30),IF(AND($E36&gt;$E31,$E36&lt;=$E32),G31+(G32-G31)/($E32-$E31)*($E36-$E31),IF($E36&gt;$E32,G32)))))</f>
        <v>#VALUE!</v>
      </c>
      <c r="H36" s="803" t="e">
        <f t="shared" si="17"/>
        <v>#VALUE!</v>
      </c>
      <c r="I36" s="803" t="e">
        <f t="shared" si="17"/>
        <v>#VALUE!</v>
      </c>
      <c r="J36" s="803" t="e">
        <f t="shared" si="17"/>
        <v>#VALUE!</v>
      </c>
      <c r="K36" s="803" t="e">
        <f t="shared" si="17"/>
        <v>#VALUE!</v>
      </c>
      <c r="L36" s="803" t="e">
        <f t="shared" si="17"/>
        <v>#VALUE!</v>
      </c>
      <c r="M36" s="803" t="e">
        <f t="shared" si="17"/>
        <v>#VALUE!</v>
      </c>
      <c r="N36" s="803" t="e">
        <f t="shared" si="17"/>
        <v>#VALUE!</v>
      </c>
      <c r="O36" s="804">
        <v>5.5</v>
      </c>
      <c r="P36" s="804">
        <v>1.8</v>
      </c>
      <c r="Q36" s="803" t="e">
        <f t="shared" ref="Q36:Z36" si="18">IF($E36&lt;=$E29,Q29,IF(AND($E36&gt;$E29,$E36&lt;=$E30),Q29+(Q30-Q29)/($E30-$E29)*($E36-$E29),IF(AND($E36&gt;$E30,$E36&lt;=$E31),Q30+(Q31-Q30)/($E31-$E30)*($E36-$E30),IF(AND($E36&gt;$E31,$E36&lt;=$E32),Q31+(Q32-Q31)/($E32-$E31)*($E36-$E31),IF($E36&gt;$E32,Q32)))))</f>
        <v>#VALUE!</v>
      </c>
      <c r="R36" s="803" t="e">
        <f t="shared" si="18"/>
        <v>#VALUE!</v>
      </c>
      <c r="S36" s="803" t="e">
        <f t="shared" si="18"/>
        <v>#VALUE!</v>
      </c>
      <c r="T36" s="803" t="e">
        <f t="shared" si="18"/>
        <v>#VALUE!</v>
      </c>
      <c r="U36" s="803" t="e">
        <f t="shared" si="18"/>
        <v>#VALUE!</v>
      </c>
      <c r="V36" s="803" t="e">
        <f t="shared" si="18"/>
        <v>#VALUE!</v>
      </c>
      <c r="W36" s="803" t="e">
        <f t="shared" si="18"/>
        <v>#VALUE!</v>
      </c>
      <c r="X36" s="803" t="e">
        <f t="shared" si="18"/>
        <v>#VALUE!</v>
      </c>
      <c r="Y36" s="803" t="e">
        <f t="shared" si="18"/>
        <v>#VALUE!</v>
      </c>
      <c r="Z36" s="803" t="e">
        <f t="shared" si="18"/>
        <v>#VALUE!</v>
      </c>
      <c r="AA36" s="805" t="e">
        <f>+Z36*6.25</f>
        <v>#VALUE!</v>
      </c>
      <c r="AB36" s="803" t="e">
        <f t="shared" ref="AB36" si="19">IF($E36&lt;=$E29,AB29,IF(AND($E36&gt;$E29,$E36&lt;=$E30),AB29+(AB30-AB29)/($E30-$E29)*($E36-$E29),IF(AND($E36&gt;$E30,$E36&lt;=$E31),AB30+(AB31-AB30)/($E31-$E30)*($E36-$E30),IF(AND($E36&gt;$E31,$E36&lt;=$E32),AB31+(AB32-AB31)/($E32-$E31)*($E36-$E31),IF($E36&gt;$E32,AB32)))))</f>
        <v>#VALUE!</v>
      </c>
      <c r="AC36" s="805" t="e">
        <f>+AB36*6.25</f>
        <v>#VALUE!</v>
      </c>
      <c r="AD36" s="803" t="e">
        <f t="shared" ref="AD36" si="20">IF($E36&lt;=$E29,AD29,IF(AND($E36&gt;$E29,$E36&lt;=$E30),AD29+(AD30-AD29)/($E30-$E29)*($E36-$E29),IF(AND($E36&gt;$E30,$E36&lt;=$E31),AD30+(AD31-AD30)/($E31-$E30)*($E36-$E30),IF(AND($E36&gt;$E31,$E36&lt;=$E32),AD31+(AD32-AD31)/($E32-$E31)*($E36-$E31),IF($E36&gt;$E32,AD32)))))</f>
        <v>#VALUE!</v>
      </c>
      <c r="AE36" s="805" t="e">
        <f>+AD36*6.25</f>
        <v>#VALUE!</v>
      </c>
      <c r="AF36" s="805" t="e">
        <f>365/((D36-C36)/E36*1000)</f>
        <v>#VALUE!</v>
      </c>
      <c r="AG36" s="803" t="e">
        <f>IF($E36&lt;=$E29,AG29,IF(AND($E36&gt;$E29,$E36&lt;=$E30),AG29+(AG30-AG29)/($E30-$E29)*($E36-$E29),IF(AND($E36&gt;$E30,$E36&lt;=$E31),AG30+(AG31-AG30)/($E31-$E30)*($E36-$E30),IF(AND($E36&gt;$E31,$E36&lt;=$E32),AG31+(AG32-AG31)/($E32-$E31)*($E36-$E31),IF($E36&gt;$E32,AG32)))))</f>
        <v>#VALUE!</v>
      </c>
      <c r="AH36" s="805" t="e">
        <f>+AG36/AF36</f>
        <v>#VALUE!</v>
      </c>
      <c r="AI36" s="805" t="e">
        <f>+CONCATENATE(ROUND(AH36/(D36-C36),1)," : 1")</f>
        <v>#VALUE!</v>
      </c>
      <c r="AJ36" s="803" t="e">
        <f t="shared" ref="AJ36" si="21">IF($E36&lt;=$E29,AJ29,IF(AND($E36&gt;$E29,$E36&lt;=$E30),AJ29+(AJ30-AJ29)/($E30-$E29)*($E36-$E29),IF(AND($E36&gt;$E30,$E36&lt;=$E31),AJ30+(AJ31-AJ30)/($E31-$E30)*($E36-$E30),IF(AND($E36&gt;$E31,$E36&lt;=$E32),AJ31+(AJ32-AJ31)/($E32-$E31)*($E36-$E31),IF($E36&gt;$E32,AJ32)))))</f>
        <v>#VALUE!</v>
      </c>
      <c r="AK36" s="805" t="e">
        <f>+AJ36/2.291</f>
        <v>#VALUE!</v>
      </c>
      <c r="AL36" s="803" t="e">
        <f t="shared" ref="AL36" si="22">IF($E36&lt;=$E29,AL29,IF(AND($E36&gt;$E29,$E36&lt;=$E30),AL29+(AL30-AL29)/($E30-$E29)*($E36-$E29),IF(AND($E36&gt;$E30,$E36&lt;=$E31),AL30+(AL31-AL30)/($E31-$E30)*($E36-$E30),IF(AND($E36&gt;$E31,$E36&lt;=$E32),AL31+(AL32-AL31)/($E32-$E31)*($E36-$E31),IF($E36&gt;$E32,AL32)))))</f>
        <v>#VALUE!</v>
      </c>
      <c r="AM36" s="805" t="e">
        <f>+AL36/2.291</f>
        <v>#VALUE!</v>
      </c>
      <c r="AN36" s="803" t="e">
        <f t="shared" ref="AN36" si="23">IF($E36&lt;=$E29,AN29,IF(AND($E36&gt;$E29,$E36&lt;=$E30),AN29+(AN30-AN29)/($E30-$E29)*($E36-$E29),IF(AND($E36&gt;$E30,$E36&lt;=$E31),AN30+(AN31-AN30)/($E31-$E30)*($E36-$E30),IF(AND($E36&gt;$E31,$E36&lt;=$E32),AN31+(AN32-AN31)/($E32-$E31)*($E36-$E31),IF($E36&gt;$E32,AN32)))))</f>
        <v>#VALUE!</v>
      </c>
      <c r="AO36" s="805" t="e">
        <f>+AN36/2.291</f>
        <v>#VALUE!</v>
      </c>
      <c r="AR36" s="806">
        <v>40</v>
      </c>
      <c r="AS36" s="795">
        <f>IF(OR($C$12=$AR36,$D$12=$AR36),Schweine_Werte!$C36*0.5,IF(OR($C$12&gt;$AR36,$D$12&lt;$AR36),0,Schweine_Werte!$C36))</f>
        <v>0</v>
      </c>
      <c r="AT36" s="730">
        <f>IF(OR($C$24=$AR36,$D$24=$AR36),Schweine_Werte!$C36*0.5,IF(OR($C$24&gt;$AR36,$D$24&lt;$AR36),0,Schweine_Werte!$C36))</f>
        <v>0</v>
      </c>
      <c r="AU36" s="795">
        <f>IF(OR($C$36=$AR36,$D$36=$AR36),Schweine_Werte!$C36*0.5,IF(OR($C$36&gt;$AR36,$D$36&lt;$AR36),0,Schweine_Werte!$C36))</f>
        <v>0</v>
      </c>
      <c r="AV36" s="795">
        <f>IF(OR($C$48=$AR36,$D$48=$AR36),Schweine_Werte!$C36*0.5,IF(OR($C$48&gt;$AR36,$D$48&lt;$AR36),0,Schweine_Werte!$C36))</f>
        <v>0</v>
      </c>
      <c r="AW36" s="795">
        <f>IF(OR($C$60=$AR36,$D$60=$AR36),Schweine_Werte!$C36*0.5,IF(OR($C$60&gt;$AR36,$D$60&lt;$AR36),0,Schweine_Werte!$C36))</f>
        <v>0</v>
      </c>
      <c r="AX36" s="795">
        <f>IF(OR($C$12=$AR36,$D$12=$AR36),Schweine_Werte!$E36*0.5,IF(OR($C$12&gt;$AR36,$D$12&lt;$AR36),0,Schweine_Werte!$E36))</f>
        <v>0</v>
      </c>
      <c r="AY36" s="730">
        <f>IF(OR($C$24=$AR36,$D$24=$AR36),Schweine_Werte!$E36*0.5,IF(OR($C$24&gt;$AR36,$D$24&lt;$AR36),0,Schweine_Werte!$E36))</f>
        <v>0</v>
      </c>
      <c r="AZ36" s="730">
        <f>IF(OR($C$36=$AR36,$D$36=$AR36),Schweine_Werte!$E36*0.5,IF(OR($C$36&gt;$AR36,$D$36&lt;$AR36),0,Schweine_Werte!$E36))</f>
        <v>0</v>
      </c>
      <c r="BA36" s="730">
        <f>IF(OR($C$48=$AR36,$D$48=$AR36),Schweine_Werte!$E36*0.5,IF(OR($C$48&gt;$AR36,$D$48&lt;$AR36),0,Schweine_Werte!$E36))</f>
        <v>0</v>
      </c>
      <c r="BB36" s="730">
        <f>IF(OR($C$60=$AR36,$D$60=$AR36),Schweine_Werte!$E36*0.5,IF(OR($C$60&gt;$AR36,$D$60&lt;$AR36),0,Schweine_Werte!$E36))</f>
        <v>0</v>
      </c>
      <c r="BC36" s="795">
        <f>IF(OR($C$12=$AR36,$D$12=$AR36),Schweine_Werte!$G36*0.5,IF(OR($C$12&gt;$AR36,$D$12&lt;$AR36),0,Schweine_Werte!$G36))</f>
        <v>0</v>
      </c>
      <c r="BD36" s="730">
        <f>IF(OR($C$24=$AR36,$D$24=$AR36),Schweine_Werte!$G36*0.5,IF(OR($C$24&gt;$AR36,$D$24&lt;$AR36),0,Schweine_Werte!$G36))</f>
        <v>0</v>
      </c>
      <c r="BE36" s="730">
        <f>IF(OR($C$36=$AR36,$D$36=$AR36),Schweine_Werte!$G36*0.5,IF(OR($C$36&gt;$AR36,$D$36&lt;$AR36),0,Schweine_Werte!$G36))</f>
        <v>0</v>
      </c>
      <c r="BF36" s="730">
        <f>IF(OR($C$48=$AR36,$D$48=$AR36),Schweine_Werte!$G36*0.5,IF(OR($C$48&gt;$AR36,$D$48&lt;$AR36),0,Schweine_Werte!$G36))</f>
        <v>0</v>
      </c>
      <c r="BG36" s="730">
        <f>IF(OR($C$60=$AR36,$D$60=$AR36),Schweine_Werte!$G36*0.5,IF(OR($C$60&gt;$AR36,$D$60&lt;$AR36),0,Schweine_Werte!$G36))</f>
        <v>0</v>
      </c>
      <c r="BH36" s="795">
        <f>IF(OR($C$12=$AR36,$D$12=$AR36),Schweine_Werte!$I36*0.5,IF(OR($C$12&gt;$AR36,$D$12&lt;$AR36),0,Schweine_Werte!$I36))</f>
        <v>0</v>
      </c>
      <c r="BI36" s="730">
        <f>IF(OR($C$24=$AR36,$D$24=$AR36),Schweine_Werte!$I36*0.5,IF(OR($C$24&gt;$AR36,$D$24&lt;$AR36),0,Schweine_Werte!$I36))</f>
        <v>0</v>
      </c>
      <c r="BJ36" s="730">
        <f>IF(OR($C$36=$AR36,$D$36=$AR36),Schweine_Werte!$I36*0.5,IF(OR($C$36&gt;$AR36,$D$36&lt;$AR36),0,Schweine_Werte!$I36))</f>
        <v>0</v>
      </c>
      <c r="BK36" s="730">
        <f>IF(OR($C$48=$AR36,$D$48=$AR36),Schweine_Werte!$I36*0.5,IF(OR($C$48&gt;$AR36,$D$48&lt;$AR36),0,Schweine_Werte!$I36))</f>
        <v>0</v>
      </c>
      <c r="BL36" s="730">
        <f>IF(OR($C$60=$AR36,$D$60=$AR36),Schweine_Werte!$I36*0.5,IF(OR($C$60&gt;$AR36,$D$60&lt;$AR36),0,Schweine_Werte!$I36))</f>
        <v>0</v>
      </c>
      <c r="BM36" s="795"/>
      <c r="BN36" s="730"/>
      <c r="BO36" s="730"/>
      <c r="BP36" s="730"/>
      <c r="BQ36" s="730"/>
      <c r="BR36" s="795">
        <f>IF(OR($C$74=$AR36,$D$74=$AR36),Schweine_Werte!$M36*0.5,IF(OR($C$74&gt;$AR36,$D$74&lt;$AR36),0,Schweine_Werte!$M36))</f>
        <v>0</v>
      </c>
      <c r="BS36" s="795">
        <f>IF(OR($C$83=$AR36,$D$83=$AR36),Schweine_Werte!$M36*0.5,IF(OR($C$83&gt;$AR36,$D$83&lt;$AR36),0,Schweine_Werte!$M36))</f>
        <v>0</v>
      </c>
      <c r="BT36" s="797">
        <f>IF(OR($C$92=$AR36,$D$92=$AR36),Schweine_Werte!$M36*0.5,IF(OR($C$92&gt;$AR36,$D$92&lt;$AR36),0,Schweine_Werte!$M36))</f>
        <v>0</v>
      </c>
      <c r="BU36" s="797">
        <f>IF(OR($C$101=$AR36,$D$101=$AR36),Schweine_Werte!$M36*0.5,IF(OR($C$101&gt;$AR36,$D$101&lt;$AR36),0,Schweine_Werte!$M36))</f>
        <v>0</v>
      </c>
      <c r="BV36" s="797">
        <f>IF(OR($C$110=$AR36,$D$110=$AR36),Schweine_Werte!$M36*0.5,IF(OR($C$110&gt;$AR36,$D$110&lt;$AR36),0,Schweine_Werte!$M36))</f>
        <v>0</v>
      </c>
      <c r="BW36" s="797">
        <f>IF(OR(8=$AR36,$E$127=$AR36),Schweine_Werte!$M36*0.5,IF(OR(8&gt;$AR36,$E$127&lt;$AR36),0,Schweine_Werte!$M36))</f>
        <v>1.3346726601939383</v>
      </c>
      <c r="BX36" s="797">
        <f>IF(OR(8=$AR36,$E$145=$AR36),Schweine_Werte!$M36*0.5,IF(OR(8&gt;$AR36,$E$145&lt;$AR36),0,Schweine_Werte!$M36))</f>
        <v>1.3346726601939383</v>
      </c>
      <c r="BY36" s="795">
        <f>IF(OR($C$74=$AR36,$D$74=$AR36),Schweine_Werte!$O36*0.5,IF(OR($C$74&gt;$AR36,$D$74&lt;$AR36),0,Schweine_Werte!$O36))</f>
        <v>0</v>
      </c>
      <c r="BZ36" s="795">
        <f>IF(OR($C$83=$AR36,$D$83=$AR36),Schweine_Werte!$O36*0.5,IF(OR($C$83&gt;$AR36,$D$83&lt;$AR36),0,Schweine_Werte!$O36))</f>
        <v>0</v>
      </c>
      <c r="CA36" s="797">
        <f>IF(OR($C$92=$AR36,$D$92=$AR36),Schweine_Werte!$O36*0.5,IF(OR($C$92&gt;$AR36,$D$92&lt;$AR36),0,Schweine_Werte!$O36))</f>
        <v>0</v>
      </c>
      <c r="CB36" s="797">
        <f>IF(OR($C$101=$AR36,$D$101=$AR36),Schweine_Werte!$O36*0.5,IF(OR($C$101&gt;$AR36,$D$101&lt;$AR36),0,Schweine_Werte!$O36))</f>
        <v>0</v>
      </c>
      <c r="CC36" s="797">
        <f>IF(OR($C$110=$AR36,$D$110=$AR36),Schweine_Werte!$O36*0.5,IF(OR($C$110&gt;$AR36,$D$110&lt;$AR36),0,Schweine_Werte!$O36))</f>
        <v>0</v>
      </c>
    </row>
    <row r="37" spans="1:81" x14ac:dyDescent="0.25">
      <c r="AR37" s="806">
        <v>41</v>
      </c>
      <c r="AS37" s="795">
        <f>IF(OR($C$12=$AR37,$D$12=$AR37),Schweine_Werte!$C37*0.5,IF(OR($C$12&gt;$AR37,$D$12&lt;$AR37),0,Schweine_Werte!$C37))</f>
        <v>0</v>
      </c>
      <c r="AT37" s="730">
        <f>IF(OR($C$24=$AR37,$D$24=$AR37),Schweine_Werte!$C37*0.5,IF(OR($C$24&gt;$AR37,$D$24&lt;$AR37),0,Schweine_Werte!$C37))</f>
        <v>0</v>
      </c>
      <c r="AU37" s="795">
        <f>IF(OR($C$36=$AR37,$D$36=$AR37),Schweine_Werte!$C37*0.5,IF(OR($C$36&gt;$AR37,$D$36&lt;$AR37),0,Schweine_Werte!$C37))</f>
        <v>0</v>
      </c>
      <c r="AV37" s="795">
        <f>IF(OR($C$48=$AR37,$D$48=$AR37),Schweine_Werte!$C37*0.5,IF(OR($C$48&gt;$AR37,$D$48&lt;$AR37),0,Schweine_Werte!$C37))</f>
        <v>0</v>
      </c>
      <c r="AW37" s="795">
        <f>IF(OR($C$60=$AR37,$D$60=$AR37),Schweine_Werte!$C37*0.5,IF(OR($C$60&gt;$AR37,$D$60&lt;$AR37),0,Schweine_Werte!$C37))</f>
        <v>0</v>
      </c>
      <c r="AX37" s="795">
        <f>IF(OR($C$12=$AR37,$D$12=$AR37),Schweine_Werte!$E37*0.5,IF(OR($C$12&gt;$AR37,$D$12&lt;$AR37),0,Schweine_Werte!$E37))</f>
        <v>0</v>
      </c>
      <c r="AY37" s="730">
        <f>IF(OR($C$24=$AR37,$D$24=$AR37),Schweine_Werte!$E37*0.5,IF(OR($C$24&gt;$AR37,$D$24&lt;$AR37),0,Schweine_Werte!$E37))</f>
        <v>0</v>
      </c>
      <c r="AZ37" s="730">
        <f>IF(OR($C$36=$AR37,$D$36=$AR37),Schweine_Werte!$E37*0.5,IF(OR($C$36&gt;$AR37,$D$36&lt;$AR37),0,Schweine_Werte!$E37))</f>
        <v>0</v>
      </c>
      <c r="BA37" s="730">
        <f>IF(OR($C$48=$AR37,$D$48=$AR37),Schweine_Werte!$E37*0.5,IF(OR($C$48&gt;$AR37,$D$48&lt;$AR37),0,Schweine_Werte!$E37))</f>
        <v>0</v>
      </c>
      <c r="BB37" s="730">
        <f>IF(OR($C$60=$AR37,$D$60=$AR37),Schweine_Werte!$E37*0.5,IF(OR($C$60&gt;$AR37,$D$60&lt;$AR37),0,Schweine_Werte!$E37))</f>
        <v>0</v>
      </c>
      <c r="BC37" s="795">
        <f>IF(OR($C$12=$AR37,$D$12=$AR37),Schweine_Werte!$G37*0.5,IF(OR($C$12&gt;$AR37,$D$12&lt;$AR37),0,Schweine_Werte!$G37))</f>
        <v>0</v>
      </c>
      <c r="BD37" s="730">
        <f>IF(OR($C$24=$AR37,$D$24=$AR37),Schweine_Werte!$G37*0.5,IF(OR($C$24&gt;$AR37,$D$24&lt;$AR37),0,Schweine_Werte!$G37))</f>
        <v>0</v>
      </c>
      <c r="BE37" s="730">
        <f>IF(OR($C$36=$AR37,$D$36=$AR37),Schweine_Werte!$G37*0.5,IF(OR($C$36&gt;$AR37,$D$36&lt;$AR37),0,Schweine_Werte!$G37))</f>
        <v>0</v>
      </c>
      <c r="BF37" s="730">
        <f>IF(OR($C$48=$AR37,$D$48=$AR37),Schweine_Werte!$G37*0.5,IF(OR($C$48&gt;$AR37,$D$48&lt;$AR37),0,Schweine_Werte!$G37))</f>
        <v>0</v>
      </c>
      <c r="BG37" s="730">
        <f>IF(OR($C$60=$AR37,$D$60=$AR37),Schweine_Werte!$G37*0.5,IF(OR($C$60&gt;$AR37,$D$60&lt;$AR37),0,Schweine_Werte!$G37))</f>
        <v>0</v>
      </c>
      <c r="BH37" s="795">
        <f>IF(OR($C$12=$AR37,$D$12=$AR37),Schweine_Werte!$I37*0.5,IF(OR($C$12&gt;$AR37,$D$12&lt;$AR37),0,Schweine_Werte!$I37))</f>
        <v>0</v>
      </c>
      <c r="BI37" s="730">
        <f>IF(OR($C$24=$AR37,$D$24=$AR37),Schweine_Werte!$I37*0.5,IF(OR($C$24&gt;$AR37,$D$24&lt;$AR37),0,Schweine_Werte!$I37))</f>
        <v>0</v>
      </c>
      <c r="BJ37" s="730">
        <f>IF(OR($C$36=$AR37,$D$36=$AR37),Schweine_Werte!$I37*0.5,IF(OR($C$36&gt;$AR37,$D$36&lt;$AR37),0,Schweine_Werte!$I37))</f>
        <v>0</v>
      </c>
      <c r="BK37" s="730">
        <f>IF(OR($C$48=$AR37,$D$48=$AR37),Schweine_Werte!$I37*0.5,IF(OR($C$48&gt;$AR37,$D$48&lt;$AR37),0,Schweine_Werte!$I37))</f>
        <v>0</v>
      </c>
      <c r="BL37" s="730">
        <f>IF(OR($C$60=$AR37,$D$60=$AR37),Schweine_Werte!$I37*0.5,IF(OR($C$60&gt;$AR37,$D$60&lt;$AR37),0,Schweine_Werte!$I37))</f>
        <v>0</v>
      </c>
      <c r="BM37" s="795"/>
      <c r="BN37" s="730"/>
      <c r="BO37" s="730"/>
      <c r="BP37" s="730"/>
      <c r="BQ37" s="730"/>
      <c r="BR37" s="795">
        <f>IF(OR($C$74=$AR37,$D$74=$AR37),Schweine_Werte!$M37*0.5,IF(OR($C$74&gt;$AR37,$D$74&lt;$AR37),0,Schweine_Werte!$M37))</f>
        <v>0</v>
      </c>
      <c r="BS37" s="795">
        <f>IF(OR($C$83=$AR37,$D$83=$AR37),Schweine_Werte!$M37*0.5,IF(OR($C$83&gt;$AR37,$D$83&lt;$AR37),0,Schweine_Werte!$M37))</f>
        <v>0</v>
      </c>
      <c r="BT37" s="797">
        <f>IF(OR($C$92=$AR37,$D$92=$AR37),Schweine_Werte!$M37*0.5,IF(OR($C$92&gt;$AR37,$D$92&lt;$AR37),0,Schweine_Werte!$M37))</f>
        <v>0</v>
      </c>
      <c r="BU37" s="797">
        <f>IF(OR($C$101=$AR37,$D$101=$AR37),Schweine_Werte!$M37*0.5,IF(OR($C$101&gt;$AR37,$D$101&lt;$AR37),0,Schweine_Werte!$M37))</f>
        <v>0</v>
      </c>
      <c r="BV37" s="797">
        <f>IF(OR($C$110=$AR37,$D$110=$AR37),Schweine_Werte!$M37*0.5,IF(OR($C$110&gt;$AR37,$D$110&lt;$AR37),0,Schweine_Werte!$M37))</f>
        <v>0</v>
      </c>
      <c r="BW37" s="797">
        <f>IF(OR(8=$AR37,$E$127=$AR37),Schweine_Werte!$M37*0.5,IF(OR(8&gt;$AR37,$E$127&lt;$AR37),0,Schweine_Werte!$M37))</f>
        <v>1.318079145127627</v>
      </c>
      <c r="BX37" s="797">
        <f>IF(OR(8=$AR37,$E$145=$AR37),Schweine_Werte!$M37*0.5,IF(OR(8&gt;$AR37,$E$145&lt;$AR37),0,Schweine_Werte!$M37))</f>
        <v>1.318079145127627</v>
      </c>
      <c r="BY37" s="795">
        <f>IF(OR($C$74=$AR37,$D$74=$AR37),Schweine_Werte!$O37*0.5,IF(OR($C$74&gt;$AR37,$D$74&lt;$AR37),0,Schweine_Werte!$O37))</f>
        <v>0</v>
      </c>
      <c r="BZ37" s="795">
        <f>IF(OR($C$83=$AR37,$D$83=$AR37),Schweine_Werte!$O37*0.5,IF(OR($C$83&gt;$AR37,$D$83&lt;$AR37),0,Schweine_Werte!$O37))</f>
        <v>0</v>
      </c>
      <c r="CA37" s="797">
        <f>IF(OR($C$92=$AR37,$D$92=$AR37),Schweine_Werte!$O37*0.5,IF(OR($C$92&gt;$AR37,$D$92&lt;$AR37),0,Schweine_Werte!$O37))</f>
        <v>0</v>
      </c>
      <c r="CB37" s="797">
        <f>IF(OR($C$101=$AR37,$D$101=$AR37),Schweine_Werte!$O37*0.5,IF(OR($C$101&gt;$AR37,$D$101&lt;$AR37),0,Schweine_Werte!$O37))</f>
        <v>0</v>
      </c>
      <c r="CC37" s="797">
        <f>IF(OR($C$110=$AR37,$D$110=$AR37),Schweine_Werte!$O37*0.5,IF(OR($C$110&gt;$AR37,$D$110&lt;$AR37),0,Schweine_Werte!$O37))</f>
        <v>0</v>
      </c>
    </row>
    <row r="38" spans="1:81" ht="18" x14ac:dyDescent="0.35">
      <c r="H38" s="784"/>
      <c r="I38" s="784"/>
      <c r="L38" s="818"/>
      <c r="W38" s="1620" t="s">
        <v>7674</v>
      </c>
      <c r="X38" s="1620"/>
      <c r="Y38" s="1620"/>
      <c r="AR38" s="806">
        <v>42</v>
      </c>
      <c r="AS38" s="795">
        <f>IF(OR($C$12=$AR38,$D$12=$AR38),Schweine_Werte!$C38*0.5,IF(OR($C$12&gt;$AR38,$D$12&lt;$AR38),0,Schweine_Werte!$C38))</f>
        <v>0</v>
      </c>
      <c r="AT38" s="730">
        <f>IF(OR($C$24=$AR38,$D$24=$AR38),Schweine_Werte!$C38*0.5,IF(OR($C$24&gt;$AR38,$D$24&lt;$AR38),0,Schweine_Werte!$C38))</f>
        <v>0</v>
      </c>
      <c r="AU38" s="795">
        <f>IF(OR($C$36=$AR38,$D$36=$AR38),Schweine_Werte!$C38*0.5,IF(OR($C$36&gt;$AR38,$D$36&lt;$AR38),0,Schweine_Werte!$C38))</f>
        <v>0</v>
      </c>
      <c r="AV38" s="795">
        <f>IF(OR($C$48=$AR38,$D$48=$AR38),Schweine_Werte!$C38*0.5,IF(OR($C$48&gt;$AR38,$D$48&lt;$AR38),0,Schweine_Werte!$C38))</f>
        <v>0</v>
      </c>
      <c r="AW38" s="795">
        <f>IF(OR($C$60=$AR38,$D$60=$AR38),Schweine_Werte!$C38*0.5,IF(OR($C$60&gt;$AR38,$D$60&lt;$AR38),0,Schweine_Werte!$C38))</f>
        <v>0</v>
      </c>
      <c r="AX38" s="795">
        <f>IF(OR($C$12=$AR38,$D$12=$AR38),Schweine_Werte!$E38*0.5,IF(OR($C$12&gt;$AR38,$D$12&lt;$AR38),0,Schweine_Werte!$E38))</f>
        <v>0</v>
      </c>
      <c r="AY38" s="730">
        <f>IF(OR($C$24=$AR38,$D$24=$AR38),Schweine_Werte!$E38*0.5,IF(OR($C$24&gt;$AR38,$D$24&lt;$AR38),0,Schweine_Werte!$E38))</f>
        <v>0</v>
      </c>
      <c r="AZ38" s="730">
        <f>IF(OR($C$36=$AR38,$D$36=$AR38),Schweine_Werte!$E38*0.5,IF(OR($C$36&gt;$AR38,$D$36&lt;$AR38),0,Schweine_Werte!$E38))</f>
        <v>0</v>
      </c>
      <c r="BA38" s="730">
        <f>IF(OR($C$48=$AR38,$D$48=$AR38),Schweine_Werte!$E38*0.5,IF(OR($C$48&gt;$AR38,$D$48&lt;$AR38),0,Schweine_Werte!$E38))</f>
        <v>0</v>
      </c>
      <c r="BB38" s="730">
        <f>IF(OR($C$60=$AR38,$D$60=$AR38),Schweine_Werte!$E38*0.5,IF(OR($C$60&gt;$AR38,$D$60&lt;$AR38),0,Schweine_Werte!$E38))</f>
        <v>0</v>
      </c>
      <c r="BC38" s="795">
        <f>IF(OR($C$12=$AR38,$D$12=$AR38),Schweine_Werte!$G38*0.5,IF(OR($C$12&gt;$AR38,$D$12&lt;$AR38),0,Schweine_Werte!$G38))</f>
        <v>0</v>
      </c>
      <c r="BD38" s="730">
        <f>IF(OR($C$24=$AR38,$D$24=$AR38),Schweine_Werte!$G38*0.5,IF(OR($C$24&gt;$AR38,$D$24&lt;$AR38),0,Schweine_Werte!$G38))</f>
        <v>0</v>
      </c>
      <c r="BE38" s="730">
        <f>IF(OR($C$36=$AR38,$D$36=$AR38),Schweine_Werte!$G38*0.5,IF(OR($C$36&gt;$AR38,$D$36&lt;$AR38),0,Schweine_Werte!$G38))</f>
        <v>0</v>
      </c>
      <c r="BF38" s="730">
        <f>IF(OR($C$48=$AR38,$D$48=$AR38),Schweine_Werte!$G38*0.5,IF(OR($C$48&gt;$AR38,$D$48&lt;$AR38),0,Schweine_Werte!$G38))</f>
        <v>0</v>
      </c>
      <c r="BG38" s="730">
        <f>IF(OR($C$60=$AR38,$D$60=$AR38),Schweine_Werte!$G38*0.5,IF(OR($C$60&gt;$AR38,$D$60&lt;$AR38),0,Schweine_Werte!$G38))</f>
        <v>0</v>
      </c>
      <c r="BH38" s="795">
        <f>IF(OR($C$12=$AR38,$D$12=$AR38),Schweine_Werte!$I38*0.5,IF(OR($C$12&gt;$AR38,$D$12&lt;$AR38),0,Schweine_Werte!$I38))</f>
        <v>0</v>
      </c>
      <c r="BI38" s="730">
        <f>IF(OR($C$24=$AR38,$D$24=$AR38),Schweine_Werte!$I38*0.5,IF(OR($C$24&gt;$AR38,$D$24&lt;$AR38),0,Schweine_Werte!$I38))</f>
        <v>0</v>
      </c>
      <c r="BJ38" s="730">
        <f>IF(OR($C$36=$AR38,$D$36=$AR38),Schweine_Werte!$I38*0.5,IF(OR($C$36&gt;$AR38,$D$36&lt;$AR38),0,Schweine_Werte!$I38))</f>
        <v>0</v>
      </c>
      <c r="BK38" s="730">
        <f>IF(OR($C$48=$AR38,$D$48=$AR38),Schweine_Werte!$I38*0.5,IF(OR($C$48&gt;$AR38,$D$48&lt;$AR38),0,Schweine_Werte!$I38))</f>
        <v>0</v>
      </c>
      <c r="BL38" s="730">
        <f>IF(OR($C$60=$AR38,$D$60=$AR38),Schweine_Werte!$I38*0.5,IF(OR($C$60&gt;$AR38,$D$60&lt;$AR38),0,Schweine_Werte!$I38))</f>
        <v>0</v>
      </c>
      <c r="BM38" s="795"/>
      <c r="BN38" s="730"/>
      <c r="BO38" s="730"/>
      <c r="BP38" s="730"/>
      <c r="BQ38" s="730"/>
      <c r="BR38" s="795">
        <f>IF(OR($C$74=$AR38,$D$74=$AR38),Schweine_Werte!$M38*0.5,IF(OR($C$74&gt;$AR38,$D$74&lt;$AR38),0,Schweine_Werte!$M38))</f>
        <v>0</v>
      </c>
      <c r="BS38" s="795">
        <f>IF(OR($C$83=$AR38,$D$83=$AR38),Schweine_Werte!$M38*0.5,IF(OR($C$83&gt;$AR38,$D$83&lt;$AR38),0,Schweine_Werte!$M38))</f>
        <v>0</v>
      </c>
      <c r="BT38" s="797">
        <f>IF(OR($C$92=$AR38,$D$92=$AR38),Schweine_Werte!$M38*0.5,IF(OR($C$92&gt;$AR38,$D$92&lt;$AR38),0,Schweine_Werte!$M38))</f>
        <v>0</v>
      </c>
      <c r="BU38" s="797">
        <f>IF(OR($C$101=$AR38,$D$101=$AR38),Schweine_Werte!$M38*0.5,IF(OR($C$101&gt;$AR38,$D$101&lt;$AR38),0,Schweine_Werte!$M38))</f>
        <v>0</v>
      </c>
      <c r="BV38" s="797">
        <f>IF(OR($C$110=$AR38,$D$110=$AR38),Schweine_Werte!$M38*0.5,IF(OR($C$110&gt;$AR38,$D$110&lt;$AR38),0,Schweine_Werte!$M38))</f>
        <v>0</v>
      </c>
      <c r="BW38" s="797">
        <f>IF(OR(8=$AR38,$E$127=$AR38),Schweine_Werte!$M38*0.5,IF(OR(8&gt;$AR38,$E$127&lt;$AR38),0,Schweine_Werte!$M38))</f>
        <v>1.3023868779742263</v>
      </c>
      <c r="BX38" s="797">
        <f>IF(OR(8=$AR38,$E$145=$AR38),Schweine_Werte!$M38*0.5,IF(OR(8&gt;$AR38,$E$145&lt;$AR38),0,Schweine_Werte!$M38))</f>
        <v>1.3023868779742263</v>
      </c>
      <c r="BY38" s="795">
        <f>IF(OR($C$74=$AR38,$D$74=$AR38),Schweine_Werte!$O38*0.5,IF(OR($C$74&gt;$AR38,$D$74&lt;$AR38),0,Schweine_Werte!$O38))</f>
        <v>0</v>
      </c>
      <c r="BZ38" s="795">
        <f>IF(OR($C$83=$AR38,$D$83=$AR38),Schweine_Werte!$O38*0.5,IF(OR($C$83&gt;$AR38,$D$83&lt;$AR38),0,Schweine_Werte!$O38))</f>
        <v>0</v>
      </c>
      <c r="CA38" s="797">
        <f>IF(OR($C$92=$AR38,$D$92=$AR38),Schweine_Werte!$O38*0.5,IF(OR($C$92&gt;$AR38,$D$92&lt;$AR38),0,Schweine_Werte!$O38))</f>
        <v>0</v>
      </c>
      <c r="CB38" s="797">
        <f>IF(OR($C$101=$AR38,$D$101=$AR38),Schweine_Werte!$O38*0.5,IF(OR($C$101&gt;$AR38,$D$101&lt;$AR38),0,Schweine_Werte!$O38))</f>
        <v>0</v>
      </c>
      <c r="CC38" s="797">
        <f>IF(OR($C$110=$AR38,$D$110=$AR38),Schweine_Werte!$O38*0.5,IF(OR($C$110&gt;$AR38,$D$110&lt;$AR38),0,Schweine_Werte!$O38))</f>
        <v>0</v>
      </c>
    </row>
    <row r="39" spans="1:81" ht="18" x14ac:dyDescent="0.35">
      <c r="B39" s="788"/>
      <c r="C39" s="788"/>
      <c r="D39" s="788"/>
      <c r="E39" s="788"/>
      <c r="F39" s="788"/>
      <c r="G39" s="788"/>
      <c r="H39" s="789"/>
      <c r="L39" s="129" t="s">
        <v>255</v>
      </c>
      <c r="Q39" s="1620" t="s">
        <v>7781</v>
      </c>
      <c r="R39" s="1620"/>
      <c r="S39" s="1620"/>
      <c r="T39" s="1620" t="s">
        <v>7782</v>
      </c>
      <c r="U39" s="1620"/>
      <c r="V39" s="1620"/>
      <c r="W39" t="s">
        <v>7687</v>
      </c>
      <c r="X39" t="s">
        <v>7688</v>
      </c>
      <c r="Y39" t="s">
        <v>7689</v>
      </c>
      <c r="Z39" t="s">
        <v>7783</v>
      </c>
      <c r="AG39" t="s">
        <v>7784</v>
      </c>
      <c r="AJ39" t="s">
        <v>7785</v>
      </c>
      <c r="AR39" s="806">
        <v>43</v>
      </c>
      <c r="AS39" s="795">
        <f>IF(OR($C$12=$AR39,$D$12=$AR39),Schweine_Werte!$C39*0.5,IF(OR($C$12&gt;$AR39,$D$12&lt;$AR39),0,Schweine_Werte!$C39))</f>
        <v>0</v>
      </c>
      <c r="AT39" s="730">
        <f>IF(OR($C$24=$AR39,$D$24=$AR39),Schweine_Werte!$C39*0.5,IF(OR($C$24&gt;$AR39,$D$24&lt;$AR39),0,Schweine_Werte!$C39))</f>
        <v>0</v>
      </c>
      <c r="AU39" s="795">
        <f>IF(OR($C$36=$AR39,$D$36=$AR39),Schweine_Werte!$C39*0.5,IF(OR($C$36&gt;$AR39,$D$36&lt;$AR39),0,Schweine_Werte!$C39))</f>
        <v>0</v>
      </c>
      <c r="AV39" s="795">
        <f>IF(OR($C$48=$AR39,$D$48=$AR39),Schweine_Werte!$C39*0.5,IF(OR($C$48&gt;$AR39,$D$48&lt;$AR39),0,Schweine_Werte!$C39))</f>
        <v>0</v>
      </c>
      <c r="AW39" s="795">
        <f>IF(OR($C$60=$AR39,$D$60=$AR39),Schweine_Werte!$C39*0.5,IF(OR($C$60&gt;$AR39,$D$60&lt;$AR39),0,Schweine_Werte!$C39))</f>
        <v>0</v>
      </c>
      <c r="AX39" s="795">
        <f>IF(OR($C$12=$AR39,$D$12=$AR39),Schweine_Werte!$E39*0.5,IF(OR($C$12&gt;$AR39,$D$12&lt;$AR39),0,Schweine_Werte!$E39))</f>
        <v>0</v>
      </c>
      <c r="AY39" s="730">
        <f>IF(OR($C$24=$AR39,$D$24=$AR39),Schweine_Werte!$E39*0.5,IF(OR($C$24&gt;$AR39,$D$24&lt;$AR39),0,Schweine_Werte!$E39))</f>
        <v>0</v>
      </c>
      <c r="AZ39" s="730">
        <f>IF(OR($C$36=$AR39,$D$36=$AR39),Schweine_Werte!$E39*0.5,IF(OR($C$36&gt;$AR39,$D$36&lt;$AR39),0,Schweine_Werte!$E39))</f>
        <v>0</v>
      </c>
      <c r="BA39" s="730">
        <f>IF(OR($C$48=$AR39,$D$48=$AR39),Schweine_Werte!$E39*0.5,IF(OR($C$48&gt;$AR39,$D$48&lt;$AR39),0,Schweine_Werte!$E39))</f>
        <v>0</v>
      </c>
      <c r="BB39" s="730">
        <f>IF(OR($C$60=$AR39,$D$60=$AR39),Schweine_Werte!$E39*0.5,IF(OR($C$60&gt;$AR39,$D$60&lt;$AR39),0,Schweine_Werte!$E39))</f>
        <v>0</v>
      </c>
      <c r="BC39" s="795">
        <f>IF(OR($C$12=$AR39,$D$12=$AR39),Schweine_Werte!$G39*0.5,IF(OR($C$12&gt;$AR39,$D$12&lt;$AR39),0,Schweine_Werte!$G39))</f>
        <v>0</v>
      </c>
      <c r="BD39" s="730">
        <f>IF(OR($C$24=$AR39,$D$24=$AR39),Schweine_Werte!$G39*0.5,IF(OR($C$24&gt;$AR39,$D$24&lt;$AR39),0,Schweine_Werte!$G39))</f>
        <v>0</v>
      </c>
      <c r="BE39" s="730">
        <f>IF(OR($C$36=$AR39,$D$36=$AR39),Schweine_Werte!$G39*0.5,IF(OR($C$36&gt;$AR39,$D$36&lt;$AR39),0,Schweine_Werte!$G39))</f>
        <v>0</v>
      </c>
      <c r="BF39" s="730">
        <f>IF(OR($C$48=$AR39,$D$48=$AR39),Schweine_Werte!$G39*0.5,IF(OR($C$48&gt;$AR39,$D$48&lt;$AR39),0,Schweine_Werte!$G39))</f>
        <v>0</v>
      </c>
      <c r="BG39" s="730">
        <f>IF(OR($C$60=$AR39,$D$60=$AR39),Schweine_Werte!$G39*0.5,IF(OR($C$60&gt;$AR39,$D$60&lt;$AR39),0,Schweine_Werte!$G39))</f>
        <v>0</v>
      </c>
      <c r="BH39" s="795">
        <f>IF(OR($C$12=$AR39,$D$12=$AR39),Schweine_Werte!$I39*0.5,IF(OR($C$12&gt;$AR39,$D$12&lt;$AR39),0,Schweine_Werte!$I39))</f>
        <v>0</v>
      </c>
      <c r="BI39" s="730">
        <f>IF(OR($C$24=$AR39,$D$24=$AR39),Schweine_Werte!$I39*0.5,IF(OR($C$24&gt;$AR39,$D$24&lt;$AR39),0,Schweine_Werte!$I39))</f>
        <v>0</v>
      </c>
      <c r="BJ39" s="730">
        <f>IF(OR($C$36=$AR39,$D$36=$AR39),Schweine_Werte!$I39*0.5,IF(OR($C$36&gt;$AR39,$D$36&lt;$AR39),0,Schweine_Werte!$I39))</f>
        <v>0</v>
      </c>
      <c r="BK39" s="730">
        <f>IF(OR($C$48=$AR39,$D$48=$AR39),Schweine_Werte!$I39*0.5,IF(OR($C$48&gt;$AR39,$D$48&lt;$AR39),0,Schweine_Werte!$I39))</f>
        <v>0</v>
      </c>
      <c r="BL39" s="730">
        <f>IF(OR($C$60=$AR39,$D$60=$AR39),Schweine_Werte!$I39*0.5,IF(OR($C$60&gt;$AR39,$D$60&lt;$AR39),0,Schweine_Werte!$I39))</f>
        <v>0</v>
      </c>
      <c r="BM39" s="795"/>
      <c r="BN39" s="730"/>
      <c r="BO39" s="730"/>
      <c r="BP39" s="730"/>
      <c r="BQ39" s="730"/>
      <c r="BR39" s="795">
        <f>IF(OR($C$74=$AR39,$D$74=$AR39),Schweine_Werte!$M39*0.5,IF(OR($C$74&gt;$AR39,$D$74&lt;$AR39),0,Schweine_Werte!$M39))</f>
        <v>0</v>
      </c>
      <c r="BS39" s="795">
        <f>IF(OR($C$83=$AR39,$D$83=$AR39),Schweine_Werte!$M39*0.5,IF(OR($C$83&gt;$AR39,$D$83&lt;$AR39),0,Schweine_Werte!$M39))</f>
        <v>0</v>
      </c>
      <c r="BT39" s="797">
        <f>IF(OR($C$92=$AR39,$D$92=$AR39),Schweine_Werte!$M39*0.5,IF(OR($C$92&gt;$AR39,$D$92&lt;$AR39),0,Schweine_Werte!$M39))</f>
        <v>0</v>
      </c>
      <c r="BU39" s="797">
        <f>IF(OR($C$101=$AR39,$D$101=$AR39),Schweine_Werte!$M39*0.5,IF(OR($C$101&gt;$AR39,$D$101&lt;$AR39),0,Schweine_Werte!$M39))</f>
        <v>0</v>
      </c>
      <c r="BV39" s="797">
        <f>IF(OR($C$110=$AR39,$D$110=$AR39),Schweine_Werte!$M39*0.5,IF(OR($C$110&gt;$AR39,$D$110&lt;$AR39),0,Schweine_Werte!$M39))</f>
        <v>0</v>
      </c>
      <c r="BW39" s="797">
        <f>IF(OR(8=$AR39,$E$127=$AR39),Schweine_Werte!$M39*0.5,IF(OR(8&gt;$AR39,$E$127&lt;$AR39),0,Schweine_Werte!$M39))</f>
        <v>1.2875469860865005</v>
      </c>
      <c r="BX39" s="797">
        <f>IF(OR(8=$AR39,$E$145=$AR39),Schweine_Werte!$M39*0.5,IF(OR(8&gt;$AR39,$E$145&lt;$AR39),0,Schweine_Werte!$M39))</f>
        <v>1.2875469860865005</v>
      </c>
      <c r="BY39" s="795">
        <f>IF(OR($C$74=$AR39,$D$74=$AR39),Schweine_Werte!$O39*0.5,IF(OR($C$74&gt;$AR39,$D$74&lt;$AR39),0,Schweine_Werte!$O39))</f>
        <v>0</v>
      </c>
      <c r="BZ39" s="795">
        <f>IF(OR($C$83=$AR39,$D$83=$AR39),Schweine_Werte!$O39*0.5,IF(OR($C$83&gt;$AR39,$D$83&lt;$AR39),0,Schweine_Werte!$O39))</f>
        <v>0</v>
      </c>
      <c r="CA39" s="797">
        <f>IF(OR($C$92=$AR39,$D$92=$AR39),Schweine_Werte!$O39*0.5,IF(OR($C$92&gt;$AR39,$D$92&lt;$AR39),0,Schweine_Werte!$O39))</f>
        <v>0</v>
      </c>
      <c r="CB39" s="797">
        <f>IF(OR($C$101=$AR39,$D$101=$AR39),Schweine_Werte!$O39*0.5,IF(OR($C$101&gt;$AR39,$D$101&lt;$AR39),0,Schweine_Werte!$O39))</f>
        <v>0</v>
      </c>
      <c r="CC39" s="797">
        <f>IF(OR($C$110=$AR39,$D$110=$AR39),Schweine_Werte!$O39*0.5,IF(OR($C$110&gt;$AR39,$D$110&lt;$AR39),0,Schweine_Werte!$O39))</f>
        <v>0</v>
      </c>
    </row>
    <row r="40" spans="1:81" x14ac:dyDescent="0.25">
      <c r="B40" t="s">
        <v>7699</v>
      </c>
      <c r="E40" t="s">
        <v>7700</v>
      </c>
      <c r="F40" t="s">
        <v>196</v>
      </c>
      <c r="G40" t="s">
        <v>7701</v>
      </c>
      <c r="H40" t="s">
        <v>7702</v>
      </c>
      <c r="I40" t="s">
        <v>7703</v>
      </c>
      <c r="J40" t="s">
        <v>596</v>
      </c>
      <c r="K40" t="s">
        <v>7704</v>
      </c>
      <c r="L40" s="129" t="s">
        <v>7705</v>
      </c>
      <c r="M40" t="s">
        <v>7706</v>
      </c>
      <c r="N40" t="s">
        <v>7707</v>
      </c>
      <c r="O40" t="s">
        <v>7708</v>
      </c>
      <c r="P40" t="s">
        <v>7709</v>
      </c>
      <c r="Q40" t="s">
        <v>39</v>
      </c>
      <c r="R40" t="s">
        <v>40</v>
      </c>
      <c r="S40" t="s">
        <v>41</v>
      </c>
      <c r="T40" t="s">
        <v>39</v>
      </c>
      <c r="U40" t="s">
        <v>40</v>
      </c>
      <c r="V40" t="s">
        <v>41</v>
      </c>
      <c r="AR40" s="806">
        <v>44</v>
      </c>
      <c r="AS40" s="795">
        <f>IF(OR($C$12=$AR40,$D$12=$AR40),Schweine_Werte!$C40*0.5,IF(OR($C$12&gt;$AR40,$D$12&lt;$AR40),0,Schweine_Werte!$C40))</f>
        <v>0</v>
      </c>
      <c r="AT40" s="730">
        <f>IF(OR($C$24=$AR40,$D$24=$AR40),Schweine_Werte!$C40*0.5,IF(OR($C$24&gt;$AR40,$D$24&lt;$AR40),0,Schweine_Werte!$C40))</f>
        <v>0</v>
      </c>
      <c r="AU40" s="795">
        <f>IF(OR($C$36=$AR40,$D$36=$AR40),Schweine_Werte!$C40*0.5,IF(OR($C$36&gt;$AR40,$D$36&lt;$AR40),0,Schweine_Werte!$C40))</f>
        <v>0</v>
      </c>
      <c r="AV40" s="795">
        <f>IF(OR($C$48=$AR40,$D$48=$AR40),Schweine_Werte!$C40*0.5,IF(OR($C$48&gt;$AR40,$D$48&lt;$AR40),0,Schweine_Werte!$C40))</f>
        <v>0</v>
      </c>
      <c r="AW40" s="795">
        <f>IF(OR($C$60=$AR40,$D$60=$AR40),Schweine_Werte!$C40*0.5,IF(OR($C$60&gt;$AR40,$D$60&lt;$AR40),0,Schweine_Werte!$C40))</f>
        <v>0</v>
      </c>
      <c r="AX40" s="795">
        <f>IF(OR($C$12=$AR40,$D$12=$AR40),Schweine_Werte!$E40*0.5,IF(OR($C$12&gt;$AR40,$D$12&lt;$AR40),0,Schweine_Werte!$E40))</f>
        <v>0</v>
      </c>
      <c r="AY40" s="730">
        <f>IF(OR($C$24=$AR40,$D$24=$AR40),Schweine_Werte!$E40*0.5,IF(OR($C$24&gt;$AR40,$D$24&lt;$AR40),0,Schweine_Werte!$E40))</f>
        <v>0</v>
      </c>
      <c r="AZ40" s="730">
        <f>IF(OR($C$36=$AR40,$D$36=$AR40),Schweine_Werte!$E40*0.5,IF(OR($C$36&gt;$AR40,$D$36&lt;$AR40),0,Schweine_Werte!$E40))</f>
        <v>0</v>
      </c>
      <c r="BA40" s="730">
        <f>IF(OR($C$48=$AR40,$D$48=$AR40),Schweine_Werte!$E40*0.5,IF(OR($C$48&gt;$AR40,$D$48&lt;$AR40),0,Schweine_Werte!$E40))</f>
        <v>0</v>
      </c>
      <c r="BB40" s="730">
        <f>IF(OR($C$60=$AR40,$D$60=$AR40),Schweine_Werte!$E40*0.5,IF(OR($C$60&gt;$AR40,$D$60&lt;$AR40),0,Schweine_Werte!$E40))</f>
        <v>0</v>
      </c>
      <c r="BC40" s="795">
        <f>IF(OR($C$12=$AR40,$D$12=$AR40),Schweine_Werte!$G40*0.5,IF(OR($C$12&gt;$AR40,$D$12&lt;$AR40),0,Schweine_Werte!$G40))</f>
        <v>0</v>
      </c>
      <c r="BD40" s="730">
        <f>IF(OR($C$24=$AR40,$D$24=$AR40),Schweine_Werte!$G40*0.5,IF(OR($C$24&gt;$AR40,$D$24&lt;$AR40),0,Schweine_Werte!$G40))</f>
        <v>0</v>
      </c>
      <c r="BE40" s="730">
        <f>IF(OR($C$36=$AR40,$D$36=$AR40),Schweine_Werte!$G40*0.5,IF(OR($C$36&gt;$AR40,$D$36&lt;$AR40),0,Schweine_Werte!$G40))</f>
        <v>0</v>
      </c>
      <c r="BF40" s="730">
        <f>IF(OR($C$48=$AR40,$D$48=$AR40),Schweine_Werte!$G40*0.5,IF(OR($C$48&gt;$AR40,$D$48&lt;$AR40),0,Schweine_Werte!$G40))</f>
        <v>0</v>
      </c>
      <c r="BG40" s="730">
        <f>IF(OR($C$60=$AR40,$D$60=$AR40),Schweine_Werte!$G40*0.5,IF(OR($C$60&gt;$AR40,$D$60&lt;$AR40),0,Schweine_Werte!$G40))</f>
        <v>0</v>
      </c>
      <c r="BH40" s="795">
        <f>IF(OR($C$12=$AR40,$D$12=$AR40),Schweine_Werte!$I40*0.5,IF(OR($C$12&gt;$AR40,$D$12&lt;$AR40),0,Schweine_Werte!$I40))</f>
        <v>0</v>
      </c>
      <c r="BI40" s="730">
        <f>IF(OR($C$24=$AR40,$D$24=$AR40),Schweine_Werte!$I40*0.5,IF(OR($C$24&gt;$AR40,$D$24&lt;$AR40),0,Schweine_Werte!$I40))</f>
        <v>0</v>
      </c>
      <c r="BJ40" s="730">
        <f>IF(OR($C$36=$AR40,$D$36=$AR40),Schweine_Werte!$I40*0.5,IF(OR($C$36&gt;$AR40,$D$36&lt;$AR40),0,Schweine_Werte!$I40))</f>
        <v>0</v>
      </c>
      <c r="BK40" s="730">
        <f>IF(OR($C$48=$AR40,$D$48=$AR40),Schweine_Werte!$I40*0.5,IF(OR($C$48&gt;$AR40,$D$48&lt;$AR40),0,Schweine_Werte!$I40))</f>
        <v>0</v>
      </c>
      <c r="BL40" s="730">
        <f>IF(OR($C$60=$AR40,$D$60=$AR40),Schweine_Werte!$I40*0.5,IF(OR($C$60&gt;$AR40,$D$60&lt;$AR40),0,Schweine_Werte!$I40))</f>
        <v>0</v>
      </c>
      <c r="BM40" s="795"/>
      <c r="BN40" s="730"/>
      <c r="BO40" s="730"/>
      <c r="BP40" s="730"/>
      <c r="BQ40" s="730"/>
      <c r="BR40" s="795">
        <f>IF(OR($C$74=$AR40,$D$74=$AR40),Schweine_Werte!$M40*0.5,IF(OR($C$74&gt;$AR40,$D$74&lt;$AR40),0,Schweine_Werte!$M40))</f>
        <v>0</v>
      </c>
      <c r="BS40" s="795">
        <f>IF(OR($C$83=$AR40,$D$83=$AR40),Schweine_Werte!$M40*0.5,IF(OR($C$83&gt;$AR40,$D$83&lt;$AR40),0,Schweine_Werte!$M40))</f>
        <v>0</v>
      </c>
      <c r="BT40" s="797">
        <f>IF(OR($C$92=$AR40,$D$92=$AR40),Schweine_Werte!$M40*0.5,IF(OR($C$92&gt;$AR40,$D$92&lt;$AR40),0,Schweine_Werte!$M40))</f>
        <v>0</v>
      </c>
      <c r="BU40" s="797">
        <f>IF(OR($C$101=$AR40,$D$101=$AR40),Schweine_Werte!$M40*0.5,IF(OR($C$101&gt;$AR40,$D$101&lt;$AR40),0,Schweine_Werte!$M40))</f>
        <v>0</v>
      </c>
      <c r="BV40" s="797">
        <f>IF(OR($C$110=$AR40,$D$110=$AR40),Schweine_Werte!$M40*0.5,IF(OR($C$110&gt;$AR40,$D$110&lt;$AR40),0,Schweine_Werte!$M40))</f>
        <v>0</v>
      </c>
      <c r="BW40" s="797">
        <f>IF(OR(8=$AR40,$E$127=$AR40),Schweine_Werte!$M40*0.5,IF(OR(8&gt;$AR40,$E$127&lt;$AR40),0,Schweine_Werte!$M40))</f>
        <v>1.2735146886492412</v>
      </c>
      <c r="BX40" s="797">
        <f>IF(OR(8=$AR40,$E$145=$AR40),Schweine_Werte!$M40*0.5,IF(OR(8&gt;$AR40,$E$145&lt;$AR40),0,Schweine_Werte!$M40))</f>
        <v>1.2735146886492412</v>
      </c>
      <c r="BY40" s="795">
        <f>IF(OR($C$74=$AR40,$D$74=$AR40),Schweine_Werte!$O40*0.5,IF(OR($C$74&gt;$AR40,$D$74&lt;$AR40),0,Schweine_Werte!$O40))</f>
        <v>0</v>
      </c>
      <c r="BZ40" s="795">
        <f>IF(OR($C$83=$AR40,$D$83=$AR40),Schweine_Werte!$O40*0.5,IF(OR($C$83&gt;$AR40,$D$83&lt;$AR40),0,Schweine_Werte!$O40))</f>
        <v>0</v>
      </c>
      <c r="CA40" s="797">
        <f>IF(OR($C$92=$AR40,$D$92=$AR40),Schweine_Werte!$O40*0.5,IF(OR($C$92&gt;$AR40,$D$92&lt;$AR40),0,Schweine_Werte!$O40))</f>
        <v>0</v>
      </c>
      <c r="CB40" s="797">
        <f>IF(OR($C$101=$AR40,$D$101=$AR40),Schweine_Werte!$O40*0.5,IF(OR($C$101&gt;$AR40,$D$101&lt;$AR40),0,Schweine_Werte!$O40))</f>
        <v>0</v>
      </c>
      <c r="CC40" s="797">
        <f>IF(OR($C$110=$AR40,$D$110=$AR40),Schweine_Werte!$O40*0.5,IF(OR($C$110&gt;$AR40,$D$110&lt;$AR40),0,Schweine_Werte!$O40))</f>
        <v>0</v>
      </c>
    </row>
    <row r="41" spans="1:81" x14ac:dyDescent="0.25">
      <c r="B41" s="705">
        <v>700</v>
      </c>
      <c r="D41" s="730"/>
      <c r="E41" s="730" t="e">
        <f>($D48-$C48)*1000/SUM($AV$4:$AV$146)</f>
        <v>#VALUE!</v>
      </c>
      <c r="F41" s="730" t="e">
        <f>SUMPRODUCT($AV$4:$AV$146,Schweine_Werte!$Q$4:$Q$146)/SUM($AV$4:$AV$146)</f>
        <v>#DIV/0!</v>
      </c>
      <c r="G41" s="730" t="e">
        <f>IF($B48=$A$8,SUMPRODUCT($AV$4:$AV$146,Schweine_Werte!EH$4:EH$146)/SUM($AV$4:$AV$146),IF($B48=$A$7,SUMPRODUCT($AV$4:$AV$146,Schweine_Werte!DB$4:DB$146)/SUM($AV$4:$AV$146),IF($B48=$A$6,SUMPRODUCT($AV$4:$AV$146,Schweine_Werte!BV$4:BV$146)/SUM($AV$4:$AV$146),SUMPRODUCT($AV$4:$AV$146,Schweine_Werte!AP$4:AP$146)/SUM($AV$4:$AV$146))))</f>
        <v>#DIV/0!</v>
      </c>
      <c r="H41" s="730" t="e">
        <f>IF($B48=$A$8,SUMPRODUCT($AV$4:$AV$146,Schweine_Werte!EI$4:EI$146)/SUM($AV$4:$AV$146),IF($B48=$A$7,SUMPRODUCT($AV$4:$AV$146,Schweine_Werte!DC$4:DC$146)/SUM($AV$4:$AV$146),IF($B48=$A$6,SUMPRODUCT($AV$4:$AV$146,Schweine_Werte!BW$4:BW$146)/SUM($AV$4:$AV$146),SUMPRODUCT($AV$4:$AV$146,Schweine_Werte!AQ$4:AQ$146)/SUM($AV$4:$AV$146))))</f>
        <v>#DIV/0!</v>
      </c>
      <c r="I41" s="730" t="e">
        <f>IF($B48=$A$8,SUMPRODUCT($AV$4:$AV$146,Schweine_Werte!EJ$4:EJ$146)/SUM($AV$4:$AV$146),IF($B48=$A$7,SUMPRODUCT($AV$4:$AV$146,Schweine_Werte!DD$4:DD$146)/SUM($AV$4:$AV$146),IF($B48=$A$6,SUMPRODUCT($AV$4:$AV$146,Schweine_Werte!BX$4:BX$146)/SUM($AV$4:$AV$146),SUMPRODUCT($AV$4:$AV$146,Schweine_Werte!AR$4:AR$146)/SUM($AV$4:$AV$146))))</f>
        <v>#DIV/0!</v>
      </c>
      <c r="J41" s="730" t="e">
        <f>SUMPRODUCT($AV$4:$AV$146,Schweine_Werte!$Y$4:$Y$146)/SUM($AV$4:$AV$146)</f>
        <v>#DIV/0!</v>
      </c>
      <c r="K41" s="730" t="e">
        <f>SUMPRODUCT($AV$4:$AV$146,Schweine_Werte!$AG$4:$AG$146)/SUM($AV$4:$AV$146)</f>
        <v>#DIV/0!</v>
      </c>
      <c r="L41" s="818" t="e">
        <f>T41*$F41*365/1000+$J41-$K41</f>
        <v>#DIV/0!</v>
      </c>
      <c r="M41" s="730" t="e">
        <f>U41*$F41*365/1000+$J41-$K41/2</f>
        <v>#DIV/0!</v>
      </c>
      <c r="N41" s="730" t="e">
        <f>V41*$F41*365/1000+$J41</f>
        <v>#DIV/0!</v>
      </c>
      <c r="O41" s="730">
        <f>IF($C48&lt;28,SUM($AV$4:$AV$23)+IF($D48&gt;28,$AV$24*0.5,$AV$24),0)</f>
        <v>0</v>
      </c>
      <c r="P41" s="730">
        <f>IF($D48&gt;28,SUM($AV$25:$AV$146)+IF($C48&lt;28,$AV$24*0.5,$AV$24),0)</f>
        <v>0</v>
      </c>
      <c r="Q41" s="730" t="e">
        <f t="shared" ref="Q41:S44" si="24">+T41*$F41</f>
        <v>#DIV/0!</v>
      </c>
      <c r="R41" s="730" t="e">
        <f t="shared" si="24"/>
        <v>#DIV/0!</v>
      </c>
      <c r="S41" s="730" t="e">
        <f t="shared" si="24"/>
        <v>#DIV/0!</v>
      </c>
      <c r="T41" s="730" t="e">
        <f>+($O41*Schweine_Werte!$HT$5+$P41*Schweine_Werte!$HU$5)/SUM($O41:$P41)</f>
        <v>#DIV/0!</v>
      </c>
      <c r="U41" s="730" t="e">
        <f>+($O41*Schweine_Werte!$HV$5+$P41*Schweine_Werte!$HW$5)/SUM($O41:$P41)</f>
        <v>#DIV/0!</v>
      </c>
      <c r="V41" s="730" t="e">
        <f>+($O41*Schweine_Werte!$HX$5+$P41*Schweine_Werte!$HY$5)/SUM($O41:$P41)</f>
        <v>#DIV/0!</v>
      </c>
      <c r="W41" s="785" t="e">
        <f>($J41*0.055+T41*0.365*0.86*$F41-$K41*0.018)/L41*100</f>
        <v>#DIV/0!</v>
      </c>
      <c r="X41" s="730" t="e">
        <f>($J41*0.055+U41*0.365*0.86*$F41-$K41*0.018/2)/M41*100</f>
        <v>#DIV/0!</v>
      </c>
      <c r="Y41" s="730" t="e">
        <f>($J41*0.055+V41*0.365*0.86*$F41)/N41*100</f>
        <v>#DIV/0!</v>
      </c>
      <c r="Z41" s="730" t="e">
        <f>IF($B48=$A$8,SUMPRODUCT($AV$4:$AV$146,Schweine_Werte!$EK$4:$EK$146,Schweine_Werte!$EL$4:$EL$146)/SUMPRODUCT($AV$4:$AV$146,Schweine_Werte!$EK$4:$EK$146),IF($B48=$A$7,SUMPRODUCT($AV$4:$AV$146,Schweine_Werte!$DE$4:$DE$146,Schweine_Werte!$DF$4:$DF$146)/SUMPRODUCT($AV$4:$AV$146,Schweine_Werte!$DE$4:$DE$146),IF($B48=$A$6,SUMPRODUCT($AV$4:$AV$146,Schweine_Werte!$BY$4:$BY$146,Schweine_Werte!$BZ$4:$BZ$146)/SUMPRODUCT($AV$4:$AV$146,Schweine_Werte!$BY$4:$BY$146),SUMPRODUCT($AV$4:$AV$146,Schweine_Werte!$AS$4:$AS$146,Schweine_Werte!$AT$4:$AT$146)/SUMPRODUCT($AV$4:$AV$146,Schweine_Werte!$AS$4:$AS$146))))</f>
        <v>#DIV/0!</v>
      </c>
      <c r="AA41" s="730"/>
      <c r="AB41" s="730">
        <f>IF($B48=$A$8,SUMIF(Schweine_Werte!$AO$4:$AO$146,$C48,Schweine_Werte!$EL$4:$EL$146),IF($B48=$A$7,SUMIF(Schweine_Werte!$AO$4:$AO$146,$C48,Schweine_Werte!$DF$4:$DF$146),IF($B48=$A$6,SUMIF(Schweine_Werte!$AO$4:$AO$146,$C48,Schweine_Werte!$BZ$4:$BZ$146),SUMIF(Schweine_Werte!$AO$4:$AO$146,$C48,Schweine_Werte!$AT$4:$AT$146))))</f>
        <v>0</v>
      </c>
      <c r="AC41" s="730"/>
      <c r="AD41" s="730">
        <f>IF($B48=$A$8,SUMIF(Schweine_Werte!$AO$4:$AO$146,$D48,Schweine_Werte!$EL$4:$EL$146),IF($B48=$A$7,SUMIF(Schweine_Werte!$AO$4:$AO$146,$D48,Schweine_Werte!$DF$4:$DF$146),IF($B48=$A$6,SUMIF(Schweine_Werte!$AO$4:$AO$146,$D48,Schweine_Werte!$BZ$4:$BZ$146),SUMIF(Schweine_Werte!$AO$4:$AO$146,$D48,Schweine_Werte!$AT$4:$AT$146))))</f>
        <v>0</v>
      </c>
      <c r="AE41" s="730"/>
      <c r="AF41" s="730"/>
      <c r="AG41" s="730" t="e">
        <f>IF($B48=$A$8,SUMPRODUCT($AV$4:$AV$146,Schweine_Werte!$EK$4:$EK$146)/SUM($AV$4:$AV$146),IF($B48=$A$7,SUMPRODUCT($AV$4:$AV$146,Schweine_Werte!$DE$4:$DE$146)/SUM($AV$4:$AV$146),IF($B48=$A$6,SUMPRODUCT($AV$4:$AV$146,Schweine_Werte!$BY$4:$BY$146)/SUM($AV$4:$AV$146),SUMPRODUCT($AV$4:$AV$146,Schweine_Werte!$AS$4:$AS$146)/SUM($AV$4:$AV$146))))</f>
        <v>#DIV/0!</v>
      </c>
      <c r="AH41" s="730"/>
      <c r="AI41" s="730"/>
      <c r="AJ41" s="730" t="e">
        <f>IF($B48=$A$8,SUMPRODUCT($AV$4:$AV$146,Schweine_Werte!$EK$4:$EK$146,Schweine_Werte!$EM$4:$EM$146)/SUMPRODUCT($AV$4:$AV$146,Schweine_Werte!$EK$4:$EK$146),IF($B48=$A$7,SUMPRODUCT($AV$4:$AV$146,Schweine_Werte!$DE$4:$DE$146,Schweine_Werte!$DG$4:$DG$146)/SUMPRODUCT($AV$4:$AV$146,Schweine_Werte!$DE$4:$DE$146),IF($B48=$A$6,SUMPRODUCT($AV$4:$AV$146,Schweine_Werte!$BY$4:$BY$146,Schweine_Werte!$CA$4:$CA$146)/SUMPRODUCT($AV$4:$AV$146,Schweine_Werte!$BY$4:$BY$146),SUMPRODUCT($AV$4:$AV$146,Schweine_Werte!$AS$4:$AS$146,Schweine_Werte!$AU$4:$AU$146)/SUMPRODUCT($AV$4:$AV$146,Schweine_Werte!$AS$4:$AS$146))))</f>
        <v>#DIV/0!</v>
      </c>
      <c r="AK41" s="730"/>
      <c r="AL41" s="730">
        <f>IF($B48=$A$8,SUMIF(Schweine_Werte!$AO$4:$AO$146,$C48,Schweine_Werte!$EM$4:$EM$146),IF($B48=$A$7,SUMIF(Schweine_Werte!$AO$4:$AO$146,$C48,Schweine_Werte!$DG$4:$DG$146),IF($B48=$A$6,SUMIF(Schweine_Werte!$AO$4:$AO$146,$C48,Schweine_Werte!$CA$4:$CA$146),SUMIF(Schweine_Werte!$AO$4:$AO$146,$C48,Schweine_Werte!$AU$4:$AU$146))))</f>
        <v>0</v>
      </c>
      <c r="AM41" s="730"/>
      <c r="AN41" s="730">
        <f>IF($B48=$A$8,SUMIF(Schweine_Werte!$AO$4:$AO$146,$D48,Schweine_Werte!$EM$4:$EM$146),IF($B48=$A$7,SUMIF(Schweine_Werte!$AO$4:$AO$146,$D48,Schweine_Werte!$DG$4:$DG$146),IF($B48=$A$6,SUMIF(Schweine_Werte!$AO$4:$AO$146,$D48,Schweine_Werte!$CA$4:$CA$146),SUMIF(Schweine_Werte!$AO$4:$AO$146,$D48,Schweine_Werte!$AU$4:$AU$146))))</f>
        <v>0</v>
      </c>
      <c r="AR41" s="806">
        <v>45</v>
      </c>
      <c r="AS41" s="795">
        <f>IF(OR($C$12=$AR41,$D$12=$AR41),Schweine_Werte!$C41*0.5,IF(OR($C$12&gt;$AR41,$D$12&lt;$AR41),0,Schweine_Werte!$C41))</f>
        <v>0</v>
      </c>
      <c r="AT41" s="730">
        <f>IF(OR($C$24=$AR41,$D$24=$AR41),Schweine_Werte!$C41*0.5,IF(OR($C$24&gt;$AR41,$D$24&lt;$AR41),0,Schweine_Werte!$C41))</f>
        <v>0</v>
      </c>
      <c r="AU41" s="795">
        <f>IF(OR($C$36=$AR41,$D$36=$AR41),Schweine_Werte!$C41*0.5,IF(OR($C$36&gt;$AR41,$D$36&lt;$AR41),0,Schweine_Werte!$C41))</f>
        <v>0</v>
      </c>
      <c r="AV41" s="795">
        <f>IF(OR($C$48=$AR41,$D$48=$AR41),Schweine_Werte!$C41*0.5,IF(OR($C$48&gt;$AR41,$D$48&lt;$AR41),0,Schweine_Werte!$C41))</f>
        <v>0</v>
      </c>
      <c r="AW41" s="795">
        <f>IF(OR($C$60=$AR41,$D$60=$AR41),Schweine_Werte!$C41*0.5,IF(OR($C$60&gt;$AR41,$D$60&lt;$AR41),0,Schweine_Werte!$C41))</f>
        <v>0</v>
      </c>
      <c r="AX41" s="795">
        <f>IF(OR($C$12=$AR41,$D$12=$AR41),Schweine_Werte!$E41*0.5,IF(OR($C$12&gt;$AR41,$D$12&lt;$AR41),0,Schweine_Werte!$E41))</f>
        <v>0</v>
      </c>
      <c r="AY41" s="730">
        <f>IF(OR($C$24=$AR41,$D$24=$AR41),Schweine_Werte!$E41*0.5,IF(OR($C$24&gt;$AR41,$D$24&lt;$AR41),0,Schweine_Werte!$E41))</f>
        <v>0</v>
      </c>
      <c r="AZ41" s="730">
        <f>IF(OR($C$36=$AR41,$D$36=$AR41),Schweine_Werte!$E41*0.5,IF(OR($C$36&gt;$AR41,$D$36&lt;$AR41),0,Schweine_Werte!$E41))</f>
        <v>0</v>
      </c>
      <c r="BA41" s="730">
        <f>IF(OR($C$48=$AR41,$D$48=$AR41),Schweine_Werte!$E41*0.5,IF(OR($C$48&gt;$AR41,$D$48&lt;$AR41),0,Schweine_Werte!$E41))</f>
        <v>0</v>
      </c>
      <c r="BB41" s="730">
        <f>IF(OR($C$60=$AR41,$D$60=$AR41),Schweine_Werte!$E41*0.5,IF(OR($C$60&gt;$AR41,$D$60&lt;$AR41),0,Schweine_Werte!$E41))</f>
        <v>0</v>
      </c>
      <c r="BC41" s="795">
        <f>IF(OR($C$12=$AR41,$D$12=$AR41),Schweine_Werte!$G41*0.5,IF(OR($C$12&gt;$AR41,$D$12&lt;$AR41),0,Schweine_Werte!$G41))</f>
        <v>0</v>
      </c>
      <c r="BD41" s="730">
        <f>IF(OR($C$24=$AR41,$D$24=$AR41),Schweine_Werte!$G41*0.5,IF(OR($C$24&gt;$AR41,$D$24&lt;$AR41),0,Schweine_Werte!$G41))</f>
        <v>0</v>
      </c>
      <c r="BE41" s="730">
        <f>IF(OR($C$36=$AR41,$D$36=$AR41),Schweine_Werte!$G41*0.5,IF(OR($C$36&gt;$AR41,$D$36&lt;$AR41),0,Schweine_Werte!$G41))</f>
        <v>0</v>
      </c>
      <c r="BF41" s="730">
        <f>IF(OR($C$48=$AR41,$D$48=$AR41),Schweine_Werte!$G41*0.5,IF(OR($C$48&gt;$AR41,$D$48&lt;$AR41),0,Schweine_Werte!$G41))</f>
        <v>0</v>
      </c>
      <c r="BG41" s="730">
        <f>IF(OR($C$60=$AR41,$D$60=$AR41),Schweine_Werte!$G41*0.5,IF(OR($C$60&gt;$AR41,$D$60&lt;$AR41),0,Schweine_Werte!$G41))</f>
        <v>0</v>
      </c>
      <c r="BH41" s="795">
        <f>IF(OR($C$12=$AR41,$D$12=$AR41),Schweine_Werte!$I41*0.5,IF(OR($C$12&gt;$AR41,$D$12&lt;$AR41),0,Schweine_Werte!$I41))</f>
        <v>0</v>
      </c>
      <c r="BI41" s="730">
        <f>IF(OR($C$24=$AR41,$D$24=$AR41),Schweine_Werte!$I41*0.5,IF(OR($C$24&gt;$AR41,$D$24&lt;$AR41),0,Schweine_Werte!$I41))</f>
        <v>0</v>
      </c>
      <c r="BJ41" s="730">
        <f>IF(OR($C$36=$AR41,$D$36=$AR41),Schweine_Werte!$I41*0.5,IF(OR($C$36&gt;$AR41,$D$36&lt;$AR41),0,Schweine_Werte!$I41))</f>
        <v>0</v>
      </c>
      <c r="BK41" s="730">
        <f>IF(OR($C$48=$AR41,$D$48=$AR41),Schweine_Werte!$I41*0.5,IF(OR($C$48&gt;$AR41,$D$48&lt;$AR41),0,Schweine_Werte!$I41))</f>
        <v>0</v>
      </c>
      <c r="BL41" s="730">
        <f>IF(OR($C$60=$AR41,$D$60=$AR41),Schweine_Werte!$I41*0.5,IF(OR($C$60&gt;$AR41,$D$60&lt;$AR41),0,Schweine_Werte!$I41))</f>
        <v>0</v>
      </c>
      <c r="BM41" s="795"/>
      <c r="BN41" s="730"/>
      <c r="BO41" s="730"/>
      <c r="BP41" s="730"/>
      <c r="BQ41" s="730"/>
      <c r="BR41" s="795">
        <f>IF(OR($C$74=$AR41,$D$74=$AR41),Schweine_Werte!$M41*0.5,IF(OR($C$74&gt;$AR41,$D$74&lt;$AR41),0,Schweine_Werte!$M41))</f>
        <v>0</v>
      </c>
      <c r="BS41" s="795">
        <f>IF(OR($C$83=$AR41,$D$83=$AR41),Schweine_Werte!$M41*0.5,IF(OR($C$83&gt;$AR41,$D$83&lt;$AR41),0,Schweine_Werte!$M41))</f>
        <v>0</v>
      </c>
      <c r="BT41" s="797">
        <f>IF(OR($C$92=$AR41,$D$92=$AR41),Schweine_Werte!$M41*0.5,IF(OR($C$92&gt;$AR41,$D$92&lt;$AR41),0,Schweine_Werte!$M41))</f>
        <v>0</v>
      </c>
      <c r="BU41" s="797">
        <f>IF(OR($C$101=$AR41,$D$101=$AR41),Schweine_Werte!$M41*0.5,IF(OR($C$101&gt;$AR41,$D$101&lt;$AR41),0,Schweine_Werte!$M41))</f>
        <v>0</v>
      </c>
      <c r="BV41" s="797">
        <f>IF(OR($C$110=$AR41,$D$110=$AR41),Schweine_Werte!$M41*0.5,IF(OR($C$110&gt;$AR41,$D$110&lt;$AR41),0,Schweine_Werte!$M41))</f>
        <v>0</v>
      </c>
      <c r="BW41" s="797">
        <f>IF(OR(8=$AR41,$E$127=$AR41),Schweine_Werte!$M41*0.5,IF(OR(8&gt;$AR41,$E$127&lt;$AR41),0,Schweine_Werte!$M41))</f>
        <v>1.2602489085502044</v>
      </c>
      <c r="BX41" s="797">
        <f>IF(OR(8=$AR41,$E$145=$AR41),Schweine_Werte!$M41*0.5,IF(OR(8&gt;$AR41,$E$145&lt;$AR41),0,Schweine_Werte!$M41))</f>
        <v>1.2602489085502044</v>
      </c>
      <c r="BY41" s="795">
        <f>IF(OR($C$74=$AR41,$D$74=$AR41),Schweine_Werte!$O41*0.5,IF(OR($C$74&gt;$AR41,$D$74&lt;$AR41),0,Schweine_Werte!$O41))</f>
        <v>0</v>
      </c>
      <c r="BZ41" s="795">
        <f>IF(OR($C$83=$AR41,$D$83=$AR41),Schweine_Werte!$O41*0.5,IF(OR($C$83&gt;$AR41,$D$83&lt;$AR41),0,Schweine_Werte!$O41))</f>
        <v>0</v>
      </c>
      <c r="CA41" s="797">
        <f>IF(OR($C$92=$AR41,$D$92=$AR41),Schweine_Werte!$O41*0.5,IF(OR($C$92&gt;$AR41,$D$92&lt;$AR41),0,Schweine_Werte!$O41))</f>
        <v>0</v>
      </c>
      <c r="CB41" s="797">
        <f>IF(OR($C$101=$AR41,$D$101=$AR41),Schweine_Werte!$O41*0.5,IF(OR($C$101&gt;$AR41,$D$101&lt;$AR41),0,Schweine_Werte!$O41))</f>
        <v>0</v>
      </c>
      <c r="CC41" s="797">
        <f>IF(OR($C$110=$AR41,$D$110=$AR41),Schweine_Werte!$O41*0.5,IF(OR($C$110&gt;$AR41,$D$110&lt;$AR41),0,Schweine_Werte!$O41))</f>
        <v>0</v>
      </c>
    </row>
    <row r="42" spans="1:81" x14ac:dyDescent="0.25">
      <c r="B42" s="705">
        <v>750</v>
      </c>
      <c r="D42" s="798"/>
      <c r="E42" s="730" t="e">
        <f>($D48-$C48)*1000/SUM($BA$4:$BA$146)</f>
        <v>#VALUE!</v>
      </c>
      <c r="F42" s="730" t="e">
        <f>SUMPRODUCT($BA$4:$BA$146,Schweine_Werte!$R$4:$R$146)/SUM($BA$4:$BA$146)</f>
        <v>#DIV/0!</v>
      </c>
      <c r="G42" s="730" t="e">
        <f>IF($B48=$A$8,SUMPRODUCT($BA$4:$BA$146,Schweine_Werte!EN$4:EN$146)/SUM($BA$4:$BA$146),IF($B48=$A$7,SUMPRODUCT($BA$4:$BA$146,Schweine_Werte!DH$4:DH$146)/SUM($BA$4:$BA$146),IF($B48=$A$6,SUMPRODUCT($BA$4:$BA$146,Schweine_Werte!CB$4:CB$146)/SUM($BA$4:$BA$146),SUMPRODUCT($BA$4:$BA$146,Schweine_Werte!AV$4:AV$146)/SUM($BA$4:$BA$146))))</f>
        <v>#DIV/0!</v>
      </c>
      <c r="H42" s="730" t="e">
        <f>IF($B48=$A$8,SUMPRODUCT($BA$4:$BA$146,Schweine_Werte!EO$4:EO$146)/SUM($BA$4:$BA$146),IF($B48=$A$7,SUMPRODUCT($BA$4:$BA$146,Schweine_Werte!DI$4:DI$146)/SUM($BA$4:$BA$146),IF($B48=$A$6,SUMPRODUCT($BA$4:$BA$146,Schweine_Werte!CC$4:CC$146)/SUM($BA$4:$BA$146),SUMPRODUCT($BA$4:$BA$146,Schweine_Werte!AW$4:AW$146)/SUM($BA$4:$BA$146))))</f>
        <v>#DIV/0!</v>
      </c>
      <c r="I42" s="730" t="e">
        <f>IF($B48=$A$8,SUMPRODUCT($BA$4:$BA$146,Schweine_Werte!EP$4:EP$146)/SUM($BA$4:$BA$146),IF($B48=$A$7,SUMPRODUCT($BA$4:$BA$146,Schweine_Werte!DJ$4:DJ$146)/SUM($BA$4:$BA$146),IF($B48=$A$6,SUMPRODUCT($BA$4:$BA$146,Schweine_Werte!CD$4:CD$146)/SUM($BA$4:$BA$146),SUMPRODUCT($BA$4:$BA$146,Schweine_Werte!AX$4:AX$146)/SUM($BA$4:$BA$146))))</f>
        <v>#DIV/0!</v>
      </c>
      <c r="J42" s="730" t="e">
        <f>SUMPRODUCT($BA$4:$BA$146,Schweine_Werte!$Z$4:$Z$146)/SUM($BA$4:$BA$146)</f>
        <v>#DIV/0!</v>
      </c>
      <c r="K42" s="730" t="e">
        <f>SUMPRODUCT($BA$4:$BA$146,Schweine_Werte!$AH$4:$AH$146)/SUM($BA$4:$BA$146)</f>
        <v>#DIV/0!</v>
      </c>
      <c r="L42" s="818" t="e">
        <f>T42*$F42*365/1000+$J42-$K42</f>
        <v>#DIV/0!</v>
      </c>
      <c r="M42" s="730" t="e">
        <f>U42*$F42*365/1000+$J42-$K42/2</f>
        <v>#DIV/0!</v>
      </c>
      <c r="N42" s="730" t="e">
        <f>V42*$F42*365/1000+$J42</f>
        <v>#DIV/0!</v>
      </c>
      <c r="O42" s="730">
        <f>IF($C48&lt;28,SUM($BA$4:$BA$23)+IF($D48&gt;28,$BA$24*0.5,$BA$24),0)</f>
        <v>0</v>
      </c>
      <c r="P42" s="730">
        <f>IF($D48&gt;28,SUM($BA$25:$BA$146)+IF($C48&lt;28,$BA$24*0.5,$BA$24),0)</f>
        <v>0</v>
      </c>
      <c r="Q42" s="730" t="e">
        <f t="shared" si="24"/>
        <v>#DIV/0!</v>
      </c>
      <c r="R42" s="730" t="e">
        <f t="shared" si="24"/>
        <v>#DIV/0!</v>
      </c>
      <c r="S42" s="730" t="e">
        <f t="shared" si="24"/>
        <v>#DIV/0!</v>
      </c>
      <c r="T42" s="730" t="e">
        <f>+($O42*Schweine_Werte!$HT$6+$P42*Schweine_Werte!$HU$6)/SUM($O42:$P42)</f>
        <v>#DIV/0!</v>
      </c>
      <c r="U42" s="730" t="e">
        <f>+($O42*Schweine_Werte!$HV$6+$P42*Schweine_Werte!$HW$6)/SUM($O42:$P42)</f>
        <v>#DIV/0!</v>
      </c>
      <c r="V42" s="730" t="e">
        <f>+($O42*Schweine_Werte!$HX$6+$P42*Schweine_Werte!$HY$6)/SUM($O42:$P42)</f>
        <v>#DIV/0!</v>
      </c>
      <c r="W42" s="785" t="e">
        <f>($J42*0.055+T42*0.365*0.86*$F42-$K42*0.018)/L42*100</f>
        <v>#DIV/0!</v>
      </c>
      <c r="X42" s="730" t="e">
        <f>($J42*0.055+U42*0.365*0.86*$F42-$K42*0.018/2)/M42*100</f>
        <v>#DIV/0!</v>
      </c>
      <c r="Y42" s="730" t="e">
        <f>($J42*0.055+V42*0.365*0.86*$F42)/N42*100</f>
        <v>#DIV/0!</v>
      </c>
      <c r="Z42" s="730" t="e">
        <f>IF($B48=$A$8,SUMPRODUCT($BA$4:$BA$146,Schweine_Werte!$EQ$4:$EQ$146,Schweine_Werte!$ER$4:$ER$146)/SUMPRODUCT($BA$4:$BA$146,Schweine_Werte!$EQ$4:$EQ$146),IF($B48=$A$7,SUMPRODUCT($BA$4:$BA$146,Schweine_Werte!$DK$4:$DK$146,Schweine_Werte!$DL$4:$DL$146)/SUMPRODUCT($BA$4:$BA$146,Schweine_Werte!$DK$4:$DK$146),IF($B48=$A$6,SUMPRODUCT($BA$4:$BA$146,Schweine_Werte!$CE$4:$CE$146,Schweine_Werte!$CF$4:$CF$146)/SUMPRODUCT($BA$4:$BA$146,Schweine_Werte!$CE$4:$CE$146),SUMPRODUCT($BA$4:$BA$146,Schweine_Werte!$AY$4:$AY$146,Schweine_Werte!$AZ$4:$AZ$146)/SUMPRODUCT($BA$4:$BA$146,Schweine_Werte!$AY$4:$AY$146))))</f>
        <v>#DIV/0!</v>
      </c>
      <c r="AA42" s="730"/>
      <c r="AB42" s="730">
        <f>IF($B48=$A$8,SUMIF(Schweine_Werte!$AO$4:$AO$146,$C48,Schweine_Werte!$ER$4:$ER$146),IF($B48=$A$7,SUMIF(Schweine_Werte!$AO$4:$AO$146,$C48,Schweine_Werte!$DL$4:$DL$146),IF($B48=$A$6,SUMIF(Schweine_Werte!$AO$4:$AO$146,$C48,Schweine_Werte!$CF$4:$CF$146),SUMIF(Schweine_Werte!$AO$4:$AO$146,$C48,Schweine_Werte!$AZ$4:$AZ$146))))</f>
        <v>0</v>
      </c>
      <c r="AC42" s="730"/>
      <c r="AD42" s="730">
        <f>IF($B48=$A$8,SUMIF(Schweine_Werte!$AO$4:$AO$146,$D48,Schweine_Werte!$ER$4:$ER$146),IF($B48=$A$7,SUMIF(Schweine_Werte!$AO$4:$AO$146,$D48,Schweine_Werte!$DL$4:$DL$146),IF($B48=$A$6,SUMIF(Schweine_Werte!$AO$4:$AO$146,$D48,Schweine_Werte!$CF$4:$CF$146),SUMIF(Schweine_Werte!$AO$4:$AO$146,$D48,Schweine_Werte!$AZ$4:$AZ$146))))</f>
        <v>0</v>
      </c>
      <c r="AE42" s="730"/>
      <c r="AF42" s="730"/>
      <c r="AG42" s="730" t="e">
        <f>IF($B48=$A$8,SUMPRODUCT($BA$4:$BA$146,Schweine_Werte!$EQ$4:$EQ$146)/SUM($BA$4:$BA$146),IF($B48=$A$7,SUMPRODUCT($BA$4:$BA$146,Schweine_Werte!$DK$4:$DK$146)/SUM($BA$4:$BA$146),IF($B48=$A$6,SUMPRODUCT($BA$4:$BA$146,Schweine_Werte!$CE$4:$CE$146)/SUM($BA$4:$BA$146),SUMPRODUCT($BA$4:$BA$146,Schweine_Werte!$AY$4:$AY$146)/SUM($BA$4:$BA$146))))</f>
        <v>#DIV/0!</v>
      </c>
      <c r="AH42" s="730"/>
      <c r="AI42" s="730"/>
      <c r="AJ42" s="730" t="e">
        <f>IF($B48=$A$8,SUMPRODUCT($BA$4:$BA$146,Schweine_Werte!$EQ$4:$EQ$146,Schweine_Werte!$ES$4:$ES$146)/SUMPRODUCT($BA$4:$BA$146,Schweine_Werte!$EQ$4:$EQ$146),IF($B48=$A$7,SUMPRODUCT($BA$4:$BA$146,Schweine_Werte!$DK$4:$DK$146,Schweine_Werte!$DM$4:$DM$146)/SUMPRODUCT($BA$4:$BA$146,Schweine_Werte!$DK$4:$DK$146),IF($B48=$A$6,SUMPRODUCT($BA$4:$BA$146,Schweine_Werte!$CE$4:$CE$146,Schweine_Werte!$CG$4:$CG$146)/SUMPRODUCT($BA$4:$BA$146,Schweine_Werte!$CE$4:$CE$146),SUMPRODUCT($BA$4:$BA$146,Schweine_Werte!$AY$4:$AY$146,Schweine_Werte!$BA$4:$BA$146)/SUMPRODUCT($BA$4:$BA$146,Schweine_Werte!$AY$4:$AY$146))))</f>
        <v>#DIV/0!</v>
      </c>
      <c r="AK42" s="730"/>
      <c r="AL42" s="730">
        <f>IF($B48=$A$8,SUMIF(Schweine_Werte!$AO$4:$AO$146,$C48,Schweine_Werte!$ES$4:$ES$146),IF($B48=$A$7,SUMIF(Schweine_Werte!$AO$4:$AO$146,$C48,Schweine_Werte!$DM$4:$DM$146),IF($B48=$A$6,SUMIF(Schweine_Werte!$AO$4:$AO$146,$C48,Schweine_Werte!$CG$4:$CG$146),SUMIF(Schweine_Werte!$AO$4:$AO$146,$C48,Schweine_Werte!$BA$4:$BA$146))))</f>
        <v>0</v>
      </c>
      <c r="AM42" s="730"/>
      <c r="AN42" s="730">
        <f>IF($B48=$A$8,SUMIF(Schweine_Werte!$AO$4:$AO$146,$D48,Schweine_Werte!$ES$4:$ES$146),IF($B48=$A$7,SUMIF(Schweine_Werte!$AO$4:$AO$146,$D48,Schweine_Werte!$DM$4:$DM$146),IF($B48=$A$6,SUMIF(Schweine_Werte!$AO$4:$AO$146,$D48,Schweine_Werte!$CG$4:$CG$146),SUMIF(Schweine_Werte!$AO$4:$AO$146,$D48,Schweine_Werte!$BA$4:$BA$146))))</f>
        <v>0</v>
      </c>
      <c r="AR42" s="806">
        <v>46</v>
      </c>
      <c r="AS42" s="795">
        <f>IF(OR($C$12=$AR42,$D$12=$AR42),Schweine_Werte!$C42*0.5,IF(OR($C$12&gt;$AR42,$D$12&lt;$AR42),0,Schweine_Werte!$C42))</f>
        <v>0</v>
      </c>
      <c r="AT42" s="730">
        <f>IF(OR($C$24=$AR42,$D$24=$AR42),Schweine_Werte!$C42*0.5,IF(OR($C$24&gt;$AR42,$D$24&lt;$AR42),0,Schweine_Werte!$C42))</f>
        <v>0</v>
      </c>
      <c r="AU42" s="795">
        <f>IF(OR($C$36=$AR42,$D$36=$AR42),Schweine_Werte!$C42*0.5,IF(OR($C$36&gt;$AR42,$D$36&lt;$AR42),0,Schweine_Werte!$C42))</f>
        <v>0</v>
      </c>
      <c r="AV42" s="795">
        <f>IF(OR($C$48=$AR42,$D$48=$AR42),Schweine_Werte!$C42*0.5,IF(OR($C$48&gt;$AR42,$D$48&lt;$AR42),0,Schweine_Werte!$C42))</f>
        <v>0</v>
      </c>
      <c r="AW42" s="795">
        <f>IF(OR($C$60=$AR42,$D$60=$AR42),Schweine_Werte!$C42*0.5,IF(OR($C$60&gt;$AR42,$D$60&lt;$AR42),0,Schweine_Werte!$C42))</f>
        <v>0</v>
      </c>
      <c r="AX42" s="795">
        <f>IF(OR($C$12=$AR42,$D$12=$AR42),Schweine_Werte!$E42*0.5,IF(OR($C$12&gt;$AR42,$D$12&lt;$AR42),0,Schweine_Werte!$E42))</f>
        <v>0</v>
      </c>
      <c r="AY42" s="730">
        <f>IF(OR($C$24=$AR42,$D$24=$AR42),Schweine_Werte!$E42*0.5,IF(OR($C$24&gt;$AR42,$D$24&lt;$AR42),0,Schweine_Werte!$E42))</f>
        <v>0</v>
      </c>
      <c r="AZ42" s="730">
        <f>IF(OR($C$36=$AR42,$D$36=$AR42),Schweine_Werte!$E42*0.5,IF(OR($C$36&gt;$AR42,$D$36&lt;$AR42),0,Schweine_Werte!$E42))</f>
        <v>0</v>
      </c>
      <c r="BA42" s="730">
        <f>IF(OR($C$48=$AR42,$D$48=$AR42),Schweine_Werte!$E42*0.5,IF(OR($C$48&gt;$AR42,$D$48&lt;$AR42),0,Schweine_Werte!$E42))</f>
        <v>0</v>
      </c>
      <c r="BB42" s="730">
        <f>IF(OR($C$60=$AR42,$D$60=$AR42),Schweine_Werte!$E42*0.5,IF(OR($C$60&gt;$AR42,$D$60&lt;$AR42),0,Schweine_Werte!$E42))</f>
        <v>0</v>
      </c>
      <c r="BC42" s="795">
        <f>IF(OR($C$12=$AR42,$D$12=$AR42),Schweine_Werte!$G42*0.5,IF(OR($C$12&gt;$AR42,$D$12&lt;$AR42),0,Schweine_Werte!$G42))</f>
        <v>0</v>
      </c>
      <c r="BD42" s="730">
        <f>IF(OR($C$24=$AR42,$D$24=$AR42),Schweine_Werte!$G42*0.5,IF(OR($C$24&gt;$AR42,$D$24&lt;$AR42),0,Schweine_Werte!$G42))</f>
        <v>0</v>
      </c>
      <c r="BE42" s="730">
        <f>IF(OR($C$36=$AR42,$D$36=$AR42),Schweine_Werte!$G42*0.5,IF(OR($C$36&gt;$AR42,$D$36&lt;$AR42),0,Schweine_Werte!$G42))</f>
        <v>0</v>
      </c>
      <c r="BF42" s="730">
        <f>IF(OR($C$48=$AR42,$D$48=$AR42),Schweine_Werte!$G42*0.5,IF(OR($C$48&gt;$AR42,$D$48&lt;$AR42),0,Schweine_Werte!$G42))</f>
        <v>0</v>
      </c>
      <c r="BG42" s="730">
        <f>IF(OR($C$60=$AR42,$D$60=$AR42),Schweine_Werte!$G42*0.5,IF(OR($C$60&gt;$AR42,$D$60&lt;$AR42),0,Schweine_Werte!$G42))</f>
        <v>0</v>
      </c>
      <c r="BH42" s="795">
        <f>IF(OR($C$12=$AR42,$D$12=$AR42),Schweine_Werte!$I42*0.5,IF(OR($C$12&gt;$AR42,$D$12&lt;$AR42),0,Schweine_Werte!$I42))</f>
        <v>0</v>
      </c>
      <c r="BI42" s="730">
        <f>IF(OR($C$24=$AR42,$D$24=$AR42),Schweine_Werte!$I42*0.5,IF(OR($C$24&gt;$AR42,$D$24&lt;$AR42),0,Schweine_Werte!$I42))</f>
        <v>0</v>
      </c>
      <c r="BJ42" s="730">
        <f>IF(OR($C$36=$AR42,$D$36=$AR42),Schweine_Werte!$I42*0.5,IF(OR($C$36&gt;$AR42,$D$36&lt;$AR42),0,Schweine_Werte!$I42))</f>
        <v>0</v>
      </c>
      <c r="BK42" s="730">
        <f>IF(OR($C$48=$AR42,$D$48=$AR42),Schweine_Werte!$I42*0.5,IF(OR($C$48&gt;$AR42,$D$48&lt;$AR42),0,Schweine_Werte!$I42))</f>
        <v>0</v>
      </c>
      <c r="BL42" s="730">
        <f>IF(OR($C$60=$AR42,$D$60=$AR42),Schweine_Werte!$I42*0.5,IF(OR($C$60&gt;$AR42,$D$60&lt;$AR42),0,Schweine_Werte!$I42))</f>
        <v>0</v>
      </c>
      <c r="BM42" s="795"/>
      <c r="BN42" s="730"/>
      <c r="BO42" s="730"/>
      <c r="BP42" s="730"/>
      <c r="BQ42" s="730"/>
      <c r="BR42" s="795">
        <f>IF(OR($C$74=$AR42,$D$74=$AR42),Schweine_Werte!$M42*0.5,IF(OR($C$74&gt;$AR42,$D$74&lt;$AR42),0,Schweine_Werte!$M42))</f>
        <v>0</v>
      </c>
      <c r="BS42" s="795">
        <f>IF(OR($C$83=$AR42,$D$83=$AR42),Schweine_Werte!$M42*0.5,IF(OR($C$83&gt;$AR42,$D$83&lt;$AR42),0,Schweine_Werte!$M42))</f>
        <v>0</v>
      </c>
      <c r="BT42" s="797">
        <f>IF(OR($C$92=$AR42,$D$92=$AR42),Schweine_Werte!$M42*0.5,IF(OR($C$92&gt;$AR42,$D$92&lt;$AR42),0,Schweine_Werte!$M42))</f>
        <v>0</v>
      </c>
      <c r="BU42" s="797">
        <f>IF(OR($C$101=$AR42,$D$101=$AR42),Schweine_Werte!$M42*0.5,IF(OR($C$101&gt;$AR42,$D$101&lt;$AR42),0,Schweine_Werte!$M42))</f>
        <v>0</v>
      </c>
      <c r="BV42" s="797">
        <f>IF(OR($C$110=$AR42,$D$110=$AR42),Schweine_Werte!$M42*0.5,IF(OR($C$110&gt;$AR42,$D$110&lt;$AR42),0,Schweine_Werte!$M42))</f>
        <v>0</v>
      </c>
      <c r="BW42" s="797">
        <f>IF(OR(8=$AR42,$E$127=$AR42),Schweine_Werte!$M42*0.5,IF(OR(8&gt;$AR42,$E$127&lt;$AR42),0,Schweine_Werte!$M42))</f>
        <v>1.2477119292368446</v>
      </c>
      <c r="BX42" s="797">
        <f>IF(OR(8=$AR42,$E$145=$AR42),Schweine_Werte!$M42*0.5,IF(OR(8&gt;$AR42,$E$145&lt;$AR42),0,Schweine_Werte!$M42))</f>
        <v>1.2477119292368446</v>
      </c>
      <c r="BY42" s="795">
        <f>IF(OR($C$74=$AR42,$D$74=$AR42),Schweine_Werte!$O42*0.5,IF(OR($C$74&gt;$AR42,$D$74&lt;$AR42),0,Schweine_Werte!$O42))</f>
        <v>0</v>
      </c>
      <c r="BZ42" s="795">
        <f>IF(OR($C$83=$AR42,$D$83=$AR42),Schweine_Werte!$O42*0.5,IF(OR($C$83&gt;$AR42,$D$83&lt;$AR42),0,Schweine_Werte!$O42))</f>
        <v>0</v>
      </c>
      <c r="CA42" s="797">
        <f>IF(OR($C$92=$AR42,$D$92=$AR42),Schweine_Werte!$O42*0.5,IF(OR($C$92&gt;$AR42,$D$92&lt;$AR42),0,Schweine_Werte!$O42))</f>
        <v>0</v>
      </c>
      <c r="CB42" s="797">
        <f>IF(OR($C$101=$AR42,$D$101=$AR42),Schweine_Werte!$O42*0.5,IF(OR($C$101&gt;$AR42,$D$101&lt;$AR42),0,Schweine_Werte!$O42))</f>
        <v>0</v>
      </c>
      <c r="CC42" s="797">
        <f>IF(OR($C$110=$AR42,$D$110=$AR42),Schweine_Werte!$O42*0.5,IF(OR($C$110&gt;$AR42,$D$110&lt;$AR42),0,Schweine_Werte!$O42))</f>
        <v>0</v>
      </c>
    </row>
    <row r="43" spans="1:81" x14ac:dyDescent="0.25">
      <c r="B43" s="705">
        <v>850</v>
      </c>
      <c r="D43" s="730"/>
      <c r="E43" s="730" t="e">
        <f>($D48-$C48)*1000/SUM($BF$4:$BF$146)</f>
        <v>#VALUE!</v>
      </c>
      <c r="F43" s="730" t="e">
        <f>SUMPRODUCT($BF$4:$BF$146,Schweine_Werte!$S$4:$S$146)/SUM($BF$4:$BF$146)</f>
        <v>#DIV/0!</v>
      </c>
      <c r="G43" s="730" t="e">
        <f>IF($B48=$A$8,SUMPRODUCT($BF$4:$BF$146,Schweine_Werte!ET$4:ET$146)/SUM($BF$4:$BF$146),IF($B48=$A$7,SUMPRODUCT($BF$4:$BF$146,Schweine_Werte!DN$4:DN$146)/SUM($BF$4:$BF$146),IF($B48=$A$6,SUMPRODUCT($BF$4:$BF$146,Schweine_Werte!CH$4:CH$146)/SUM($BF$4:$BF$146),SUMPRODUCT($BF$4:$BF$146,Schweine_Werte!BB$4:BB$146)/SUM($BF$4:$BF$146))))</f>
        <v>#DIV/0!</v>
      </c>
      <c r="H43" s="730" t="e">
        <f>IF($B48=$A$8,SUMPRODUCT($BF$4:$BF$146,Schweine_Werte!EU$4:EU$146)/SUM($BF$4:$BF$146),IF($B48=$A$7,SUMPRODUCT($BF$4:$BF$146,Schweine_Werte!DO$4:DO$146)/SUM($BF$4:$BF$146),IF($B48=$A$6,SUMPRODUCT($BF$4:$BF$146,Schweine_Werte!CI$4:CI$146)/SUM($BF$4:$BF$146),SUMPRODUCT($BF$4:$BF$146,Schweine_Werte!BC$4:BC$146)/SUM($BF$4:$BF$146))))</f>
        <v>#DIV/0!</v>
      </c>
      <c r="I43" s="730" t="e">
        <f>IF($B48=$A$8,SUMPRODUCT($BF$4:$BF$146,Schweine_Werte!EV$4:EV$146)/SUM($BF$4:$BF$146),IF($B48=$A$7,SUMPRODUCT($BF$4:$BF$146,Schweine_Werte!DP$4:DP$146)/SUM($BF$4:$BF$146),IF($B48=$A$6,SUMPRODUCT($BF$4:$BF$146,Schweine_Werte!CJ$4:CJ$146)/SUM($BF$4:$BF$146),SUMPRODUCT($BF$4:$BF$146,Schweine_Werte!BD$4:BD$146)/SUM($BF$4:$BF$146))))</f>
        <v>#DIV/0!</v>
      </c>
      <c r="J43" s="730" t="e">
        <f>SUMPRODUCT($BF$4:$BF$146,Schweine_Werte!$AA$4:$AA$146)/SUM($BF$4:$BF$146)</f>
        <v>#DIV/0!</v>
      </c>
      <c r="K43" s="730" t="e">
        <f>SUMPRODUCT($BF$4:$BF$146,Schweine_Werte!$AI$4:$AI$146)/SUM($BF$4:$BF$146)</f>
        <v>#DIV/0!</v>
      </c>
      <c r="L43" s="818" t="e">
        <f>T43*$F43*365/1000+$J43-$K43</f>
        <v>#DIV/0!</v>
      </c>
      <c r="M43" s="730" t="e">
        <f>U43*$F43*365/1000+$J43-$K43/2</f>
        <v>#DIV/0!</v>
      </c>
      <c r="N43" s="730" t="e">
        <f>V43*$F43*365/1000+$J43</f>
        <v>#DIV/0!</v>
      </c>
      <c r="O43" s="730">
        <f>IF($C48&lt;28,SUM($BF$4:$BF$23)+IF($D48&gt;28,$BF$24*0.5,$BF$24),0)</f>
        <v>0</v>
      </c>
      <c r="P43" s="730">
        <f>IF($D48&gt;28,SUM($BF$25:$BF$146)+IF($C48&lt;28,$BF$24*0.5,$BF$24),0)</f>
        <v>0</v>
      </c>
      <c r="Q43" s="730" t="e">
        <f t="shared" si="24"/>
        <v>#DIV/0!</v>
      </c>
      <c r="R43" s="730" t="e">
        <f t="shared" si="24"/>
        <v>#DIV/0!</v>
      </c>
      <c r="S43" s="730" t="e">
        <f t="shared" si="24"/>
        <v>#DIV/0!</v>
      </c>
      <c r="T43" s="730" t="e">
        <f>+($O43*Schweine_Werte!$HT$7+$P43*Schweine_Werte!$HU$7)/SUM($O43:$P43)</f>
        <v>#DIV/0!</v>
      </c>
      <c r="U43" s="730" t="e">
        <f>+($O43*Schweine_Werte!$HV$7+$P43*Schweine_Werte!$HW$7)/SUM($O43:$P43)</f>
        <v>#DIV/0!</v>
      </c>
      <c r="V43" s="730" t="e">
        <f>+($O43*Schweine_Werte!$HX$7+$P43*Schweine_Werte!$HY$7)/SUM($O43:$P43)</f>
        <v>#DIV/0!</v>
      </c>
      <c r="W43" s="730" t="e">
        <f>($J43*0.055+T43*0.365*0.86*$F43-$K43*0.018)/L43*100</f>
        <v>#DIV/0!</v>
      </c>
      <c r="X43" s="730" t="e">
        <f>($J43*0.055+U43*0.365*0.86*$F43-$K43*0.018/2)/M43*100</f>
        <v>#DIV/0!</v>
      </c>
      <c r="Y43" s="730" t="e">
        <f>($J43*0.055+V43*0.365*0.86*$F43)/N43*100</f>
        <v>#DIV/0!</v>
      </c>
      <c r="Z43" s="730" t="e">
        <f>IF($B48=$A$8,SUMPRODUCT($BF$4:$BF$146,Schweine_Werte!$EW$4:$EW$146,Schweine_Werte!$EX$4:$EX$146)/SUMPRODUCT($BF$4:$BF$146,Schweine_Werte!$EW$4:$EW$146),IF($B48=$A$7,SUMPRODUCT($BF$4:$BF$146,Schweine_Werte!$DQ$4:$DQ$146,Schweine_Werte!$DR$4:$DR$146)/SUMPRODUCT($BF$4:$BF$146,Schweine_Werte!$DQ$4:$DQ$146),IF($B48=$A$6,SUMPRODUCT($BF$4:$BF$146,Schweine_Werte!$CK$4:$CK$146,Schweine_Werte!$CL$4:$CL$146)/SUMPRODUCT($BF$4:$BF$146,Schweine_Werte!$CK$4:$CK$146),SUMPRODUCT($BF$4:$BF$146,Schweine_Werte!$BE$4:$BE$146,Schweine_Werte!$BF$4:$BF$146)/SUMPRODUCT($BF$4:$BF$146,Schweine_Werte!$BE$4:$BE$146))))</f>
        <v>#DIV/0!</v>
      </c>
      <c r="AA43" s="730"/>
      <c r="AB43" s="730">
        <f>IF($B48=$A$8,SUMIF(Schweine_Werte!$AO$4:$AO$146,$C48,Schweine_Werte!$EX$4:$EX$146),IF($B48=$A$7,SUMIF(Schweine_Werte!$AO$4:$AO$146,$C48,Schweine_Werte!$DR$4:$DR$146),IF($B48=$A$6,SUMIF(Schweine_Werte!$AO$4:$AO$146,$C48,Schweine_Werte!$CL$4:$CL$146),SUMIF(Schweine_Werte!$AO$4:$AO$146,$C48,Schweine_Werte!$BF$4:$BF$146))))</f>
        <v>0</v>
      </c>
      <c r="AC43" s="730"/>
      <c r="AD43" s="730">
        <f>IF($B48=$A$8,SUMIF(Schweine_Werte!$AO$4:$AO$146,$D48,Schweine_Werte!$EX$4:$EX$146),IF($B48=$A$7,SUMIF(Schweine_Werte!$AO$4:$AO$146,$D48,Schweine_Werte!$DR$4:$DR$146),IF($B48=$A$6,SUMIF(Schweine_Werte!$AO$4:$AO$146,$D48,Schweine_Werte!$CL$4:$CL$146),SUMIF(Schweine_Werte!$AO$4:$AO$146,$D48,Schweine_Werte!$BF$4:$BF$146))))</f>
        <v>0</v>
      </c>
      <c r="AE43" s="730"/>
      <c r="AF43" s="730"/>
      <c r="AG43" s="730" t="e">
        <f>IF($B48=$A$8,SUMPRODUCT($BF$4:$BF$146,Schweine_Werte!$EW$4:$EW$146)/SUM($BF$4:$BF$146),IF($B48=$A$7,SUMPRODUCT($BF$4:$BF$146,Schweine_Werte!$DQ$4:$DQ$146)/SUM($BF$4:$BF$146),IF($B48=$A$6,SUMPRODUCT($BF$4:$BF$146,Schweine_Werte!$CK$4:$CK$146)/SUM($BF$4:$BF$146),SUMPRODUCT($BF$4:$BF$146,Schweine_Werte!$BE$4:$BE$146)/SUM($BF$4:$BF$146))))</f>
        <v>#DIV/0!</v>
      </c>
      <c r="AH43" s="730"/>
      <c r="AI43" s="730"/>
      <c r="AJ43" s="730" t="e">
        <f>IF($B48=$A$8,SUMPRODUCT($BF$4:$BF$146,Schweine_Werte!$EW$4:$EW$146,Schweine_Werte!$EY$4:$EY$146)/SUMPRODUCT($BF$4:$BF$146,Schweine_Werte!$EW$4:$EW$146),IF($B48=$A$7,SUMPRODUCT($BF$4:$BF$146,Schweine_Werte!$DQ$4:$DQ$146,Schweine_Werte!$DS$4:$DS$146)/SUMPRODUCT($BF$4:$BF$146,Schweine_Werte!$DQ$4:$DQ$146),IF($B48=$A$6,SUMPRODUCT($BF$4:$BF$146,Schweine_Werte!$CK$4:$CK$146,Schweine_Werte!$CM$4:$CM$146)/SUMPRODUCT($BF$4:$BF$146,Schweine_Werte!$CK$4:$CK$146),SUMPRODUCT($BF$4:$BF$146,Schweine_Werte!$BE$4:$BE$146,Schweine_Werte!$BG$4:$BG$146)/SUMPRODUCT($BF$4:$BF$146,Schweine_Werte!$BE$4:$BE$146))))</f>
        <v>#DIV/0!</v>
      </c>
      <c r="AK43" s="730"/>
      <c r="AL43" s="730">
        <f>IF($B48=$A$8,SUMIF(Schweine_Werte!$AO$4:$AO$146,$C48,Schweine_Werte!$EY$4:$EY$146),IF($B48=$A$7,SUMIF(Schweine_Werte!$AO$4:$AO$146,$C48,Schweine_Werte!$DS$4:$DS$146),IF($B48=$A$6,SUMIF(Schweine_Werte!$AO$4:$AO$146,$C48,Schweine_Werte!$CM$4:$CM$146),SUMIF(Schweine_Werte!$AO$4:$AO$146,$C48,Schweine_Werte!$BG$4:$BG$146))))</f>
        <v>0</v>
      </c>
      <c r="AM43" s="730"/>
      <c r="AN43" s="730">
        <f>IF($B48=$A$8,SUMIF(Schweine_Werte!$AO$4:$AO$146,$D48,Schweine_Werte!$EY$4:$EY$146),IF($B48=$A$7,SUMIF(Schweine_Werte!$AO$4:$AO$146,$D48,Schweine_Werte!$DS$4:$DS$146),IF($B48=$A$6,SUMIF(Schweine_Werte!$AO$4:$AO$146,$D48,Schweine_Werte!$CM$4:$CM$146),SUMIF(Schweine_Werte!$AO$4:$AO$146,$D48,Schweine_Werte!$BG$4:$BG$146))))</f>
        <v>0</v>
      </c>
      <c r="AR43" s="806">
        <v>47</v>
      </c>
      <c r="AS43" s="795">
        <f>IF(OR($C$12=$AR43,$D$12=$AR43),Schweine_Werte!$C43*0.5,IF(OR($C$12&gt;$AR43,$D$12&lt;$AR43),0,Schweine_Werte!$C43))</f>
        <v>0</v>
      </c>
      <c r="AT43" s="730">
        <f>IF(OR($C$24=$AR43,$D$24=$AR43),Schweine_Werte!$C43*0.5,IF(OR($C$24&gt;$AR43,$D$24&lt;$AR43),0,Schweine_Werte!$C43))</f>
        <v>0</v>
      </c>
      <c r="AU43" s="795">
        <f>IF(OR($C$36=$AR43,$D$36=$AR43),Schweine_Werte!$C43*0.5,IF(OR($C$36&gt;$AR43,$D$36&lt;$AR43),0,Schweine_Werte!$C43))</f>
        <v>0</v>
      </c>
      <c r="AV43" s="795">
        <f>IF(OR($C$48=$AR43,$D$48=$AR43),Schweine_Werte!$C43*0.5,IF(OR($C$48&gt;$AR43,$D$48&lt;$AR43),0,Schweine_Werte!$C43))</f>
        <v>0</v>
      </c>
      <c r="AW43" s="795">
        <f>IF(OR($C$60=$AR43,$D$60=$AR43),Schweine_Werte!$C43*0.5,IF(OR($C$60&gt;$AR43,$D$60&lt;$AR43),0,Schweine_Werte!$C43))</f>
        <v>0</v>
      </c>
      <c r="AX43" s="795">
        <f>IF(OR($C$12=$AR43,$D$12=$AR43),Schweine_Werte!$E43*0.5,IF(OR($C$12&gt;$AR43,$D$12&lt;$AR43),0,Schweine_Werte!$E43))</f>
        <v>0</v>
      </c>
      <c r="AY43" s="730">
        <f>IF(OR($C$24=$AR43,$D$24=$AR43),Schweine_Werte!$E43*0.5,IF(OR($C$24&gt;$AR43,$D$24&lt;$AR43),0,Schweine_Werte!$E43))</f>
        <v>0</v>
      </c>
      <c r="AZ43" s="730">
        <f>IF(OR($C$36=$AR43,$D$36=$AR43),Schweine_Werte!$E43*0.5,IF(OR($C$36&gt;$AR43,$D$36&lt;$AR43),0,Schweine_Werte!$E43))</f>
        <v>0</v>
      </c>
      <c r="BA43" s="730">
        <f>IF(OR($C$48=$AR43,$D$48=$AR43),Schweine_Werte!$E43*0.5,IF(OR($C$48&gt;$AR43,$D$48&lt;$AR43),0,Schweine_Werte!$E43))</f>
        <v>0</v>
      </c>
      <c r="BB43" s="730">
        <f>IF(OR($C$60=$AR43,$D$60=$AR43),Schweine_Werte!$E43*0.5,IF(OR($C$60&gt;$AR43,$D$60&lt;$AR43),0,Schweine_Werte!$E43))</f>
        <v>0</v>
      </c>
      <c r="BC43" s="795">
        <f>IF(OR($C$12=$AR43,$D$12=$AR43),Schweine_Werte!$G43*0.5,IF(OR($C$12&gt;$AR43,$D$12&lt;$AR43),0,Schweine_Werte!$G43))</f>
        <v>0</v>
      </c>
      <c r="BD43" s="730">
        <f>IF(OR($C$24=$AR43,$D$24=$AR43),Schweine_Werte!$G43*0.5,IF(OR($C$24&gt;$AR43,$D$24&lt;$AR43),0,Schweine_Werte!$G43))</f>
        <v>0</v>
      </c>
      <c r="BE43" s="730">
        <f>IF(OR($C$36=$AR43,$D$36=$AR43),Schweine_Werte!$G43*0.5,IF(OR($C$36&gt;$AR43,$D$36&lt;$AR43),0,Schweine_Werte!$G43))</f>
        <v>0</v>
      </c>
      <c r="BF43" s="730">
        <f>IF(OR($C$48=$AR43,$D$48=$AR43),Schweine_Werte!$G43*0.5,IF(OR($C$48&gt;$AR43,$D$48&lt;$AR43),0,Schweine_Werte!$G43))</f>
        <v>0</v>
      </c>
      <c r="BG43" s="730">
        <f>IF(OR($C$60=$AR43,$D$60=$AR43),Schweine_Werte!$G43*0.5,IF(OR($C$60&gt;$AR43,$D$60&lt;$AR43),0,Schweine_Werte!$G43))</f>
        <v>0</v>
      </c>
      <c r="BH43" s="795">
        <f>IF(OR($C$12=$AR43,$D$12=$AR43),Schweine_Werte!$I43*0.5,IF(OR($C$12&gt;$AR43,$D$12&lt;$AR43),0,Schweine_Werte!$I43))</f>
        <v>0</v>
      </c>
      <c r="BI43" s="730">
        <f>IF(OR($C$24=$AR43,$D$24=$AR43),Schweine_Werte!$I43*0.5,IF(OR($C$24&gt;$AR43,$D$24&lt;$AR43),0,Schweine_Werte!$I43))</f>
        <v>0</v>
      </c>
      <c r="BJ43" s="730">
        <f>IF(OR($C$36=$AR43,$D$36=$AR43),Schweine_Werte!$I43*0.5,IF(OR($C$36&gt;$AR43,$D$36&lt;$AR43),0,Schweine_Werte!$I43))</f>
        <v>0</v>
      </c>
      <c r="BK43" s="730">
        <f>IF(OR($C$48=$AR43,$D$48=$AR43),Schweine_Werte!$I43*0.5,IF(OR($C$48&gt;$AR43,$D$48&lt;$AR43),0,Schweine_Werte!$I43))</f>
        <v>0</v>
      </c>
      <c r="BL43" s="730">
        <f>IF(OR($C$60=$AR43,$D$60=$AR43),Schweine_Werte!$I43*0.5,IF(OR($C$60&gt;$AR43,$D$60&lt;$AR43),0,Schweine_Werte!$I43))</f>
        <v>0</v>
      </c>
      <c r="BM43" s="795"/>
      <c r="BN43" s="730"/>
      <c r="BO43" s="730"/>
      <c r="BP43" s="730"/>
      <c r="BQ43" s="730"/>
      <c r="BR43" s="795">
        <f>IF(OR($C$74=$AR43,$D$74=$AR43),Schweine_Werte!$M43*0.5,IF(OR($C$74&gt;$AR43,$D$74&lt;$AR43),0,Schweine_Werte!$M43))</f>
        <v>0</v>
      </c>
      <c r="BS43" s="795">
        <f>IF(OR($C$83=$AR43,$D$83=$AR43),Schweine_Werte!$M43*0.5,IF(OR($C$83&gt;$AR43,$D$83&lt;$AR43),0,Schweine_Werte!$M43))</f>
        <v>0</v>
      </c>
      <c r="BT43" s="797">
        <f>IF(OR($C$92=$AR43,$D$92=$AR43),Schweine_Werte!$M43*0.5,IF(OR($C$92&gt;$AR43,$D$92&lt;$AR43),0,Schweine_Werte!$M43))</f>
        <v>0</v>
      </c>
      <c r="BU43" s="797">
        <f>IF(OR($C$101=$AR43,$D$101=$AR43),Schweine_Werte!$M43*0.5,IF(OR($C$101&gt;$AR43,$D$101&lt;$AR43),0,Schweine_Werte!$M43))</f>
        <v>0</v>
      </c>
      <c r="BV43" s="797">
        <f>IF(OR($C$110=$AR43,$D$110=$AR43),Schweine_Werte!$M43*0.5,IF(OR($C$110&gt;$AR43,$D$110&lt;$AR43),0,Schweine_Werte!$M43))</f>
        <v>0</v>
      </c>
      <c r="BW43" s="797">
        <f>IF(OR(8=$AR43,$E$127=$AR43),Schweine_Werte!$M43*0.5,IF(OR(8&gt;$AR43,$E$127&lt;$AR43),0,Schweine_Werte!$M43))</f>
        <v>1.2358690906989118</v>
      </c>
      <c r="BX43" s="797">
        <f>IF(OR(8=$AR43,$E$145=$AR43),Schweine_Werte!$M43*0.5,IF(OR(8&gt;$AR43,$E$145&lt;$AR43),0,Schweine_Werte!$M43))</f>
        <v>1.2358690906989118</v>
      </c>
      <c r="BY43" s="795">
        <f>IF(OR($C$74=$AR43,$D$74=$AR43),Schweine_Werte!$O43*0.5,IF(OR($C$74&gt;$AR43,$D$74&lt;$AR43),0,Schweine_Werte!$O43))</f>
        <v>0</v>
      </c>
      <c r="BZ43" s="795">
        <f>IF(OR($C$83=$AR43,$D$83=$AR43),Schweine_Werte!$O43*0.5,IF(OR($C$83&gt;$AR43,$D$83&lt;$AR43),0,Schweine_Werte!$O43))</f>
        <v>0</v>
      </c>
      <c r="CA43" s="797">
        <f>IF(OR($C$92=$AR43,$D$92=$AR43),Schweine_Werte!$O43*0.5,IF(OR($C$92&gt;$AR43,$D$92&lt;$AR43),0,Schweine_Werte!$O43))</f>
        <v>0</v>
      </c>
      <c r="CB43" s="797">
        <f>IF(OR($C$101=$AR43,$D$101=$AR43),Schweine_Werte!$O43*0.5,IF(OR($C$101&gt;$AR43,$D$101&lt;$AR43),0,Schweine_Werte!$O43))</f>
        <v>0</v>
      </c>
      <c r="CC43" s="797">
        <f>IF(OR($C$110=$AR43,$D$110=$AR43),Schweine_Werte!$O43*0.5,IF(OR($C$110&gt;$AR43,$D$110&lt;$AR43),0,Schweine_Werte!$O43))</f>
        <v>0</v>
      </c>
    </row>
    <row r="44" spans="1:81" x14ac:dyDescent="0.25">
      <c r="B44" s="705">
        <v>950</v>
      </c>
      <c r="D44" s="730"/>
      <c r="E44" s="730" t="e">
        <f>($D48-$C48)*1000/SUM($BK$4:$BK$146)</f>
        <v>#VALUE!</v>
      </c>
      <c r="F44" s="730" t="e">
        <f>SUMPRODUCT($BK$4:$BK$146,Schweine_Werte!$T$4:$T$146)/SUM($BK$4:$BK$146)</f>
        <v>#DIV/0!</v>
      </c>
      <c r="G44" s="730" t="e">
        <f>IF($B48=$A$8,SUMPRODUCT($BK$4:$BK$146,Schweine_Werte!EZ$4:EZ$146)/SUM($BK$4:$BK$146),IF($B48=$A$7,SUMPRODUCT($BK$4:$BK$146,Schweine_Werte!DT$4:DT$146)/SUM($BK$4:$BK$146),IF($B48=$A$6,SUMPRODUCT($BK$4:$BK$146,Schweine_Werte!CN$4:CN$146)/SUM($BK$4:$BK$146),SUMPRODUCT($BK$4:$BK$146,Schweine_Werte!BH$4:BH$146)/SUM($BK$4:$BK$146))))</f>
        <v>#DIV/0!</v>
      </c>
      <c r="H44" s="730" t="e">
        <f>IF($B48=$A$8,SUMPRODUCT($BK$4:$BK$146,Schweine_Werte!FA$4:FA$146)/SUM($BK$4:$BK$146),IF($B48=$A$7,SUMPRODUCT($BK$4:$BK$146,Schweine_Werte!DU$4:DU$146)/SUM($BK$4:$BK$146),IF($B48=$A$6,SUMPRODUCT($BK$4:$BK$146,Schweine_Werte!CO$4:CO$146)/SUM($BK$4:$BK$146),SUMPRODUCT($BK$4:$BK$146,Schweine_Werte!BI$4:BI$146)/SUM($BK$4:$BK$146))))</f>
        <v>#DIV/0!</v>
      </c>
      <c r="I44" s="730" t="e">
        <f>IF($B48=$A$8,SUMPRODUCT($BK$4:$BK$146,Schweine_Werte!FB$4:FB$146)/SUM($BK$4:$BK$146),IF($B48=$A$7,SUMPRODUCT($BK$4:$BK$146,Schweine_Werte!DV$4:DV$146)/SUM($BK$4:$BK$146),IF($B48=$A$6,SUMPRODUCT($BK$4:$BK$146,Schweine_Werte!CP$4:CP$146)/SUM($BK$4:$BK$146),SUMPRODUCT($BK$4:$BK$146,Schweine_Werte!BJ$4:BJ$146)/SUM($BK$4:$BK$146))))</f>
        <v>#DIV/0!</v>
      </c>
      <c r="J44" s="730" t="e">
        <f>SUMPRODUCT($BK$4:$BK$146,Schweine_Werte!$AB$4:$AB$146)/SUM($BK$4:$BK$146)</f>
        <v>#DIV/0!</v>
      </c>
      <c r="K44" s="730" t="e">
        <f>SUMPRODUCT($BK$4:$BK$146,Schweine_Werte!$AJ$4:$AJ$146)/SUM($BK$4:$BK$146)</f>
        <v>#DIV/0!</v>
      </c>
      <c r="L44" s="818" t="e">
        <f>T44*$F44*365/1000+$J44-$K44</f>
        <v>#DIV/0!</v>
      </c>
      <c r="M44" s="730" t="e">
        <f>U44*$F44*365/1000+$J44-$K44/2</f>
        <v>#DIV/0!</v>
      </c>
      <c r="N44" s="730" t="e">
        <f>V44*$F44*365/1000+$J44</f>
        <v>#DIV/0!</v>
      </c>
      <c r="O44" s="730">
        <f>IF($C48&lt;28,SUM($BK$4:$BK$23)+IF($D48&gt;28,$BK$24*0.5,$BK$24),0)</f>
        <v>0</v>
      </c>
      <c r="P44" s="730">
        <f>IF($D48&gt;28,SUM($BK$25:$BK$146)+IF($C48&lt;28,$BK$24*0.5,$BK$24),0)</f>
        <v>0</v>
      </c>
      <c r="Q44" s="730" t="e">
        <f t="shared" si="24"/>
        <v>#DIV/0!</v>
      </c>
      <c r="R44" s="730" t="e">
        <f t="shared" si="24"/>
        <v>#DIV/0!</v>
      </c>
      <c r="S44" s="730" t="e">
        <f t="shared" si="24"/>
        <v>#DIV/0!</v>
      </c>
      <c r="T44" s="730" t="e">
        <f>+($O44*Schweine_Werte!$HT$8+$P44*Schweine_Werte!$HU$8)/SUM($O44:$P44)</f>
        <v>#DIV/0!</v>
      </c>
      <c r="U44" s="730" t="e">
        <f>+($O44*Schweine_Werte!$HV$8+$P44*Schweine_Werte!$HW$8)/SUM($O44:$P44)</f>
        <v>#DIV/0!</v>
      </c>
      <c r="V44" s="730" t="e">
        <f>+($O44*Schweine_Werte!$HX$8+$P44*Schweine_Werte!$HY$8)/SUM($O44:$P44)</f>
        <v>#DIV/0!</v>
      </c>
      <c r="W44" s="785" t="e">
        <f>($J44*0.055+T44*0.365*0.86*$F44-$K44*0.018)/L44*100</f>
        <v>#DIV/0!</v>
      </c>
      <c r="X44" s="730" t="e">
        <f>($J44*0.055+U44*0.365*0.86*$F44-$K44*0.018/2)/M44*100</f>
        <v>#DIV/0!</v>
      </c>
      <c r="Y44" s="730" t="e">
        <f>($J44*0.055+V44*0.365*0.86*$F44)/N44*100</f>
        <v>#DIV/0!</v>
      </c>
      <c r="Z44" s="730" t="e">
        <f>IF($B48=$A$8,SUMPRODUCT($BK$4:$BK$146,Schweine_Werte!$FC$4:$FC$146,Schweine_Werte!$FD$4:$FD$146)/SUMPRODUCT($BK$4:$BK$146,Schweine_Werte!$FC$4:$FC$146),IF($B48=$A$7,SUMPRODUCT($BK$4:$BK$146,Schweine_Werte!$DW$4:$DW$146,Schweine_Werte!$DX$4:$DX$146)/SUMPRODUCT($BK$4:$BK$146,Schweine_Werte!$DW$4:$DW$146),IF($B48=$A$6,SUMPRODUCT($BK$4:$BK$146,Schweine_Werte!$CQ$4:$CQ$146,Schweine_Werte!$CR$4:$CR$146)/SUMPRODUCT($BK$4:$BK$146,Schweine_Werte!$CQ$4:$CQ$146),SUMPRODUCT($BK$4:$BK$146,Schweine_Werte!$BK$4:$BK$146,Schweine_Werte!$BL$4:$BL$146)/SUMPRODUCT($BK$4:$BK$146,Schweine_Werte!$BK$4:$BK$146))))</f>
        <v>#DIV/0!</v>
      </c>
      <c r="AA44" s="730"/>
      <c r="AB44" s="730">
        <f>IF($B48=$A$8,SUMIF(Schweine_Werte!$AO$4:$AO$146,$C48,Schweine_Werte!$FD$4:$FD$146),IF($B48=$A$7,SUMIF(Schweine_Werte!$AO$4:$AO$146,$C48,Schweine_Werte!$DX$4:$DX$146),IF($B48=$A$6,SUMIF(Schweine_Werte!$AO$4:$AO$146,$C48,Schweine_Werte!$CR$4:$CR$146),SUMIF(Schweine_Werte!$AO$4:$AO$146,$C48,Schweine_Werte!$BL$4:$BL$146))))</f>
        <v>0</v>
      </c>
      <c r="AC44" s="730"/>
      <c r="AD44" s="730">
        <f>IF($B48=$A$8,SUMIF(Schweine_Werte!$AO$4:$AO$146,$D48,Schweine_Werte!$FD$4:$FD$146),IF($B48=$A$7,SUMIF(Schweine_Werte!$AO$4:$AO$146,$D48,Schweine_Werte!$DX$4:$DX$146),IF($B48=$A$6,SUMIF(Schweine_Werte!$AO$4:$AO$146,$D48,Schweine_Werte!$CR$4:$CR$146),SUMIF(Schweine_Werte!$AO$4:$AO$146,$D48,Schweine_Werte!$BL$4:$BL$146))))</f>
        <v>0</v>
      </c>
      <c r="AE44" s="730"/>
      <c r="AF44" s="730"/>
      <c r="AG44" s="730" t="e">
        <f>IF($B48=$A$8,SUMPRODUCT($BK$4:$BK$146,Schweine_Werte!$FC$4:$FC$146)/SUM($BK$4:$BK$146),IF($B48=$A$7,SUMPRODUCT($BK$4:$BK$146,Schweine_Werte!$DW$4:$DW$146)/SUM($BK$4:$BK$146),IF($B48=$A$6,SUMPRODUCT($BK$4:$BK$146,Schweine_Werte!$CQ$4:$CQ$146)/SUM($BK$4:$BK$146),SUMPRODUCT($BK$4:$BK$146,Schweine_Werte!$BK$4:$BK$146)/SUM($BK$4:$BK$146))))</f>
        <v>#DIV/0!</v>
      </c>
      <c r="AH44" s="730"/>
      <c r="AI44" s="730"/>
      <c r="AJ44" s="730" t="e">
        <f>IF($B48=$A$8,SUMPRODUCT($BK$4:$BK$146,Schweine_Werte!$FC$4:$FC$146,Schweine_Werte!$FE$4:$FE$146)/SUMPRODUCT($BK$4:$BK$146,Schweine_Werte!$FC$4:$FC$146),IF($B48=$A$7,SUMPRODUCT($BK$4:$BK$146,Schweine_Werte!$DW$4:$DW$146,Schweine_Werte!$DY$4:$DY$146)/SUMPRODUCT($BK$4:$BK$146,Schweine_Werte!$DW$4:$DW$146),IF($B48=$A$6,SUMPRODUCT($BK$4:$BK$146,Schweine_Werte!$CQ$4:$CQ$146,Schweine_Werte!$CS$4:$CS$146)/SUMPRODUCT($BK$4:$BK$146,Schweine_Werte!$CQ$4:$CQ$146),SUMPRODUCT($BK$4:$BK$146,Schweine_Werte!$BK$4:$BK$146,Schweine_Werte!$BM$4:$BM$146)/SUMPRODUCT($BK$4:$BK$146,Schweine_Werte!$BK$4:$BK$146))))</f>
        <v>#DIV/0!</v>
      </c>
      <c r="AK44" s="730"/>
      <c r="AL44" s="730">
        <f>IF($B48=$A$8,SUMIF(Schweine_Werte!$AO$4:$AO$146,$C48,Schweine_Werte!$FE$4:$FE$146),IF($B48=$A$7,SUMIF(Schweine_Werte!$AO$4:$AO$146,$C48,Schweine_Werte!$DY$4:$DY$146),IF($B48=$A$6,SUMIF(Schweine_Werte!$AO$4:$AO$146,$C48,Schweine_Werte!$CS$4:$CS$146),SUMIF(Schweine_Werte!$AO$4:$AO$146,$C48,Schweine_Werte!$BM$4:$BM$146))))</f>
        <v>0</v>
      </c>
      <c r="AM44" s="730"/>
      <c r="AN44" s="730">
        <f>IF($B48=$A$8,SUMIF(Schweine_Werte!$AO$4:$AO$146,$D48,Schweine_Werte!$FE$4:$FE$146),IF($B48=$A$7,SUMIF(Schweine_Werte!$AO$4:$AO$146,$D48,Schweine_Werte!$DY$4:$DY$146),IF($B48=$A$6,SUMIF(Schweine_Werte!$AO$4:$AO$146,$D48,Schweine_Werte!$CS$4:$CS$146),SUMIF(Schweine_Werte!$AO$4:$AO$146,$D48,Schweine_Werte!$BM$4:$BM$146))))</f>
        <v>0</v>
      </c>
      <c r="AR44" s="806">
        <v>48</v>
      </c>
      <c r="AS44" s="795">
        <f>IF(OR($C$12=$AR44,$D$12=$AR44),Schweine_Werte!$C44*0.5,IF(OR($C$12&gt;$AR44,$D$12&lt;$AR44),0,Schweine_Werte!$C44))</f>
        <v>0</v>
      </c>
      <c r="AT44" s="730">
        <f>IF(OR($C$24=$AR44,$D$24=$AR44),Schweine_Werte!$C44*0.5,IF(OR($C$24&gt;$AR44,$D$24&lt;$AR44),0,Schweine_Werte!$C44))</f>
        <v>0</v>
      </c>
      <c r="AU44" s="795">
        <f>IF(OR($C$36=$AR44,$D$36=$AR44),Schweine_Werte!$C44*0.5,IF(OR($C$36&gt;$AR44,$D$36&lt;$AR44),0,Schweine_Werte!$C44))</f>
        <v>0</v>
      </c>
      <c r="AV44" s="795">
        <f>IF(OR($C$48=$AR44,$D$48=$AR44),Schweine_Werte!$C44*0.5,IF(OR($C$48&gt;$AR44,$D$48&lt;$AR44),0,Schweine_Werte!$C44))</f>
        <v>0</v>
      </c>
      <c r="AW44" s="795">
        <f>IF(OR($C$60=$AR44,$D$60=$AR44),Schweine_Werte!$C44*0.5,IF(OR($C$60&gt;$AR44,$D$60&lt;$AR44),0,Schweine_Werte!$C44))</f>
        <v>0</v>
      </c>
      <c r="AX44" s="795">
        <f>IF(OR($C$12=$AR44,$D$12=$AR44),Schweine_Werte!$E44*0.5,IF(OR($C$12&gt;$AR44,$D$12&lt;$AR44),0,Schweine_Werte!$E44))</f>
        <v>0</v>
      </c>
      <c r="AY44" s="730">
        <f>IF(OR($C$24=$AR44,$D$24=$AR44),Schweine_Werte!$E44*0.5,IF(OR($C$24&gt;$AR44,$D$24&lt;$AR44),0,Schweine_Werte!$E44))</f>
        <v>0</v>
      </c>
      <c r="AZ44" s="730">
        <f>IF(OR($C$36=$AR44,$D$36=$AR44),Schweine_Werte!$E44*0.5,IF(OR($C$36&gt;$AR44,$D$36&lt;$AR44),0,Schweine_Werte!$E44))</f>
        <v>0</v>
      </c>
      <c r="BA44" s="730">
        <f>IF(OR($C$48=$AR44,$D$48=$AR44),Schweine_Werte!$E44*0.5,IF(OR($C$48&gt;$AR44,$D$48&lt;$AR44),0,Schweine_Werte!$E44))</f>
        <v>0</v>
      </c>
      <c r="BB44" s="730">
        <f>IF(OR($C$60=$AR44,$D$60=$AR44),Schweine_Werte!$E44*0.5,IF(OR($C$60&gt;$AR44,$D$60&lt;$AR44),0,Schweine_Werte!$E44))</f>
        <v>0</v>
      </c>
      <c r="BC44" s="795">
        <f>IF(OR($C$12=$AR44,$D$12=$AR44),Schweine_Werte!$G44*0.5,IF(OR($C$12&gt;$AR44,$D$12&lt;$AR44),0,Schweine_Werte!$G44))</f>
        <v>0</v>
      </c>
      <c r="BD44" s="730">
        <f>IF(OR($C$24=$AR44,$D$24=$AR44),Schweine_Werte!$G44*0.5,IF(OR($C$24&gt;$AR44,$D$24&lt;$AR44),0,Schweine_Werte!$G44))</f>
        <v>0</v>
      </c>
      <c r="BE44" s="730">
        <f>IF(OR($C$36=$AR44,$D$36=$AR44),Schweine_Werte!$G44*0.5,IF(OR($C$36&gt;$AR44,$D$36&lt;$AR44),0,Schweine_Werte!$G44))</f>
        <v>0</v>
      </c>
      <c r="BF44" s="730">
        <f>IF(OR($C$48=$AR44,$D$48=$AR44),Schweine_Werte!$G44*0.5,IF(OR($C$48&gt;$AR44,$D$48&lt;$AR44),0,Schweine_Werte!$G44))</f>
        <v>0</v>
      </c>
      <c r="BG44" s="730">
        <f>IF(OR($C$60=$AR44,$D$60=$AR44),Schweine_Werte!$G44*0.5,IF(OR($C$60&gt;$AR44,$D$60&lt;$AR44),0,Schweine_Werte!$G44))</f>
        <v>0</v>
      </c>
      <c r="BH44" s="795">
        <f>IF(OR($C$12=$AR44,$D$12=$AR44),Schweine_Werte!$I44*0.5,IF(OR($C$12&gt;$AR44,$D$12&lt;$AR44),0,Schweine_Werte!$I44))</f>
        <v>0</v>
      </c>
      <c r="BI44" s="730">
        <f>IF(OR($C$24=$AR44,$D$24=$AR44),Schweine_Werte!$I44*0.5,IF(OR($C$24&gt;$AR44,$D$24&lt;$AR44),0,Schweine_Werte!$I44))</f>
        <v>0</v>
      </c>
      <c r="BJ44" s="730">
        <f>IF(OR($C$36=$AR44,$D$36=$AR44),Schweine_Werte!$I44*0.5,IF(OR($C$36&gt;$AR44,$D$36&lt;$AR44),0,Schweine_Werte!$I44))</f>
        <v>0</v>
      </c>
      <c r="BK44" s="730">
        <f>IF(OR($C$48=$AR44,$D$48=$AR44),Schweine_Werte!$I44*0.5,IF(OR($C$48&gt;$AR44,$D$48&lt;$AR44),0,Schweine_Werte!$I44))</f>
        <v>0</v>
      </c>
      <c r="BL44" s="730">
        <f>IF(OR($C$60=$AR44,$D$60=$AR44),Schweine_Werte!$I44*0.5,IF(OR($C$60&gt;$AR44,$D$60&lt;$AR44),0,Schweine_Werte!$I44))</f>
        <v>0</v>
      </c>
      <c r="BM44" s="795"/>
      <c r="BN44" s="730"/>
      <c r="BO44" s="730"/>
      <c r="BP44" s="730"/>
      <c r="BQ44" s="730"/>
      <c r="BR44" s="795">
        <f>IF(OR($C$74=$AR44,$D$74=$AR44),Schweine_Werte!$M44*0.5,IF(OR($C$74&gt;$AR44,$D$74&lt;$AR44),0,Schweine_Werte!$M44))</f>
        <v>0</v>
      </c>
      <c r="BS44" s="795">
        <f>IF(OR($C$83=$AR44,$D$83=$AR44),Schweine_Werte!$M44*0.5,IF(OR($C$83&gt;$AR44,$D$83&lt;$AR44),0,Schweine_Werte!$M44))</f>
        <v>0</v>
      </c>
      <c r="BT44" s="797">
        <f>IF(OR($C$92=$AR44,$D$92=$AR44),Schweine_Werte!$M44*0.5,IF(OR($C$92&gt;$AR44,$D$92&lt;$AR44),0,Schweine_Werte!$M44))</f>
        <v>0</v>
      </c>
      <c r="BU44" s="797">
        <f>IF(OR($C$101=$AR44,$D$101=$AR44),Schweine_Werte!$M44*0.5,IF(OR($C$101&gt;$AR44,$D$101&lt;$AR44),0,Schweine_Werte!$M44))</f>
        <v>0</v>
      </c>
      <c r="BV44" s="797">
        <f>IF(OR($C$110=$AR44,$D$110=$AR44),Schweine_Werte!$M44*0.5,IF(OR($C$110&gt;$AR44,$D$110&lt;$AR44),0,Schweine_Werte!$M44))</f>
        <v>0</v>
      </c>
      <c r="BW44" s="797">
        <f>IF(OR(8=$AR44,$E$127=$AR44),Schweine_Werte!$M44*0.5,IF(OR(8&gt;$AR44,$E$127&lt;$AR44),0,Schweine_Werte!$M44))</f>
        <v>1.2246885195813491</v>
      </c>
      <c r="BX44" s="797">
        <f>IF(OR(8=$AR44,$E$145=$AR44),Schweine_Werte!$M44*0.5,IF(OR(8&gt;$AR44,$E$145&lt;$AR44),0,Schweine_Werte!$M44))</f>
        <v>1.2246885195813491</v>
      </c>
      <c r="BY44" s="795">
        <f>IF(OR($C$74=$AR44,$D$74=$AR44),Schweine_Werte!$O44*0.5,IF(OR($C$74&gt;$AR44,$D$74&lt;$AR44),0,Schweine_Werte!$O44))</f>
        <v>0</v>
      </c>
      <c r="BZ44" s="795">
        <f>IF(OR($C$83=$AR44,$D$83=$AR44),Schweine_Werte!$O44*0.5,IF(OR($C$83&gt;$AR44,$D$83&lt;$AR44),0,Schweine_Werte!$O44))</f>
        <v>0</v>
      </c>
      <c r="CA44" s="797">
        <f>IF(OR($C$92=$AR44,$D$92=$AR44),Schweine_Werte!$O44*0.5,IF(OR($C$92&gt;$AR44,$D$92&lt;$AR44),0,Schweine_Werte!$O44))</f>
        <v>0</v>
      </c>
      <c r="CB44" s="797">
        <f>IF(OR($C$101=$AR44,$D$101=$AR44),Schweine_Werte!$O44*0.5,IF(OR($C$101&gt;$AR44,$D$101&lt;$AR44),0,Schweine_Werte!$O44))</f>
        <v>0</v>
      </c>
      <c r="CC44" s="797">
        <f>IF(OR($C$110=$AR44,$D$110=$AR44),Schweine_Werte!$O44*0.5,IF(OR($C$110&gt;$AR44,$D$110&lt;$AR44),0,Schweine_Werte!$O44))</f>
        <v>0</v>
      </c>
    </row>
    <row r="45" spans="1:81" x14ac:dyDescent="0.25">
      <c r="B45" s="705"/>
      <c r="D45" s="730"/>
      <c r="E45" s="730"/>
      <c r="F45" s="730"/>
      <c r="G45" s="730"/>
      <c r="H45" s="730"/>
      <c r="I45" s="730"/>
      <c r="J45" s="730"/>
      <c r="K45" s="730"/>
      <c r="L45" s="818"/>
      <c r="M45" s="730"/>
      <c r="N45" s="730"/>
      <c r="O45" s="730"/>
      <c r="P45" s="730"/>
      <c r="Q45" s="730"/>
      <c r="R45" s="730"/>
      <c r="S45" s="730"/>
      <c r="T45" s="730"/>
      <c r="U45" s="730"/>
      <c r="V45" s="730"/>
      <c r="W45" s="785"/>
      <c r="X45" s="730"/>
      <c r="Y45" s="730"/>
      <c r="Z45" s="730"/>
      <c r="AA45" s="730"/>
      <c r="AB45" s="730"/>
      <c r="AC45" s="730"/>
      <c r="AD45" s="730"/>
      <c r="AE45" s="730"/>
      <c r="AF45" s="730"/>
      <c r="AG45" s="730"/>
      <c r="AH45" s="730"/>
      <c r="AI45" s="730"/>
      <c r="AJ45" s="730"/>
      <c r="AK45" s="730"/>
      <c r="AL45" s="730"/>
      <c r="AM45" s="730"/>
      <c r="AN45" s="730"/>
      <c r="AR45" s="806">
        <v>49</v>
      </c>
      <c r="AS45" s="795">
        <f>IF(OR($C$12=$AR45,$D$12=$AR45),Schweine_Werte!$C45*0.5,IF(OR($C$12&gt;$AR45,$D$12&lt;$AR45),0,Schweine_Werte!$C45))</f>
        <v>0</v>
      </c>
      <c r="AT45" s="730">
        <f>IF(OR($C$24=$AR45,$D$24=$AR45),Schweine_Werte!$C45*0.5,IF(OR($C$24&gt;$AR45,$D$24&lt;$AR45),0,Schweine_Werte!$C45))</f>
        <v>0</v>
      </c>
      <c r="AU45" s="795">
        <f>IF(OR($C$36=$AR45,$D$36=$AR45),Schweine_Werte!$C45*0.5,IF(OR($C$36&gt;$AR45,$D$36&lt;$AR45),0,Schweine_Werte!$C45))</f>
        <v>0</v>
      </c>
      <c r="AV45" s="795">
        <f>IF(OR($C$48=$AR45,$D$48=$AR45),Schweine_Werte!$C45*0.5,IF(OR($C$48&gt;$AR45,$D$48&lt;$AR45),0,Schweine_Werte!$C45))</f>
        <v>0</v>
      </c>
      <c r="AW45" s="795">
        <f>IF(OR($C$60=$AR45,$D$60=$AR45),Schweine_Werte!$C45*0.5,IF(OR($C$60&gt;$AR45,$D$60&lt;$AR45),0,Schweine_Werte!$C45))</f>
        <v>0</v>
      </c>
      <c r="AX45" s="795">
        <f>IF(OR($C$12=$AR45,$D$12=$AR45),Schweine_Werte!$E45*0.5,IF(OR($C$12&gt;$AR45,$D$12&lt;$AR45),0,Schweine_Werte!$E45))</f>
        <v>0</v>
      </c>
      <c r="AY45" s="730">
        <f>IF(OR($C$24=$AR45,$D$24=$AR45),Schweine_Werte!$E45*0.5,IF(OR($C$24&gt;$AR45,$D$24&lt;$AR45),0,Schweine_Werte!$E45))</f>
        <v>0</v>
      </c>
      <c r="AZ45" s="730">
        <f>IF(OR($C$36=$AR45,$D$36=$AR45),Schweine_Werte!$E45*0.5,IF(OR($C$36&gt;$AR45,$D$36&lt;$AR45),0,Schweine_Werte!$E45))</f>
        <v>0</v>
      </c>
      <c r="BA45" s="730">
        <f>IF(OR($C$48=$AR45,$D$48=$AR45),Schweine_Werte!$E45*0.5,IF(OR($C$48&gt;$AR45,$D$48&lt;$AR45),0,Schweine_Werte!$E45))</f>
        <v>0</v>
      </c>
      <c r="BB45" s="730">
        <f>IF(OR($C$60=$AR45,$D$60=$AR45),Schweine_Werte!$E45*0.5,IF(OR($C$60&gt;$AR45,$D$60&lt;$AR45),0,Schweine_Werte!$E45))</f>
        <v>0</v>
      </c>
      <c r="BC45" s="795">
        <f>IF(OR($C$12=$AR45,$D$12=$AR45),Schweine_Werte!$G45*0.5,IF(OR($C$12&gt;$AR45,$D$12&lt;$AR45),0,Schweine_Werte!$G45))</f>
        <v>0</v>
      </c>
      <c r="BD45" s="730">
        <f>IF(OR($C$24=$AR45,$D$24=$AR45),Schweine_Werte!$G45*0.5,IF(OR($C$24&gt;$AR45,$D$24&lt;$AR45),0,Schweine_Werte!$G45))</f>
        <v>0</v>
      </c>
      <c r="BE45" s="730">
        <f>IF(OR($C$36=$AR45,$D$36=$AR45),Schweine_Werte!$G45*0.5,IF(OR($C$36&gt;$AR45,$D$36&lt;$AR45),0,Schweine_Werte!$G45))</f>
        <v>0</v>
      </c>
      <c r="BF45" s="730">
        <f>IF(OR($C$48=$AR45,$D$48=$AR45),Schweine_Werte!$G45*0.5,IF(OR($C$48&gt;$AR45,$D$48&lt;$AR45),0,Schweine_Werte!$G45))</f>
        <v>0</v>
      </c>
      <c r="BG45" s="730">
        <f>IF(OR($C$60=$AR45,$D$60=$AR45),Schweine_Werte!$G45*0.5,IF(OR($C$60&gt;$AR45,$D$60&lt;$AR45),0,Schweine_Werte!$G45))</f>
        <v>0</v>
      </c>
      <c r="BH45" s="795">
        <f>IF(OR($C$12=$AR45,$D$12=$AR45),Schweine_Werte!$I45*0.5,IF(OR($C$12&gt;$AR45,$D$12&lt;$AR45),0,Schweine_Werte!$I45))</f>
        <v>0</v>
      </c>
      <c r="BI45" s="730">
        <f>IF(OR($C$24=$AR45,$D$24=$AR45),Schweine_Werte!$I45*0.5,IF(OR($C$24&gt;$AR45,$D$24&lt;$AR45),0,Schweine_Werte!$I45))</f>
        <v>0</v>
      </c>
      <c r="BJ45" s="730">
        <f>IF(OR($C$36=$AR45,$D$36=$AR45),Schweine_Werte!$I45*0.5,IF(OR($C$36&gt;$AR45,$D$36&lt;$AR45),0,Schweine_Werte!$I45))</f>
        <v>0</v>
      </c>
      <c r="BK45" s="730">
        <f>IF(OR($C$48=$AR45,$D$48=$AR45),Schweine_Werte!$I45*0.5,IF(OR($C$48&gt;$AR45,$D$48&lt;$AR45),0,Schweine_Werte!$I45))</f>
        <v>0</v>
      </c>
      <c r="BL45" s="730">
        <f>IF(OR($C$60=$AR45,$D$60=$AR45),Schweine_Werte!$I45*0.5,IF(OR($C$60&gt;$AR45,$D$60&lt;$AR45),0,Schweine_Werte!$I45))</f>
        <v>0</v>
      </c>
      <c r="BM45" s="795"/>
      <c r="BN45" s="730"/>
      <c r="BO45" s="730"/>
      <c r="BP45" s="730"/>
      <c r="BQ45" s="730"/>
      <c r="BR45" s="795">
        <f>IF(OR($C$74=$AR45,$D$74=$AR45),Schweine_Werte!$M45*0.5,IF(OR($C$74&gt;$AR45,$D$74&lt;$AR45),0,Schweine_Werte!$M45))</f>
        <v>0</v>
      </c>
      <c r="BS45" s="795">
        <f>IF(OR($C$83=$AR45,$D$83=$AR45),Schweine_Werte!$M45*0.5,IF(OR($C$83&gt;$AR45,$D$83&lt;$AR45),0,Schweine_Werte!$M45))</f>
        <v>0</v>
      </c>
      <c r="BT45" s="797">
        <f>IF(OR($C$92=$AR45,$D$92=$AR45),Schweine_Werte!$M45*0.5,IF(OR($C$92&gt;$AR45,$D$92&lt;$AR45),0,Schweine_Werte!$M45))</f>
        <v>0</v>
      </c>
      <c r="BU45" s="797">
        <f>IF(OR($C$101=$AR45,$D$101=$AR45),Schweine_Werte!$M45*0.5,IF(OR($C$101&gt;$AR45,$D$101&lt;$AR45),0,Schweine_Werte!$M45))</f>
        <v>0</v>
      </c>
      <c r="BV45" s="797">
        <f>IF(OR($C$110=$AR45,$D$110=$AR45),Schweine_Werte!$M45*0.5,IF(OR($C$110&gt;$AR45,$D$110&lt;$AR45),0,Schweine_Werte!$M45))</f>
        <v>0</v>
      </c>
      <c r="BW45" s="797">
        <f>IF(OR(8=$AR45,$E$127=$AR45),Schweine_Werte!$M45*0.5,IF(OR(8&gt;$AR45,$E$127&lt;$AR45),0,Schweine_Werte!$M45))</f>
        <v>1.2141408891561545</v>
      </c>
      <c r="BX45" s="797">
        <f>IF(OR(8=$AR45,$E$145=$AR45),Schweine_Werte!$M45*0.5,IF(OR(8&gt;$AR45,$E$145&lt;$AR45),0,Schweine_Werte!$M45))</f>
        <v>1.2141408891561545</v>
      </c>
      <c r="BY45" s="795">
        <f>IF(OR($C$74=$AR45,$D$74=$AR45),Schweine_Werte!$O45*0.5,IF(OR($C$74&gt;$AR45,$D$74&lt;$AR45),0,Schweine_Werte!$O45))</f>
        <v>0</v>
      </c>
      <c r="BZ45" s="795">
        <f>IF(OR($C$83=$AR45,$D$83=$AR45),Schweine_Werte!$O45*0.5,IF(OR($C$83&gt;$AR45,$D$83&lt;$AR45),0,Schweine_Werte!$O45))</f>
        <v>0</v>
      </c>
      <c r="CA45" s="797">
        <f>IF(OR($C$92=$AR45,$D$92=$AR45),Schweine_Werte!$O45*0.5,IF(OR($C$92&gt;$AR45,$D$92&lt;$AR45),0,Schweine_Werte!$O45))</f>
        <v>0</v>
      </c>
      <c r="CB45" s="797">
        <f>IF(OR($C$101=$AR45,$D$101=$AR45),Schweine_Werte!$O45*0.5,IF(OR($C$101&gt;$AR45,$D$101&lt;$AR45),0,Schweine_Werte!$O45))</f>
        <v>0</v>
      </c>
      <c r="CC45" s="797">
        <f>IF(OR($C$110=$AR45,$D$110=$AR45),Schweine_Werte!$O45*0.5,IF(OR($C$110&gt;$AR45,$D$110&lt;$AR45),0,Schweine_Werte!$O45))</f>
        <v>0</v>
      </c>
    </row>
    <row r="46" spans="1:81" ht="15.6" x14ac:dyDescent="0.3">
      <c r="F46" s="357"/>
      <c r="G46" s="1626" t="s">
        <v>7713</v>
      </c>
      <c r="H46" s="1627"/>
      <c r="I46" s="1628"/>
      <c r="J46" s="1039" t="s">
        <v>596</v>
      </c>
      <c r="K46" s="1039" t="s">
        <v>226</v>
      </c>
      <c r="L46" s="1621" t="s">
        <v>7714</v>
      </c>
      <c r="M46" s="1622"/>
      <c r="N46" s="1623"/>
      <c r="O46" s="1621" t="s">
        <v>7715</v>
      </c>
      <c r="P46" s="1623"/>
      <c r="Q46" s="1621" t="s">
        <v>7770</v>
      </c>
      <c r="R46" s="1622"/>
      <c r="S46" s="1623"/>
      <c r="T46" s="1621" t="s">
        <v>7716</v>
      </c>
      <c r="U46" s="1622"/>
      <c r="V46" s="1623"/>
      <c r="W46" s="1621" t="s">
        <v>7798</v>
      </c>
      <c r="X46" s="1622"/>
      <c r="Y46" s="1623"/>
      <c r="Z46" s="1632" t="s">
        <v>7799</v>
      </c>
      <c r="AA46" s="1633"/>
      <c r="AB46" s="1632" t="s">
        <v>7800</v>
      </c>
      <c r="AC46" s="1633"/>
      <c r="AD46" s="1632" t="s">
        <v>7801</v>
      </c>
      <c r="AE46" s="1633"/>
      <c r="AF46" s="1040" t="s">
        <v>7910</v>
      </c>
      <c r="AG46" s="1624" t="s">
        <v>7804</v>
      </c>
      <c r="AH46" s="1625"/>
      <c r="AI46" s="1148" t="s">
        <v>7911</v>
      </c>
      <c r="AJ46" s="1632" t="s">
        <v>7799</v>
      </c>
      <c r="AK46" s="1633"/>
      <c r="AL46" s="1632" t="s">
        <v>7800</v>
      </c>
      <c r="AM46" s="1633"/>
      <c r="AN46" s="1632" t="s">
        <v>7801</v>
      </c>
      <c r="AO46" s="1633"/>
      <c r="AR46" s="806">
        <v>50</v>
      </c>
      <c r="AS46" s="795">
        <f>IF(OR($C$12=$AR46,$D$12=$AR46),Schweine_Werte!$C46*0.5,IF(OR($C$12&gt;$AR46,$D$12&lt;$AR46),0,Schweine_Werte!$C46))</f>
        <v>0</v>
      </c>
      <c r="AT46" s="730">
        <f>IF(OR($C$24=$AR46,$D$24=$AR46),Schweine_Werte!$C46*0.5,IF(OR($C$24&gt;$AR46,$D$24&lt;$AR46),0,Schweine_Werte!$C46))</f>
        <v>0</v>
      </c>
      <c r="AU46" s="795">
        <f>IF(OR($C$36=$AR46,$D$36=$AR46),Schweine_Werte!$C46*0.5,IF(OR($C$36&gt;$AR46,$D$36&lt;$AR46),0,Schweine_Werte!$C46))</f>
        <v>0</v>
      </c>
      <c r="AV46" s="795">
        <f>IF(OR($C$48=$AR46,$D$48=$AR46),Schweine_Werte!$C46*0.5,IF(OR($C$48&gt;$AR46,$D$48&lt;$AR46),0,Schweine_Werte!$C46))</f>
        <v>0</v>
      </c>
      <c r="AW46" s="795">
        <f>IF(OR($C$60=$AR46,$D$60=$AR46),Schweine_Werte!$C46*0.5,IF(OR($C$60&gt;$AR46,$D$60&lt;$AR46),0,Schweine_Werte!$C46))</f>
        <v>0</v>
      </c>
      <c r="AX46" s="795">
        <f>IF(OR($C$12=$AR46,$D$12=$AR46),Schweine_Werte!$E46*0.5,IF(OR($C$12&gt;$AR46,$D$12&lt;$AR46),0,Schweine_Werte!$E46))</f>
        <v>0</v>
      </c>
      <c r="AY46" s="730">
        <f>IF(OR($C$24=$AR46,$D$24=$AR46),Schweine_Werte!$E46*0.5,IF(OR($C$24&gt;$AR46,$D$24&lt;$AR46),0,Schweine_Werte!$E46))</f>
        <v>0</v>
      </c>
      <c r="AZ46" s="730">
        <f>IF(OR($C$36=$AR46,$D$36=$AR46),Schweine_Werte!$E46*0.5,IF(OR($C$36&gt;$AR46,$D$36&lt;$AR46),0,Schweine_Werte!$E46))</f>
        <v>0</v>
      </c>
      <c r="BA46" s="730">
        <f>IF(OR($C$48=$AR46,$D$48=$AR46),Schweine_Werte!$E46*0.5,IF(OR($C$48&gt;$AR46,$D$48&lt;$AR46),0,Schweine_Werte!$E46))</f>
        <v>0</v>
      </c>
      <c r="BB46" s="730">
        <f>IF(OR($C$60=$AR46,$D$60=$AR46),Schweine_Werte!$E46*0.5,IF(OR($C$60&gt;$AR46,$D$60&lt;$AR46),0,Schweine_Werte!$E46))</f>
        <v>0</v>
      </c>
      <c r="BC46" s="795">
        <f>IF(OR($C$12=$AR46,$D$12=$AR46),Schweine_Werte!$G46*0.5,IF(OR($C$12&gt;$AR46,$D$12&lt;$AR46),0,Schweine_Werte!$G46))</f>
        <v>0</v>
      </c>
      <c r="BD46" s="730">
        <f>IF(OR($C$24=$AR46,$D$24=$AR46),Schweine_Werte!$G46*0.5,IF(OR($C$24&gt;$AR46,$D$24&lt;$AR46),0,Schweine_Werte!$G46))</f>
        <v>0</v>
      </c>
      <c r="BE46" s="730">
        <f>IF(OR($C$36=$AR46,$D$36=$AR46),Schweine_Werte!$G46*0.5,IF(OR($C$36&gt;$AR46,$D$36&lt;$AR46),0,Schweine_Werte!$G46))</f>
        <v>0</v>
      </c>
      <c r="BF46" s="730">
        <f>IF(OR($C$48=$AR46,$D$48=$AR46),Schweine_Werte!$G46*0.5,IF(OR($C$48&gt;$AR46,$D$48&lt;$AR46),0,Schweine_Werte!$G46))</f>
        <v>0</v>
      </c>
      <c r="BG46" s="730">
        <f>IF(OR($C$60=$AR46,$D$60=$AR46),Schweine_Werte!$G46*0.5,IF(OR($C$60&gt;$AR46,$D$60&lt;$AR46),0,Schweine_Werte!$G46))</f>
        <v>0</v>
      </c>
      <c r="BH46" s="795">
        <f>IF(OR($C$12=$AR46,$D$12=$AR46),Schweine_Werte!$I46*0.5,IF(OR($C$12&gt;$AR46,$D$12&lt;$AR46),0,Schweine_Werte!$I46))</f>
        <v>0</v>
      </c>
      <c r="BI46" s="730">
        <f>IF(OR($C$24=$AR46,$D$24=$AR46),Schweine_Werte!$I46*0.5,IF(OR($C$24&gt;$AR46,$D$24&lt;$AR46),0,Schweine_Werte!$I46))</f>
        <v>0</v>
      </c>
      <c r="BJ46" s="730">
        <f>IF(OR($C$36=$AR46,$D$36=$AR46),Schweine_Werte!$I46*0.5,IF(OR($C$36&gt;$AR46,$D$36&lt;$AR46),0,Schweine_Werte!$I46))</f>
        <v>0</v>
      </c>
      <c r="BK46" s="730">
        <f>IF(OR($C$48=$AR46,$D$48=$AR46),Schweine_Werte!$I46*0.5,IF(OR($C$48&gt;$AR46,$D$48&lt;$AR46),0,Schweine_Werte!$I46))</f>
        <v>0</v>
      </c>
      <c r="BL46" s="730">
        <f>IF(OR($C$60=$AR46,$D$60=$AR46),Schweine_Werte!$I46*0.5,IF(OR($C$60&gt;$AR46,$D$60&lt;$AR46),0,Schweine_Werte!$I46))</f>
        <v>0</v>
      </c>
      <c r="BM46" s="795"/>
      <c r="BN46" s="730"/>
      <c r="BO46" s="730"/>
      <c r="BP46" s="730"/>
      <c r="BQ46" s="730"/>
      <c r="BR46" s="795">
        <f>IF(OR($C$74=$AR46,$D$74=$AR46),Schweine_Werte!$M46*0.5,IF(OR($C$74&gt;$AR46,$D$74&lt;$AR46),0,Schweine_Werte!$M46))</f>
        <v>0</v>
      </c>
      <c r="BS46" s="795">
        <f>IF(OR($C$83=$AR46,$D$83=$AR46),Schweine_Werte!$M46*0.5,IF(OR($C$83&gt;$AR46,$D$83&lt;$AR46),0,Schweine_Werte!$M46))</f>
        <v>0</v>
      </c>
      <c r="BT46" s="797">
        <f>IF(OR($C$92=$AR46,$D$92=$AR46),Schweine_Werte!$M46*0.5,IF(OR($C$92&gt;$AR46,$D$92&lt;$AR46),0,Schweine_Werte!$M46))</f>
        <v>0</v>
      </c>
      <c r="BU46" s="797">
        <f>IF(OR($C$101=$AR46,$D$101=$AR46),Schweine_Werte!$M46*0.5,IF(OR($C$101&gt;$AR46,$D$101&lt;$AR46),0,Schweine_Werte!$M46))</f>
        <v>0</v>
      </c>
      <c r="BV46" s="797">
        <f>IF(OR($C$110=$AR46,$D$110=$AR46),Schweine_Werte!$M46*0.5,IF(OR($C$110&gt;$AR46,$D$110&lt;$AR46),0,Schweine_Werte!$M46))</f>
        <v>0</v>
      </c>
      <c r="BW46" s="797">
        <f>IF(OR(8=$AR46,$E$127=$AR46),Schweine_Werte!$M46*0.5,IF(OR(8&gt;$AR46,$E$127&lt;$AR46),0,Schweine_Werte!$M46))</f>
        <v>1.204199205490788</v>
      </c>
      <c r="BX46" s="797">
        <f>IF(OR(8=$AR46,$E$145=$AR46),Schweine_Werte!$M46*0.5,IF(OR(8&gt;$AR46,$E$145&lt;$AR46),0,Schweine_Werte!$M46))</f>
        <v>1.204199205490788</v>
      </c>
      <c r="BY46" s="795">
        <f>IF(OR($C$74=$AR46,$D$74=$AR46),Schweine_Werte!$O46*0.5,IF(OR($C$74&gt;$AR46,$D$74&lt;$AR46),0,Schweine_Werte!$O46))</f>
        <v>0</v>
      </c>
      <c r="BZ46" s="795">
        <f>IF(OR($C$83=$AR46,$D$83=$AR46),Schweine_Werte!$O46*0.5,IF(OR($C$83&gt;$AR46,$D$83&lt;$AR46),0,Schweine_Werte!$O46))</f>
        <v>0</v>
      </c>
      <c r="CA46" s="797">
        <f>IF(OR($C$92=$AR46,$D$92=$AR46),Schweine_Werte!$O46*0.5,IF(OR($C$92&gt;$AR46,$D$92&lt;$AR46),0,Schweine_Werte!$O46))</f>
        <v>0</v>
      </c>
      <c r="CB46" s="797">
        <f>IF(OR($C$101=$AR46,$D$101=$AR46),Schweine_Werte!$O46*0.5,IF(OR($C$101&gt;$AR46,$D$101&lt;$AR46),0,Schweine_Werte!$O46))</f>
        <v>0</v>
      </c>
      <c r="CC46" s="797">
        <f>IF(OR($C$110=$AR46,$D$110=$AR46),Schweine_Werte!$O46*0.5,IF(OR($C$110&gt;$AR46,$D$110&lt;$AR46),0,Schweine_Werte!$O46))</f>
        <v>0</v>
      </c>
    </row>
    <row r="47" spans="1:81" ht="18" x14ac:dyDescent="0.25">
      <c r="B47" s="800" t="s">
        <v>7717</v>
      </c>
      <c r="C47" s="801" t="s">
        <v>7657</v>
      </c>
      <c r="D47" s="801" t="s">
        <v>7718</v>
      </c>
      <c r="E47" s="801" t="s">
        <v>7659</v>
      </c>
      <c r="F47" s="747" t="s">
        <v>196</v>
      </c>
      <c r="G47" s="675" t="s">
        <v>4</v>
      </c>
      <c r="H47" s="675" t="s">
        <v>7719</v>
      </c>
      <c r="I47" s="675" t="s">
        <v>7720</v>
      </c>
      <c r="J47" s="676" t="s">
        <v>7721</v>
      </c>
      <c r="K47" s="676" t="s">
        <v>7721</v>
      </c>
      <c r="L47" s="677" t="s">
        <v>39</v>
      </c>
      <c r="M47" s="677" t="s">
        <v>7722</v>
      </c>
      <c r="N47" s="677" t="s">
        <v>41</v>
      </c>
      <c r="O47" s="678" t="s">
        <v>0</v>
      </c>
      <c r="P47" s="678" t="s">
        <v>8</v>
      </c>
      <c r="Q47" s="677" t="s">
        <v>39</v>
      </c>
      <c r="R47" s="677" t="s">
        <v>40</v>
      </c>
      <c r="S47" s="677" t="s">
        <v>41</v>
      </c>
      <c r="T47" s="677" t="s">
        <v>39</v>
      </c>
      <c r="U47" s="677" t="s">
        <v>40</v>
      </c>
      <c r="V47" s="677" t="s">
        <v>41</v>
      </c>
      <c r="W47" s="676" t="s">
        <v>7696</v>
      </c>
      <c r="X47" s="676" t="s">
        <v>7697</v>
      </c>
      <c r="Y47" s="676" t="s">
        <v>7698</v>
      </c>
      <c r="Z47" s="802" t="s">
        <v>7802</v>
      </c>
      <c r="AA47" s="802" t="s">
        <v>7803</v>
      </c>
      <c r="AB47" s="802" t="s">
        <v>7802</v>
      </c>
      <c r="AC47" s="802" t="s">
        <v>7803</v>
      </c>
      <c r="AD47" s="802" t="s">
        <v>7802</v>
      </c>
      <c r="AE47" s="802" t="s">
        <v>7803</v>
      </c>
      <c r="AF47" s="802" t="s">
        <v>7912</v>
      </c>
      <c r="AG47" s="1049" t="s">
        <v>7913</v>
      </c>
      <c r="AH47" s="802" t="s">
        <v>7914</v>
      </c>
      <c r="AI47" s="802"/>
      <c r="AJ47" s="802" t="s">
        <v>7778</v>
      </c>
      <c r="AK47" s="802" t="s">
        <v>7805</v>
      </c>
      <c r="AL47" s="802" t="s">
        <v>7806</v>
      </c>
      <c r="AM47" s="802" t="s">
        <v>7807</v>
      </c>
      <c r="AN47" s="802" t="s">
        <v>7806</v>
      </c>
      <c r="AO47" s="802" t="s">
        <v>7808</v>
      </c>
      <c r="AR47" s="806">
        <v>51</v>
      </c>
      <c r="AS47" s="795">
        <f>IF(OR($C$12=$AR47,$D$12=$AR47),Schweine_Werte!$C47*0.5,IF(OR($C$12&gt;$AR47,$D$12&lt;$AR47),0,Schweine_Werte!$C47))</f>
        <v>0</v>
      </c>
      <c r="AT47" s="730">
        <f>IF(OR($C$24=$AR47,$D$24=$AR47),Schweine_Werte!$C47*0.5,IF(OR($C$24&gt;$AR47,$D$24&lt;$AR47),0,Schweine_Werte!$C47))</f>
        <v>0</v>
      </c>
      <c r="AU47" s="795">
        <f>IF(OR($C$36=$AR47,$D$36=$AR47),Schweine_Werte!$C47*0.5,IF(OR($C$36&gt;$AR47,$D$36&lt;$AR47),0,Schweine_Werte!$C47))</f>
        <v>0</v>
      </c>
      <c r="AV47" s="795">
        <f>IF(OR($C$48=$AR47,$D$48=$AR47),Schweine_Werte!$C47*0.5,IF(OR($C$48&gt;$AR47,$D$48&lt;$AR47),0,Schweine_Werte!$C47))</f>
        <v>0</v>
      </c>
      <c r="AW47" s="795">
        <f>IF(OR($C$60=$AR47,$D$60=$AR47),Schweine_Werte!$C47*0.5,IF(OR($C$60&gt;$AR47,$D$60&lt;$AR47),0,Schweine_Werte!$C47))</f>
        <v>0</v>
      </c>
      <c r="AX47" s="795">
        <f>IF(OR($C$12=$AR47,$D$12=$AR47),Schweine_Werte!$E47*0.5,IF(OR($C$12&gt;$AR47,$D$12&lt;$AR47),0,Schweine_Werte!$E47))</f>
        <v>0</v>
      </c>
      <c r="AY47" s="730">
        <f>IF(OR($C$24=$AR47,$D$24=$AR47),Schweine_Werte!$E47*0.5,IF(OR($C$24&gt;$AR47,$D$24&lt;$AR47),0,Schweine_Werte!$E47))</f>
        <v>0</v>
      </c>
      <c r="AZ47" s="730">
        <f>IF(OR($C$36=$AR47,$D$36=$AR47),Schweine_Werte!$E47*0.5,IF(OR($C$36&gt;$AR47,$D$36&lt;$AR47),0,Schweine_Werte!$E47))</f>
        <v>0</v>
      </c>
      <c r="BA47" s="730">
        <f>IF(OR($C$48=$AR47,$D$48=$AR47),Schweine_Werte!$E47*0.5,IF(OR($C$48&gt;$AR47,$D$48&lt;$AR47),0,Schweine_Werte!$E47))</f>
        <v>0</v>
      </c>
      <c r="BB47" s="730">
        <f>IF(OR($C$60=$AR47,$D$60=$AR47),Schweine_Werte!$E47*0.5,IF(OR($C$60&gt;$AR47,$D$60&lt;$AR47),0,Schweine_Werte!$E47))</f>
        <v>0</v>
      </c>
      <c r="BC47" s="795">
        <f>IF(OR($C$12=$AR47,$D$12=$AR47),Schweine_Werte!$G47*0.5,IF(OR($C$12&gt;$AR47,$D$12&lt;$AR47),0,Schweine_Werte!$G47))</f>
        <v>0</v>
      </c>
      <c r="BD47" s="730">
        <f>IF(OR($C$24=$AR47,$D$24=$AR47),Schweine_Werte!$G47*0.5,IF(OR($C$24&gt;$AR47,$D$24&lt;$AR47),0,Schweine_Werte!$G47))</f>
        <v>0</v>
      </c>
      <c r="BE47" s="730">
        <f>IF(OR($C$36=$AR47,$D$36=$AR47),Schweine_Werte!$G47*0.5,IF(OR($C$36&gt;$AR47,$D$36&lt;$AR47),0,Schweine_Werte!$G47))</f>
        <v>0</v>
      </c>
      <c r="BF47" s="730">
        <f>IF(OR($C$48=$AR47,$D$48=$AR47),Schweine_Werte!$G47*0.5,IF(OR($C$48&gt;$AR47,$D$48&lt;$AR47),0,Schweine_Werte!$G47))</f>
        <v>0</v>
      </c>
      <c r="BG47" s="730">
        <f>IF(OR($C$60=$AR47,$D$60=$AR47),Schweine_Werte!$G47*0.5,IF(OR($C$60&gt;$AR47,$D$60&lt;$AR47),0,Schweine_Werte!$G47))</f>
        <v>0</v>
      </c>
      <c r="BH47" s="795">
        <f>IF(OR($C$12=$AR47,$D$12=$AR47),Schweine_Werte!$I47*0.5,IF(OR($C$12&gt;$AR47,$D$12&lt;$AR47),0,Schweine_Werte!$I47))</f>
        <v>0</v>
      </c>
      <c r="BI47" s="730">
        <f>IF(OR($C$24=$AR47,$D$24=$AR47),Schweine_Werte!$I47*0.5,IF(OR($C$24&gt;$AR47,$D$24&lt;$AR47),0,Schweine_Werte!$I47))</f>
        <v>0</v>
      </c>
      <c r="BJ47" s="730">
        <f>IF(OR($C$36=$AR47,$D$36=$AR47),Schweine_Werte!$I47*0.5,IF(OR($C$36&gt;$AR47,$D$36&lt;$AR47),0,Schweine_Werte!$I47))</f>
        <v>0</v>
      </c>
      <c r="BK47" s="730">
        <f>IF(OR($C$48=$AR47,$D$48=$AR47),Schweine_Werte!$I47*0.5,IF(OR($C$48&gt;$AR47,$D$48&lt;$AR47),0,Schweine_Werte!$I47))</f>
        <v>0</v>
      </c>
      <c r="BL47" s="730">
        <f>IF(OR($C$60=$AR47,$D$60=$AR47),Schweine_Werte!$I47*0.5,IF(OR($C$60&gt;$AR47,$D$60&lt;$AR47),0,Schweine_Werte!$I47))</f>
        <v>0</v>
      </c>
      <c r="BM47" s="795"/>
      <c r="BN47" s="730"/>
      <c r="BO47" s="730"/>
      <c r="BP47" s="730"/>
      <c r="BQ47" s="730"/>
      <c r="BR47" s="795">
        <f>IF(OR($C$74=$AR47,$D$74=$AR47),Schweine_Werte!$M47*0.5,IF(OR($C$74&gt;$AR47,$D$74&lt;$AR47),0,Schweine_Werte!$M47))</f>
        <v>0</v>
      </c>
      <c r="BS47" s="795">
        <f>IF(OR($C$83=$AR47,$D$83=$AR47),Schweine_Werte!$M47*0.5,IF(OR($C$83&gt;$AR47,$D$83&lt;$AR47),0,Schweine_Werte!$M47))</f>
        <v>0</v>
      </c>
      <c r="BT47" s="797">
        <f>IF(OR($C$92=$AR47,$D$92=$AR47),Schweine_Werte!$M47*0.5,IF(OR($C$92&gt;$AR47,$D$92&lt;$AR47),0,Schweine_Werte!$M47))</f>
        <v>0</v>
      </c>
      <c r="BU47" s="797">
        <f>IF(OR($C$101=$AR47,$D$101=$AR47),Schweine_Werte!$M47*0.5,IF(OR($C$101&gt;$AR47,$D$101&lt;$AR47),0,Schweine_Werte!$M47))</f>
        <v>0</v>
      </c>
      <c r="BV47" s="797">
        <f>IF(OR($C$110=$AR47,$D$110=$AR47),Schweine_Werte!$M47*0.5,IF(OR($C$110&gt;$AR47,$D$110&lt;$AR47),0,Schweine_Werte!$M47))</f>
        <v>0</v>
      </c>
      <c r="BW47" s="797">
        <f>IF(OR(8=$AR47,$E$127=$AR47),Schweine_Werte!$M47*0.5,IF(OR(8&gt;$AR47,$E$127&lt;$AR47),0,Schweine_Werte!$M47))</f>
        <v>1.1948386166644513</v>
      </c>
      <c r="BX47" s="797">
        <f>IF(OR(8=$AR47,$E$145=$AR47),Schweine_Werte!$M47*0.5,IF(OR(8&gt;$AR47,$E$145&lt;$AR47),0,Schweine_Werte!$M47))</f>
        <v>1.1948386166644513</v>
      </c>
      <c r="BY47" s="795">
        <f>IF(OR($C$74=$AR47,$D$74=$AR47),Schweine_Werte!$O47*0.5,IF(OR($C$74&gt;$AR47,$D$74&lt;$AR47),0,Schweine_Werte!$O47))</f>
        <v>0</v>
      </c>
      <c r="BZ47" s="795">
        <f>IF(OR($C$83=$AR47,$D$83=$AR47),Schweine_Werte!$O47*0.5,IF(OR($C$83&gt;$AR47,$D$83&lt;$AR47),0,Schweine_Werte!$O47))</f>
        <v>0</v>
      </c>
      <c r="CA47" s="797">
        <f>IF(OR($C$92=$AR47,$D$92=$AR47),Schweine_Werte!$O47*0.5,IF(OR($C$92&gt;$AR47,$D$92&lt;$AR47),0,Schweine_Werte!$O47))</f>
        <v>0</v>
      </c>
      <c r="CB47" s="797">
        <f>IF(OR($C$101=$AR47,$D$101=$AR47),Schweine_Werte!$O47*0.5,IF(OR($C$101&gt;$AR47,$D$101&lt;$AR47),0,Schweine_Werte!$O47))</f>
        <v>0</v>
      </c>
      <c r="CC47" s="797">
        <f>IF(OR($C$110=$AR47,$D$110=$AR47),Schweine_Werte!$O47*0.5,IF(OR($C$110&gt;$AR47,$D$110&lt;$AR47),0,Schweine_Werte!$O47))</f>
        <v>0</v>
      </c>
    </row>
    <row r="48" spans="1:81" ht="15.6" x14ac:dyDescent="0.25">
      <c r="A48" t="s">
        <v>7789</v>
      </c>
      <c r="B48" s="770" t="str">
        <f>IF('Abweichende Werte'!W8=1,'Abweichende Werte'!F8,"")</f>
        <v/>
      </c>
      <c r="C48" s="679" t="str">
        <f>IF('Abweichende Werte'!W8=1,'Abweichende Werte'!J8,"")</f>
        <v/>
      </c>
      <c r="D48" s="679" t="str">
        <f>IF('Abweichende Werte'!W8=1,'Abweichende Werte'!M8,"")</f>
        <v/>
      </c>
      <c r="E48" s="815" t="str">
        <f>IF('Abweichende Werte'!W8=1,'Abweichende Werte'!P8,"")</f>
        <v/>
      </c>
      <c r="F48" s="803" t="e">
        <f>IF($E48&lt;=$E41,F41,IF(AND($E48&gt;$E41,$E48&lt;=$E42),F41+(F42-F41)/($E42-$E41)*($E48-$E41),IF(AND($E48&gt;$E42,$E48&lt;=$E43),F42+(F43-F42)/($E43-$E42)*($E48-$E42),IF(AND($E48&gt;$E43,$E48&lt;=$E44),F43+(F44-F43)/($E44-$E43)*($E48-$E43),IF($E48&gt;$E44,F44)))))</f>
        <v>#VALUE!</v>
      </c>
      <c r="G48" s="803" t="e">
        <f t="shared" ref="G48:N48" si="25">IF($E48&lt;=$E41,G41,IF(AND($E48&gt;$E41,$E48&lt;=$E42),G41+(G42-G41)/($E42-$E41)*($E48-$E41),IF(AND($E48&gt;$E42,$E48&lt;=$E43),G42+(G43-G42)/($E43-$E42)*($E48-$E42),IF(AND($E48&gt;$E43,$E48&lt;=$E44),G43+(G44-G43)/($E44-$E43)*($E48-$E43),IF($E48&gt;$E44,G44)))))</f>
        <v>#VALUE!</v>
      </c>
      <c r="H48" s="803" t="e">
        <f t="shared" si="25"/>
        <v>#VALUE!</v>
      </c>
      <c r="I48" s="803" t="e">
        <f t="shared" si="25"/>
        <v>#VALUE!</v>
      </c>
      <c r="J48" s="803" t="e">
        <f t="shared" si="25"/>
        <v>#VALUE!</v>
      </c>
      <c r="K48" s="803" t="e">
        <f t="shared" si="25"/>
        <v>#VALUE!</v>
      </c>
      <c r="L48" s="803" t="e">
        <f t="shared" si="25"/>
        <v>#VALUE!</v>
      </c>
      <c r="M48" s="803" t="e">
        <f t="shared" si="25"/>
        <v>#VALUE!</v>
      </c>
      <c r="N48" s="803" t="e">
        <f t="shared" si="25"/>
        <v>#VALUE!</v>
      </c>
      <c r="O48" s="804">
        <v>5.5</v>
      </c>
      <c r="P48" s="804">
        <v>1.8</v>
      </c>
      <c r="Q48" s="803" t="e">
        <f t="shared" ref="Q48:Z48" si="26">IF($E48&lt;=$E41,Q41,IF(AND($E48&gt;$E41,$E48&lt;=$E42),Q41+(Q42-Q41)/($E42-$E41)*($E48-$E41),IF(AND($E48&gt;$E42,$E48&lt;=$E43),Q42+(Q43-Q42)/($E43-$E42)*($E48-$E42),IF(AND($E48&gt;$E43,$E48&lt;=$E44),Q43+(Q44-Q43)/($E44-$E43)*($E48-$E43),IF($E48&gt;$E44,Q44)))))</f>
        <v>#VALUE!</v>
      </c>
      <c r="R48" s="803" t="e">
        <f t="shared" si="26"/>
        <v>#VALUE!</v>
      </c>
      <c r="S48" s="803" t="e">
        <f t="shared" si="26"/>
        <v>#VALUE!</v>
      </c>
      <c r="T48" s="803" t="e">
        <f t="shared" si="26"/>
        <v>#VALUE!</v>
      </c>
      <c r="U48" s="803" t="e">
        <f t="shared" si="26"/>
        <v>#VALUE!</v>
      </c>
      <c r="V48" s="803" t="e">
        <f t="shared" si="26"/>
        <v>#VALUE!</v>
      </c>
      <c r="W48" s="803" t="e">
        <f t="shared" si="26"/>
        <v>#VALUE!</v>
      </c>
      <c r="X48" s="803" t="e">
        <f t="shared" si="26"/>
        <v>#VALUE!</v>
      </c>
      <c r="Y48" s="803" t="e">
        <f t="shared" si="26"/>
        <v>#VALUE!</v>
      </c>
      <c r="Z48" s="803" t="e">
        <f t="shared" si="26"/>
        <v>#VALUE!</v>
      </c>
      <c r="AA48" s="805" t="e">
        <f>+Z48*6.25</f>
        <v>#VALUE!</v>
      </c>
      <c r="AB48" s="803" t="e">
        <f t="shared" ref="AB48" si="27">IF($E48&lt;=$E41,AB41,IF(AND($E48&gt;$E41,$E48&lt;=$E42),AB41+(AB42-AB41)/($E42-$E41)*($E48-$E41),IF(AND($E48&gt;$E42,$E48&lt;=$E43),AB42+(AB43-AB42)/($E43-$E42)*($E48-$E42),IF(AND($E48&gt;$E43,$E48&lt;=$E44),AB43+(AB44-AB43)/($E44-$E43)*($E48-$E43),IF($E48&gt;$E44,AB44)))))</f>
        <v>#VALUE!</v>
      </c>
      <c r="AC48" s="805" t="e">
        <f>+AB48*6.25</f>
        <v>#VALUE!</v>
      </c>
      <c r="AD48" s="803" t="e">
        <f t="shared" ref="AD48" si="28">IF($E48&lt;=$E41,AD41,IF(AND($E48&gt;$E41,$E48&lt;=$E42),AD41+(AD42-AD41)/($E42-$E41)*($E48-$E41),IF(AND($E48&gt;$E42,$E48&lt;=$E43),AD42+(AD43-AD42)/($E43-$E42)*($E48-$E42),IF(AND($E48&gt;$E43,$E48&lt;=$E44),AD43+(AD44-AD43)/($E44-$E43)*($E48-$E43),IF($E48&gt;$E44,AD44)))))</f>
        <v>#VALUE!</v>
      </c>
      <c r="AE48" s="805" t="e">
        <f>+AD48*6.25</f>
        <v>#VALUE!</v>
      </c>
      <c r="AF48" s="805" t="e">
        <f>365/((D48-C48)/E48*1000)</f>
        <v>#VALUE!</v>
      </c>
      <c r="AG48" s="803" t="e">
        <f>IF($E48&lt;=$E41,AG41,IF(AND($E48&gt;$E41,$E48&lt;=$E42),AG41+(AG42-AG41)/($E42-$E41)*($E48-$E41),IF(AND($E48&gt;$E42,$E48&lt;=$E43),AG42+(AG43-AG42)/($E43-$E42)*($E48-$E42),IF(AND($E48&gt;$E43,$E48&lt;=$E44),AG43+(AG44-AG43)/($E44-$E43)*($E48-$E43),IF($E48&gt;$E44,AG44)))))</f>
        <v>#VALUE!</v>
      </c>
      <c r="AH48" s="805" t="e">
        <f>+AG48/AF48</f>
        <v>#VALUE!</v>
      </c>
      <c r="AI48" s="805" t="e">
        <f>+CONCATENATE(ROUND(AH48/(D48-C48),1)," : 1")</f>
        <v>#VALUE!</v>
      </c>
      <c r="AJ48" s="803" t="e">
        <f t="shared" ref="AJ48" si="29">IF($E48&lt;=$E41,AJ41,IF(AND($E48&gt;$E41,$E48&lt;=$E42),AJ41+(AJ42-AJ41)/($E42-$E41)*($E48-$E41),IF(AND($E48&gt;$E42,$E48&lt;=$E43),AJ42+(AJ43-AJ42)/($E43-$E42)*($E48-$E42),IF(AND($E48&gt;$E43,$E48&lt;=$E44),AJ43+(AJ44-AJ43)/($E44-$E43)*($E48-$E43),IF($E48&gt;$E44,AJ44)))))</f>
        <v>#VALUE!</v>
      </c>
      <c r="AK48" s="805" t="e">
        <f>+AJ48/2.291</f>
        <v>#VALUE!</v>
      </c>
      <c r="AL48" s="803" t="e">
        <f t="shared" ref="AL48" si="30">IF($E48&lt;=$E41,AL41,IF(AND($E48&gt;$E41,$E48&lt;=$E42),AL41+(AL42-AL41)/($E42-$E41)*($E48-$E41),IF(AND($E48&gt;$E42,$E48&lt;=$E43),AL42+(AL43-AL42)/($E43-$E42)*($E48-$E42),IF(AND($E48&gt;$E43,$E48&lt;=$E44),AL43+(AL44-AL43)/($E44-$E43)*($E48-$E43),IF($E48&gt;$E44,AL44)))))</f>
        <v>#VALUE!</v>
      </c>
      <c r="AM48" s="805" t="e">
        <f>+AL48/2.291</f>
        <v>#VALUE!</v>
      </c>
      <c r="AN48" s="803" t="e">
        <f t="shared" ref="AN48" si="31">IF($E48&lt;=$E41,AN41,IF(AND($E48&gt;$E41,$E48&lt;=$E42),AN41+(AN42-AN41)/($E42-$E41)*($E48-$E41),IF(AND($E48&gt;$E42,$E48&lt;=$E43),AN42+(AN43-AN42)/($E43-$E42)*($E48-$E42),IF(AND($E48&gt;$E43,$E48&lt;=$E44),AN43+(AN44-AN43)/($E44-$E43)*($E48-$E43),IF($E48&gt;$E44,AN44)))))</f>
        <v>#VALUE!</v>
      </c>
      <c r="AO48" s="805" t="e">
        <f>+AN48/2.291</f>
        <v>#VALUE!</v>
      </c>
      <c r="AR48" s="806">
        <v>52</v>
      </c>
      <c r="AS48" s="795">
        <f>IF(OR($C$12=$AR48,$D$12=$AR48),Schweine_Werte!$C48*0.5,IF(OR($C$12&gt;$AR48,$D$12&lt;$AR48),0,Schweine_Werte!$C48))</f>
        <v>0</v>
      </c>
      <c r="AT48" s="730">
        <f>IF(OR($C$24=$AR48,$D$24=$AR48),Schweine_Werte!$C48*0.5,IF(OR($C$24&gt;$AR48,$D$24&lt;$AR48),0,Schweine_Werte!$C48))</f>
        <v>0</v>
      </c>
      <c r="AU48" s="795">
        <f>IF(OR($C$36=$AR48,$D$36=$AR48),Schweine_Werte!$C48*0.5,IF(OR($C$36&gt;$AR48,$D$36&lt;$AR48),0,Schweine_Werte!$C48))</f>
        <v>0</v>
      </c>
      <c r="AV48" s="795">
        <f>IF(OR($C$48=$AR48,$D$48=$AR48),Schweine_Werte!$C48*0.5,IF(OR($C$48&gt;$AR48,$D$48&lt;$AR48),0,Schweine_Werte!$C48))</f>
        <v>0</v>
      </c>
      <c r="AW48" s="795">
        <f>IF(OR($C$60=$AR48,$D$60=$AR48),Schweine_Werte!$C48*0.5,IF(OR($C$60&gt;$AR48,$D$60&lt;$AR48),0,Schweine_Werte!$C48))</f>
        <v>0</v>
      </c>
      <c r="AX48" s="795">
        <f>IF(OR($C$12=$AR48,$D$12=$AR48),Schweine_Werte!$E48*0.5,IF(OR($C$12&gt;$AR48,$D$12&lt;$AR48),0,Schweine_Werte!$E48))</f>
        <v>0</v>
      </c>
      <c r="AY48" s="730">
        <f>IF(OR($C$24=$AR48,$D$24=$AR48),Schweine_Werte!$E48*0.5,IF(OR($C$24&gt;$AR48,$D$24&lt;$AR48),0,Schweine_Werte!$E48))</f>
        <v>0</v>
      </c>
      <c r="AZ48" s="730">
        <f>IF(OR($C$36=$AR48,$D$36=$AR48),Schweine_Werte!$E48*0.5,IF(OR($C$36&gt;$AR48,$D$36&lt;$AR48),0,Schweine_Werte!$E48))</f>
        <v>0</v>
      </c>
      <c r="BA48" s="730">
        <f>IF(OR($C$48=$AR48,$D$48=$AR48),Schweine_Werte!$E48*0.5,IF(OR($C$48&gt;$AR48,$D$48&lt;$AR48),0,Schweine_Werte!$E48))</f>
        <v>0</v>
      </c>
      <c r="BB48" s="730">
        <f>IF(OR($C$60=$AR48,$D$60=$AR48),Schweine_Werte!$E48*0.5,IF(OR($C$60&gt;$AR48,$D$60&lt;$AR48),0,Schweine_Werte!$E48))</f>
        <v>0</v>
      </c>
      <c r="BC48" s="795">
        <f>IF(OR($C$12=$AR48,$D$12=$AR48),Schweine_Werte!$G48*0.5,IF(OR($C$12&gt;$AR48,$D$12&lt;$AR48),0,Schweine_Werte!$G48))</f>
        <v>0</v>
      </c>
      <c r="BD48" s="730">
        <f>IF(OR($C$24=$AR48,$D$24=$AR48),Schweine_Werte!$G48*0.5,IF(OR($C$24&gt;$AR48,$D$24&lt;$AR48),0,Schweine_Werte!$G48))</f>
        <v>0</v>
      </c>
      <c r="BE48" s="730">
        <f>IF(OR($C$36=$AR48,$D$36=$AR48),Schweine_Werte!$G48*0.5,IF(OR($C$36&gt;$AR48,$D$36&lt;$AR48),0,Schweine_Werte!$G48))</f>
        <v>0</v>
      </c>
      <c r="BF48" s="730">
        <f>IF(OR($C$48=$AR48,$D$48=$AR48),Schweine_Werte!$G48*0.5,IF(OR($C$48&gt;$AR48,$D$48&lt;$AR48),0,Schweine_Werte!$G48))</f>
        <v>0</v>
      </c>
      <c r="BG48" s="730">
        <f>IF(OR($C$60=$AR48,$D$60=$AR48),Schweine_Werte!$G48*0.5,IF(OR($C$60&gt;$AR48,$D$60&lt;$AR48),0,Schweine_Werte!$G48))</f>
        <v>0</v>
      </c>
      <c r="BH48" s="795">
        <f>IF(OR($C$12=$AR48,$D$12=$AR48),Schweine_Werte!$I48*0.5,IF(OR($C$12&gt;$AR48,$D$12&lt;$AR48),0,Schweine_Werte!$I48))</f>
        <v>0</v>
      </c>
      <c r="BI48" s="730">
        <f>IF(OR($C$24=$AR48,$D$24=$AR48),Schweine_Werte!$I48*0.5,IF(OR($C$24&gt;$AR48,$D$24&lt;$AR48),0,Schweine_Werte!$I48))</f>
        <v>0</v>
      </c>
      <c r="BJ48" s="730">
        <f>IF(OR($C$36=$AR48,$D$36=$AR48),Schweine_Werte!$I48*0.5,IF(OR($C$36&gt;$AR48,$D$36&lt;$AR48),0,Schweine_Werte!$I48))</f>
        <v>0</v>
      </c>
      <c r="BK48" s="730">
        <f>IF(OR($C$48=$AR48,$D$48=$AR48),Schweine_Werte!$I48*0.5,IF(OR($C$48&gt;$AR48,$D$48&lt;$AR48),0,Schweine_Werte!$I48))</f>
        <v>0</v>
      </c>
      <c r="BL48" s="730">
        <f>IF(OR($C$60=$AR48,$D$60=$AR48),Schweine_Werte!$I48*0.5,IF(OR($C$60&gt;$AR48,$D$60&lt;$AR48),0,Schweine_Werte!$I48))</f>
        <v>0</v>
      </c>
      <c r="BM48" s="795"/>
      <c r="BN48" s="730"/>
      <c r="BO48" s="730"/>
      <c r="BP48" s="730"/>
      <c r="BQ48" s="730"/>
      <c r="BR48" s="795">
        <f>IF(OR($C$74=$AR48,$D$74=$AR48),Schweine_Werte!$M48*0.5,IF(OR($C$74&gt;$AR48,$D$74&lt;$AR48),0,Schweine_Werte!$M48))</f>
        <v>0</v>
      </c>
      <c r="BS48" s="795">
        <f>IF(OR($C$83=$AR48,$D$83=$AR48),Schweine_Werte!$M48*0.5,IF(OR($C$83&gt;$AR48,$D$83&lt;$AR48),0,Schweine_Werte!$M48))</f>
        <v>0</v>
      </c>
      <c r="BT48" s="797">
        <f>IF(OR($C$92=$AR48,$D$92=$AR48),Schweine_Werte!$M48*0.5,IF(OR($C$92&gt;$AR48,$D$92&lt;$AR48),0,Schweine_Werte!$M48))</f>
        <v>0</v>
      </c>
      <c r="BU48" s="797">
        <f>IF(OR($C$101=$AR48,$D$101=$AR48),Schweine_Werte!$M48*0.5,IF(OR($C$101&gt;$AR48,$D$101&lt;$AR48),0,Schweine_Werte!$M48))</f>
        <v>0</v>
      </c>
      <c r="BV48" s="797">
        <f>IF(OR($C$110=$AR48,$D$110=$AR48),Schweine_Werte!$M48*0.5,IF(OR($C$110&gt;$AR48,$D$110&lt;$AR48),0,Schweine_Werte!$M48))</f>
        <v>0</v>
      </c>
      <c r="BW48" s="797">
        <f>IF(OR(8=$AR48,$E$127=$AR48),Schweine_Werte!$M48*0.5,IF(OR(8&gt;$AR48,$E$127&lt;$AR48),0,Schweine_Werte!$M48))</f>
        <v>1.1860362423184319</v>
      </c>
      <c r="BX48" s="797">
        <f>IF(OR(8=$AR48,$E$145=$AR48),Schweine_Werte!$M48*0.5,IF(OR(8&gt;$AR48,$E$145&lt;$AR48),0,Schweine_Werte!$M48))</f>
        <v>1.1860362423184319</v>
      </c>
      <c r="BY48" s="795">
        <f>IF(OR($C$74=$AR48,$D$74=$AR48),Schweine_Werte!$O48*0.5,IF(OR($C$74&gt;$AR48,$D$74&lt;$AR48),0,Schweine_Werte!$O48))</f>
        <v>0</v>
      </c>
      <c r="BZ48" s="795">
        <f>IF(OR($C$83=$AR48,$D$83=$AR48),Schweine_Werte!$O48*0.5,IF(OR($C$83&gt;$AR48,$D$83&lt;$AR48),0,Schweine_Werte!$O48))</f>
        <v>0</v>
      </c>
      <c r="CA48" s="797">
        <f>IF(OR($C$92=$AR48,$D$92=$AR48),Schweine_Werte!$O48*0.5,IF(OR($C$92&gt;$AR48,$D$92&lt;$AR48),0,Schweine_Werte!$O48))</f>
        <v>0</v>
      </c>
      <c r="CB48" s="797">
        <f>IF(OR($C$101=$AR48,$D$101=$AR48),Schweine_Werte!$O48*0.5,IF(OR($C$101&gt;$AR48,$D$101&lt;$AR48),0,Schweine_Werte!$O48))</f>
        <v>0</v>
      </c>
      <c r="CC48" s="797">
        <f>IF(OR($C$110=$AR48,$D$110=$AR48),Schweine_Werte!$O48*0.5,IF(OR($C$110&gt;$AR48,$D$110&lt;$AR48),0,Schweine_Werte!$O48))</f>
        <v>0</v>
      </c>
    </row>
    <row r="49" spans="1:81" x14ac:dyDescent="0.25">
      <c r="AR49" s="806">
        <v>53</v>
      </c>
      <c r="AS49" s="795">
        <f>IF(OR($C$12=$AR49,$D$12=$AR49),Schweine_Werte!$C49*0.5,IF(OR($C$12&gt;$AR49,$D$12&lt;$AR49),0,Schweine_Werte!$C49))</f>
        <v>0</v>
      </c>
      <c r="AT49" s="730">
        <f>IF(OR($C$24=$AR49,$D$24=$AR49),Schweine_Werte!$C49*0.5,IF(OR($C$24&gt;$AR49,$D$24&lt;$AR49),0,Schweine_Werte!$C49))</f>
        <v>0</v>
      </c>
      <c r="AU49" s="795">
        <f>IF(OR($C$36=$AR49,$D$36=$AR49),Schweine_Werte!$C49*0.5,IF(OR($C$36&gt;$AR49,$D$36&lt;$AR49),0,Schweine_Werte!$C49))</f>
        <v>0</v>
      </c>
      <c r="AV49" s="795">
        <f>IF(OR($C$48=$AR49,$D$48=$AR49),Schweine_Werte!$C49*0.5,IF(OR($C$48&gt;$AR49,$D$48&lt;$AR49),0,Schweine_Werte!$C49))</f>
        <v>0</v>
      </c>
      <c r="AW49" s="795">
        <f>IF(OR($C$60=$AR49,$D$60=$AR49),Schweine_Werte!$C49*0.5,IF(OR($C$60&gt;$AR49,$D$60&lt;$AR49),0,Schweine_Werte!$C49))</f>
        <v>0</v>
      </c>
      <c r="AX49" s="795">
        <f>IF(OR($C$12=$AR49,$D$12=$AR49),Schweine_Werte!$E49*0.5,IF(OR($C$12&gt;$AR49,$D$12&lt;$AR49),0,Schweine_Werte!$E49))</f>
        <v>0</v>
      </c>
      <c r="AY49" s="730">
        <f>IF(OR($C$24=$AR49,$D$24=$AR49),Schweine_Werte!$E49*0.5,IF(OR($C$24&gt;$AR49,$D$24&lt;$AR49),0,Schweine_Werte!$E49))</f>
        <v>0</v>
      </c>
      <c r="AZ49" s="730">
        <f>IF(OR($C$36=$AR49,$D$36=$AR49),Schweine_Werte!$E49*0.5,IF(OR($C$36&gt;$AR49,$D$36&lt;$AR49),0,Schweine_Werte!$E49))</f>
        <v>0</v>
      </c>
      <c r="BA49" s="730">
        <f>IF(OR($C$48=$AR49,$D$48=$AR49),Schweine_Werte!$E49*0.5,IF(OR($C$48&gt;$AR49,$D$48&lt;$AR49),0,Schweine_Werte!$E49))</f>
        <v>0</v>
      </c>
      <c r="BB49" s="730">
        <f>IF(OR($C$60=$AR49,$D$60=$AR49),Schweine_Werte!$E49*0.5,IF(OR($C$60&gt;$AR49,$D$60&lt;$AR49),0,Schweine_Werte!$E49))</f>
        <v>0</v>
      </c>
      <c r="BC49" s="795">
        <f>IF(OR($C$12=$AR49,$D$12=$AR49),Schweine_Werte!$G49*0.5,IF(OR($C$12&gt;$AR49,$D$12&lt;$AR49),0,Schweine_Werte!$G49))</f>
        <v>0</v>
      </c>
      <c r="BD49" s="730">
        <f>IF(OR($C$24=$AR49,$D$24=$AR49),Schweine_Werte!$G49*0.5,IF(OR($C$24&gt;$AR49,$D$24&lt;$AR49),0,Schweine_Werte!$G49))</f>
        <v>0</v>
      </c>
      <c r="BE49" s="730">
        <f>IF(OR($C$36=$AR49,$D$36=$AR49),Schweine_Werte!$G49*0.5,IF(OR($C$36&gt;$AR49,$D$36&lt;$AR49),0,Schweine_Werte!$G49))</f>
        <v>0</v>
      </c>
      <c r="BF49" s="730">
        <f>IF(OR($C$48=$AR49,$D$48=$AR49),Schweine_Werte!$G49*0.5,IF(OR($C$48&gt;$AR49,$D$48&lt;$AR49),0,Schweine_Werte!$G49))</f>
        <v>0</v>
      </c>
      <c r="BG49" s="730">
        <f>IF(OR($C$60=$AR49,$D$60=$AR49),Schweine_Werte!$G49*0.5,IF(OR($C$60&gt;$AR49,$D$60&lt;$AR49),0,Schweine_Werte!$G49))</f>
        <v>0</v>
      </c>
      <c r="BH49" s="795">
        <f>IF(OR($C$12=$AR49,$D$12=$AR49),Schweine_Werte!$I49*0.5,IF(OR($C$12&gt;$AR49,$D$12&lt;$AR49),0,Schweine_Werte!$I49))</f>
        <v>0</v>
      </c>
      <c r="BI49" s="730">
        <f>IF(OR($C$24=$AR49,$D$24=$AR49),Schweine_Werte!$I49*0.5,IF(OR($C$24&gt;$AR49,$D$24&lt;$AR49),0,Schweine_Werte!$I49))</f>
        <v>0</v>
      </c>
      <c r="BJ49" s="730">
        <f>IF(OR($C$36=$AR49,$D$36=$AR49),Schweine_Werte!$I49*0.5,IF(OR($C$36&gt;$AR49,$D$36&lt;$AR49),0,Schweine_Werte!$I49))</f>
        <v>0</v>
      </c>
      <c r="BK49" s="730">
        <f>IF(OR($C$48=$AR49,$D$48=$AR49),Schweine_Werte!$I49*0.5,IF(OR($C$48&gt;$AR49,$D$48&lt;$AR49),0,Schweine_Werte!$I49))</f>
        <v>0</v>
      </c>
      <c r="BL49" s="730">
        <f>IF(OR($C$60=$AR49,$D$60=$AR49),Schweine_Werte!$I49*0.5,IF(OR($C$60&gt;$AR49,$D$60&lt;$AR49),0,Schweine_Werte!$I49))</f>
        <v>0</v>
      </c>
      <c r="BM49" s="795"/>
      <c r="BN49" s="730"/>
      <c r="BO49" s="730"/>
      <c r="BP49" s="730"/>
      <c r="BQ49" s="730"/>
      <c r="BR49" s="795">
        <f>IF(OR($C$74=$AR49,$D$74=$AR49),Schweine_Werte!$M49*0.5,IF(OR($C$74&gt;$AR49,$D$74&lt;$AR49),0,Schweine_Werte!$M49))</f>
        <v>0</v>
      </c>
      <c r="BS49" s="795">
        <f>IF(OR($C$83=$AR49,$D$83=$AR49),Schweine_Werte!$M49*0.5,IF(OR($C$83&gt;$AR49,$D$83&lt;$AR49),0,Schweine_Werte!$M49))</f>
        <v>0</v>
      </c>
      <c r="BT49" s="797">
        <f>IF(OR($C$92=$AR49,$D$92=$AR49),Schweine_Werte!$M49*0.5,IF(OR($C$92&gt;$AR49,$D$92&lt;$AR49),0,Schweine_Werte!$M49))</f>
        <v>0</v>
      </c>
      <c r="BU49" s="797">
        <f>IF(OR($C$101=$AR49,$D$101=$AR49),Schweine_Werte!$M49*0.5,IF(OR($C$101&gt;$AR49,$D$101&lt;$AR49),0,Schweine_Werte!$M49))</f>
        <v>0</v>
      </c>
      <c r="BV49" s="797">
        <f>IF(OR($C$110=$AR49,$D$110=$AR49),Schweine_Werte!$M49*0.5,IF(OR($C$110&gt;$AR49,$D$110&lt;$AR49),0,Schweine_Werte!$M49))</f>
        <v>0</v>
      </c>
      <c r="BW49" s="797">
        <f>IF(OR(8=$AR49,$E$127=$AR49),Schweine_Werte!$M49*0.5,IF(OR(8&gt;$AR49,$E$127&lt;$AR49),0,Schweine_Werte!$M49))</f>
        <v>1.1777710211960304</v>
      </c>
      <c r="BX49" s="797">
        <f>IF(OR(8=$AR49,$E$145=$AR49),Schweine_Werte!$M49*0.5,IF(OR(8&gt;$AR49,$E$145&lt;$AR49),0,Schweine_Werte!$M49))</f>
        <v>1.1777710211960304</v>
      </c>
      <c r="BY49" s="795">
        <f>IF(OR($C$74=$AR49,$D$74=$AR49),Schweine_Werte!$O49*0.5,IF(OR($C$74&gt;$AR49,$D$74&lt;$AR49),0,Schweine_Werte!$O49))</f>
        <v>0</v>
      </c>
      <c r="BZ49" s="795">
        <f>IF(OR($C$83=$AR49,$D$83=$AR49),Schweine_Werte!$O49*0.5,IF(OR($C$83&gt;$AR49,$D$83&lt;$AR49),0,Schweine_Werte!$O49))</f>
        <v>0</v>
      </c>
      <c r="CA49" s="797">
        <f>IF(OR($C$92=$AR49,$D$92=$AR49),Schweine_Werte!$O49*0.5,IF(OR($C$92&gt;$AR49,$D$92&lt;$AR49),0,Schweine_Werte!$O49))</f>
        <v>0</v>
      </c>
      <c r="CB49" s="797">
        <f>IF(OR($C$101=$AR49,$D$101=$AR49),Schweine_Werte!$O49*0.5,IF(OR($C$101&gt;$AR49,$D$101&lt;$AR49),0,Schweine_Werte!$O49))</f>
        <v>0</v>
      </c>
      <c r="CC49" s="797">
        <f>IF(OR($C$110=$AR49,$D$110=$AR49),Schweine_Werte!$O49*0.5,IF(OR($C$110&gt;$AR49,$D$110&lt;$AR49),0,Schweine_Werte!$O49))</f>
        <v>0</v>
      </c>
    </row>
    <row r="50" spans="1:81" ht="18" x14ac:dyDescent="0.35">
      <c r="H50" s="784"/>
      <c r="I50" s="784"/>
      <c r="L50" s="818"/>
      <c r="W50" s="1620" t="s">
        <v>7674</v>
      </c>
      <c r="X50" s="1620"/>
      <c r="Y50" s="1620"/>
      <c r="AR50" s="806">
        <v>54</v>
      </c>
      <c r="AS50" s="795">
        <f>IF(OR($C$12=$AR50,$D$12=$AR50),Schweine_Werte!$C50*0.5,IF(OR($C$12&gt;$AR50,$D$12&lt;$AR50),0,Schweine_Werte!$C50))</f>
        <v>0</v>
      </c>
      <c r="AT50" s="730">
        <f>IF(OR($C$24=$AR50,$D$24=$AR50),Schweine_Werte!$C50*0.5,IF(OR($C$24&gt;$AR50,$D$24&lt;$AR50),0,Schweine_Werte!$C50))</f>
        <v>0</v>
      </c>
      <c r="AU50" s="795">
        <f>IF(OR($C$36=$AR50,$D$36=$AR50),Schweine_Werte!$C50*0.5,IF(OR($C$36&gt;$AR50,$D$36&lt;$AR50),0,Schweine_Werte!$C50))</f>
        <v>0</v>
      </c>
      <c r="AV50" s="795">
        <f>IF(OR($C$48=$AR50,$D$48=$AR50),Schweine_Werte!$C50*0.5,IF(OR($C$48&gt;$AR50,$D$48&lt;$AR50),0,Schweine_Werte!$C50))</f>
        <v>0</v>
      </c>
      <c r="AW50" s="795">
        <f>IF(OR($C$60=$AR50,$D$60=$AR50),Schweine_Werte!$C50*0.5,IF(OR($C$60&gt;$AR50,$D$60&lt;$AR50),0,Schweine_Werte!$C50))</f>
        <v>0</v>
      </c>
      <c r="AX50" s="795">
        <f>IF(OR($C$12=$AR50,$D$12=$AR50),Schweine_Werte!$E50*0.5,IF(OR($C$12&gt;$AR50,$D$12&lt;$AR50),0,Schweine_Werte!$E50))</f>
        <v>0</v>
      </c>
      <c r="AY50" s="730">
        <f>IF(OR($C$24=$AR50,$D$24=$AR50),Schweine_Werte!$E50*0.5,IF(OR($C$24&gt;$AR50,$D$24&lt;$AR50),0,Schweine_Werte!$E50))</f>
        <v>0</v>
      </c>
      <c r="AZ50" s="730">
        <f>IF(OR($C$36=$AR50,$D$36=$AR50),Schweine_Werte!$E50*0.5,IF(OR($C$36&gt;$AR50,$D$36&lt;$AR50),0,Schweine_Werte!$E50))</f>
        <v>0</v>
      </c>
      <c r="BA50" s="730">
        <f>IF(OR($C$48=$AR50,$D$48=$AR50),Schweine_Werte!$E50*0.5,IF(OR($C$48&gt;$AR50,$D$48&lt;$AR50),0,Schweine_Werte!$E50))</f>
        <v>0</v>
      </c>
      <c r="BB50" s="730">
        <f>IF(OR($C$60=$AR50,$D$60=$AR50),Schweine_Werte!$E50*0.5,IF(OR($C$60&gt;$AR50,$D$60&lt;$AR50),0,Schweine_Werte!$E50))</f>
        <v>0</v>
      </c>
      <c r="BC50" s="795">
        <f>IF(OR($C$12=$AR50,$D$12=$AR50),Schweine_Werte!$G50*0.5,IF(OR($C$12&gt;$AR50,$D$12&lt;$AR50),0,Schweine_Werte!$G50))</f>
        <v>0</v>
      </c>
      <c r="BD50" s="730">
        <f>IF(OR($C$24=$AR50,$D$24=$AR50),Schweine_Werte!$G50*0.5,IF(OR($C$24&gt;$AR50,$D$24&lt;$AR50),0,Schweine_Werte!$G50))</f>
        <v>0</v>
      </c>
      <c r="BE50" s="730">
        <f>IF(OR($C$36=$AR50,$D$36=$AR50),Schweine_Werte!$G50*0.5,IF(OR($C$36&gt;$AR50,$D$36&lt;$AR50),0,Schweine_Werte!$G50))</f>
        <v>0</v>
      </c>
      <c r="BF50" s="730">
        <f>IF(OR($C$48=$AR50,$D$48=$AR50),Schweine_Werte!$G50*0.5,IF(OR($C$48&gt;$AR50,$D$48&lt;$AR50),0,Schweine_Werte!$G50))</f>
        <v>0</v>
      </c>
      <c r="BG50" s="730">
        <f>IF(OR($C$60=$AR50,$D$60=$AR50),Schweine_Werte!$G50*0.5,IF(OR($C$60&gt;$AR50,$D$60&lt;$AR50),0,Schweine_Werte!$G50))</f>
        <v>0</v>
      </c>
      <c r="BH50" s="795">
        <f>IF(OR($C$12=$AR50,$D$12=$AR50),Schweine_Werte!$I50*0.5,IF(OR($C$12&gt;$AR50,$D$12&lt;$AR50),0,Schweine_Werte!$I50))</f>
        <v>0</v>
      </c>
      <c r="BI50" s="730">
        <f>IF(OR($C$24=$AR50,$D$24=$AR50),Schweine_Werte!$I50*0.5,IF(OR($C$24&gt;$AR50,$D$24&lt;$AR50),0,Schweine_Werte!$I50))</f>
        <v>0</v>
      </c>
      <c r="BJ50" s="730">
        <f>IF(OR($C$36=$AR50,$D$36=$AR50),Schweine_Werte!$I50*0.5,IF(OR($C$36&gt;$AR50,$D$36&lt;$AR50),0,Schweine_Werte!$I50))</f>
        <v>0</v>
      </c>
      <c r="BK50" s="730">
        <f>IF(OR($C$48=$AR50,$D$48=$AR50),Schweine_Werte!$I50*0.5,IF(OR($C$48&gt;$AR50,$D$48&lt;$AR50),0,Schweine_Werte!$I50))</f>
        <v>0</v>
      </c>
      <c r="BL50" s="730">
        <f>IF(OR($C$60=$AR50,$D$60=$AR50),Schweine_Werte!$I50*0.5,IF(OR($C$60&gt;$AR50,$D$60&lt;$AR50),0,Schweine_Werte!$I50))</f>
        <v>0</v>
      </c>
      <c r="BM50" s="795"/>
      <c r="BN50" s="730"/>
      <c r="BO50" s="730"/>
      <c r="BP50" s="730"/>
      <c r="BQ50" s="730"/>
      <c r="BR50" s="795">
        <f>IF(OR($C$74=$AR50,$D$74=$AR50),Schweine_Werte!$M50*0.5,IF(OR($C$74&gt;$AR50,$D$74&lt;$AR50),0,Schweine_Werte!$M50))</f>
        <v>0</v>
      </c>
      <c r="BS50" s="795">
        <f>IF(OR($C$83=$AR50,$D$83=$AR50),Schweine_Werte!$M50*0.5,IF(OR($C$83&gt;$AR50,$D$83&lt;$AR50),0,Schweine_Werte!$M50))</f>
        <v>0</v>
      </c>
      <c r="BT50" s="797">
        <f>IF(OR($C$92=$AR50,$D$92=$AR50),Schweine_Werte!$M50*0.5,IF(OR($C$92&gt;$AR50,$D$92&lt;$AR50),0,Schweine_Werte!$M50))</f>
        <v>0</v>
      </c>
      <c r="BU50" s="797">
        <f>IF(OR($C$101=$AR50,$D$101=$AR50),Schweine_Werte!$M50*0.5,IF(OR($C$101&gt;$AR50,$D$101&lt;$AR50),0,Schweine_Werte!$M50))</f>
        <v>0</v>
      </c>
      <c r="BV50" s="797">
        <f>IF(OR($C$110=$AR50,$D$110=$AR50),Schweine_Werte!$M50*0.5,IF(OR($C$110&gt;$AR50,$D$110&lt;$AR50),0,Schweine_Werte!$M50))</f>
        <v>0</v>
      </c>
      <c r="BW50" s="797">
        <f>IF(OR(8=$AR50,$E$127=$AR50),Schweine_Werte!$M50*0.5,IF(OR(8&gt;$AR50,$E$127&lt;$AR50),0,Schweine_Werte!$M50))</f>
        <v>1.1700235746422327</v>
      </c>
      <c r="BX50" s="797">
        <f>IF(OR(8=$AR50,$E$145=$AR50),Schweine_Werte!$M50*0.5,IF(OR(8&gt;$AR50,$E$145&lt;$AR50),0,Schweine_Werte!$M50))</f>
        <v>1.1700235746422327</v>
      </c>
      <c r="BY50" s="795">
        <f>IF(OR($C$74=$AR50,$D$74=$AR50),Schweine_Werte!$O50*0.5,IF(OR($C$74&gt;$AR50,$D$74&lt;$AR50),0,Schweine_Werte!$O50))</f>
        <v>0</v>
      </c>
      <c r="BZ50" s="795">
        <f>IF(OR($C$83=$AR50,$D$83=$AR50),Schweine_Werte!$O50*0.5,IF(OR($C$83&gt;$AR50,$D$83&lt;$AR50),0,Schweine_Werte!$O50))</f>
        <v>0</v>
      </c>
      <c r="CA50" s="797">
        <f>IF(OR($C$92=$AR50,$D$92=$AR50),Schweine_Werte!$O50*0.5,IF(OR($C$92&gt;$AR50,$D$92&lt;$AR50),0,Schweine_Werte!$O50))</f>
        <v>0</v>
      </c>
      <c r="CB50" s="797">
        <f>IF(OR($C$101=$AR50,$D$101=$AR50),Schweine_Werte!$O50*0.5,IF(OR($C$101&gt;$AR50,$D$101&lt;$AR50),0,Schweine_Werte!$O50))</f>
        <v>0</v>
      </c>
      <c r="CC50" s="797">
        <f>IF(OR($C$110=$AR50,$D$110=$AR50),Schweine_Werte!$O50*0.5,IF(OR($C$110&gt;$AR50,$D$110&lt;$AR50),0,Schweine_Werte!$O50))</f>
        <v>0</v>
      </c>
    </row>
    <row r="51" spans="1:81" ht="18" x14ac:dyDescent="0.35">
      <c r="B51" s="788"/>
      <c r="C51" s="788"/>
      <c r="D51" s="788"/>
      <c r="E51" s="788"/>
      <c r="F51" s="788"/>
      <c r="G51" s="788"/>
      <c r="H51" s="789"/>
      <c r="L51" t="s">
        <v>255</v>
      </c>
      <c r="Q51" s="1620" t="s">
        <v>7781</v>
      </c>
      <c r="R51" s="1620"/>
      <c r="S51" s="1620"/>
      <c r="T51" s="1620" t="s">
        <v>7782</v>
      </c>
      <c r="U51" s="1620"/>
      <c r="V51" s="1620"/>
      <c r="W51" t="s">
        <v>7687</v>
      </c>
      <c r="X51" t="s">
        <v>7688</v>
      </c>
      <c r="Y51" t="s">
        <v>7689</v>
      </c>
      <c r="Z51" t="s">
        <v>7783</v>
      </c>
      <c r="AG51" t="s">
        <v>7784</v>
      </c>
      <c r="AJ51" t="s">
        <v>7785</v>
      </c>
      <c r="AR51" s="806">
        <v>55</v>
      </c>
      <c r="AS51" s="795">
        <f>IF(OR($C$12=$AR51,$D$12=$AR51),Schweine_Werte!$C51*0.5,IF(OR($C$12&gt;$AR51,$D$12&lt;$AR51),0,Schweine_Werte!$C51))</f>
        <v>0</v>
      </c>
      <c r="AT51" s="730">
        <f>IF(OR($C$24=$AR51,$D$24=$AR51),Schweine_Werte!$C51*0.5,IF(OR($C$24&gt;$AR51,$D$24&lt;$AR51),0,Schweine_Werte!$C51))</f>
        <v>0</v>
      </c>
      <c r="AU51" s="795">
        <f>IF(OR($C$36=$AR51,$D$36=$AR51),Schweine_Werte!$C51*0.5,IF(OR($C$36&gt;$AR51,$D$36&lt;$AR51),0,Schweine_Werte!$C51))</f>
        <v>0</v>
      </c>
      <c r="AV51" s="795">
        <f>IF(OR($C$48=$AR51,$D$48=$AR51),Schweine_Werte!$C51*0.5,IF(OR($C$48&gt;$AR51,$D$48&lt;$AR51),0,Schweine_Werte!$C51))</f>
        <v>0</v>
      </c>
      <c r="AW51" s="795">
        <f>IF(OR($C$60=$AR51,$D$60=$AR51),Schweine_Werte!$C51*0.5,IF(OR($C$60&gt;$AR51,$D$60&lt;$AR51),0,Schweine_Werte!$C51))</f>
        <v>0</v>
      </c>
      <c r="AX51" s="795">
        <f>IF(OR($C$12=$AR51,$D$12=$AR51),Schweine_Werte!$E51*0.5,IF(OR($C$12&gt;$AR51,$D$12&lt;$AR51),0,Schweine_Werte!$E51))</f>
        <v>0</v>
      </c>
      <c r="AY51" s="730">
        <f>IF(OR($C$24=$AR51,$D$24=$AR51),Schweine_Werte!$E51*0.5,IF(OR($C$24&gt;$AR51,$D$24&lt;$AR51),0,Schweine_Werte!$E51))</f>
        <v>0</v>
      </c>
      <c r="AZ51" s="730">
        <f>IF(OR($C$36=$AR51,$D$36=$AR51),Schweine_Werte!$E51*0.5,IF(OR($C$36&gt;$AR51,$D$36&lt;$AR51),0,Schweine_Werte!$E51))</f>
        <v>0</v>
      </c>
      <c r="BA51" s="730">
        <f>IF(OR($C$48=$AR51,$D$48=$AR51),Schweine_Werte!$E51*0.5,IF(OR($C$48&gt;$AR51,$D$48&lt;$AR51),0,Schweine_Werte!$E51))</f>
        <v>0</v>
      </c>
      <c r="BB51" s="730">
        <f>IF(OR($C$60=$AR51,$D$60=$AR51),Schweine_Werte!$E51*0.5,IF(OR($C$60&gt;$AR51,$D$60&lt;$AR51),0,Schweine_Werte!$E51))</f>
        <v>0</v>
      </c>
      <c r="BC51" s="795">
        <f>IF(OR($C$12=$AR51,$D$12=$AR51),Schweine_Werte!$G51*0.5,IF(OR($C$12&gt;$AR51,$D$12&lt;$AR51),0,Schweine_Werte!$G51))</f>
        <v>0</v>
      </c>
      <c r="BD51" s="730">
        <f>IF(OR($C$24=$AR51,$D$24=$AR51),Schweine_Werte!$G51*0.5,IF(OR($C$24&gt;$AR51,$D$24&lt;$AR51),0,Schweine_Werte!$G51))</f>
        <v>0</v>
      </c>
      <c r="BE51" s="730">
        <f>IF(OR($C$36=$AR51,$D$36=$AR51),Schweine_Werte!$G51*0.5,IF(OR($C$36&gt;$AR51,$D$36&lt;$AR51),0,Schweine_Werte!$G51))</f>
        <v>0</v>
      </c>
      <c r="BF51" s="730">
        <f>IF(OR($C$48=$AR51,$D$48=$AR51),Schweine_Werte!$G51*0.5,IF(OR($C$48&gt;$AR51,$D$48&lt;$AR51),0,Schweine_Werte!$G51))</f>
        <v>0</v>
      </c>
      <c r="BG51" s="730">
        <f>IF(OR($C$60=$AR51,$D$60=$AR51),Schweine_Werte!$G51*0.5,IF(OR($C$60&gt;$AR51,$D$60&lt;$AR51),0,Schweine_Werte!$G51))</f>
        <v>0</v>
      </c>
      <c r="BH51" s="795">
        <f>IF(OR($C$12=$AR51,$D$12=$AR51),Schweine_Werte!$I51*0.5,IF(OR($C$12&gt;$AR51,$D$12&lt;$AR51),0,Schweine_Werte!$I51))</f>
        <v>0</v>
      </c>
      <c r="BI51" s="730">
        <f>IF(OR($C$24=$AR51,$D$24=$AR51),Schweine_Werte!$I51*0.5,IF(OR($C$24&gt;$AR51,$D$24&lt;$AR51),0,Schweine_Werte!$I51))</f>
        <v>0</v>
      </c>
      <c r="BJ51" s="730">
        <f>IF(OR($C$36=$AR51,$D$36=$AR51),Schweine_Werte!$I51*0.5,IF(OR($C$36&gt;$AR51,$D$36&lt;$AR51),0,Schweine_Werte!$I51))</f>
        <v>0</v>
      </c>
      <c r="BK51" s="730">
        <f>IF(OR($C$48=$AR51,$D$48=$AR51),Schweine_Werte!$I51*0.5,IF(OR($C$48&gt;$AR51,$D$48&lt;$AR51),0,Schweine_Werte!$I51))</f>
        <v>0</v>
      </c>
      <c r="BL51" s="730">
        <f>IF(OR($C$60=$AR51,$D$60=$AR51),Schweine_Werte!$I51*0.5,IF(OR($C$60&gt;$AR51,$D$60&lt;$AR51),0,Schweine_Werte!$I51))</f>
        <v>0</v>
      </c>
      <c r="BM51" s="795"/>
      <c r="BN51" s="730"/>
      <c r="BO51" s="730"/>
      <c r="BP51" s="730"/>
      <c r="BQ51" s="730"/>
      <c r="BR51" s="795">
        <f>IF(OR($C$74=$AR51,$D$74=$AR51),Schweine_Werte!$M51*0.5,IF(OR($C$74&gt;$AR51,$D$74&lt;$AR51),0,Schweine_Werte!$M51))</f>
        <v>0</v>
      </c>
      <c r="BS51" s="795">
        <f>IF(OR($C$83=$AR51,$D$83=$AR51),Schweine_Werte!$M51*0.5,IF(OR($C$83&gt;$AR51,$D$83&lt;$AR51),0,Schweine_Werte!$M51))</f>
        <v>0</v>
      </c>
      <c r="BT51" s="797">
        <f>IF(OR($C$92=$AR51,$D$92=$AR51),Schweine_Werte!$M51*0.5,IF(OR($C$92&gt;$AR51,$D$92&lt;$AR51),0,Schweine_Werte!$M51))</f>
        <v>0</v>
      </c>
      <c r="BU51" s="797">
        <f>IF(OR($C$101=$AR51,$D$101=$AR51),Schweine_Werte!$M51*0.5,IF(OR($C$101&gt;$AR51,$D$101&lt;$AR51),0,Schweine_Werte!$M51))</f>
        <v>0</v>
      </c>
      <c r="BV51" s="797">
        <f>IF(OR($C$110=$AR51,$D$110=$AR51),Schweine_Werte!$M51*0.5,IF(OR($C$110&gt;$AR51,$D$110&lt;$AR51),0,Schweine_Werte!$M51))</f>
        <v>0</v>
      </c>
      <c r="BW51" s="797">
        <f>IF(OR(8=$AR51,$E$127=$AR51),Schweine_Werte!$M51*0.5,IF(OR(8&gt;$AR51,$E$127&lt;$AR51),0,Schweine_Werte!$M51))</f>
        <v>1.1627760843022101</v>
      </c>
      <c r="BX51" s="797">
        <f>IF(OR(8=$AR51,$E$145=$AR51),Schweine_Werte!$M51*0.5,IF(OR(8&gt;$AR51,$E$145&lt;$AR51),0,Schweine_Werte!$M51))</f>
        <v>1.1627760843022101</v>
      </c>
      <c r="BY51" s="795">
        <f>IF(OR($C$74=$AR51,$D$74=$AR51),Schweine_Werte!$O51*0.5,IF(OR($C$74&gt;$AR51,$D$74&lt;$AR51),0,Schweine_Werte!$O51))</f>
        <v>0</v>
      </c>
      <c r="BZ51" s="795">
        <f>IF(OR($C$83=$AR51,$D$83=$AR51),Schweine_Werte!$O51*0.5,IF(OR($C$83&gt;$AR51,$D$83&lt;$AR51),0,Schweine_Werte!$O51))</f>
        <v>0</v>
      </c>
      <c r="CA51" s="797">
        <f>IF(OR($C$92=$AR51,$D$92=$AR51),Schweine_Werte!$O51*0.5,IF(OR($C$92&gt;$AR51,$D$92&lt;$AR51),0,Schweine_Werte!$O51))</f>
        <v>0</v>
      </c>
      <c r="CB51" s="797">
        <f>IF(OR($C$101=$AR51,$D$101=$AR51),Schweine_Werte!$O51*0.5,IF(OR($C$101&gt;$AR51,$D$101&lt;$AR51),0,Schweine_Werte!$O51))</f>
        <v>0</v>
      </c>
      <c r="CC51" s="797">
        <f>IF(OR($C$110=$AR51,$D$110=$AR51),Schweine_Werte!$O51*0.5,IF(OR($C$110&gt;$AR51,$D$110&lt;$AR51),0,Schweine_Werte!$O51))</f>
        <v>0</v>
      </c>
    </row>
    <row r="52" spans="1:81" x14ac:dyDescent="0.25">
      <c r="B52" t="s">
        <v>7699</v>
      </c>
      <c r="E52" t="s">
        <v>7700</v>
      </c>
      <c r="F52" t="s">
        <v>196</v>
      </c>
      <c r="G52" t="s">
        <v>7701</v>
      </c>
      <c r="H52" t="s">
        <v>7702</v>
      </c>
      <c r="I52" t="s">
        <v>7703</v>
      </c>
      <c r="J52" t="s">
        <v>596</v>
      </c>
      <c r="K52" t="s">
        <v>7704</v>
      </c>
      <c r="L52" s="129" t="s">
        <v>7705</v>
      </c>
      <c r="M52" t="s">
        <v>7706</v>
      </c>
      <c r="N52" t="s">
        <v>7707</v>
      </c>
      <c r="O52" t="s">
        <v>7708</v>
      </c>
      <c r="P52" t="s">
        <v>7709</v>
      </c>
      <c r="Q52" t="s">
        <v>39</v>
      </c>
      <c r="R52" t="s">
        <v>40</v>
      </c>
      <c r="S52" t="s">
        <v>41</v>
      </c>
      <c r="T52" t="s">
        <v>39</v>
      </c>
      <c r="U52" t="s">
        <v>40</v>
      </c>
      <c r="V52" t="s">
        <v>41</v>
      </c>
      <c r="AR52" s="806">
        <v>56</v>
      </c>
      <c r="AS52" s="795">
        <f>IF(OR($C$12=$AR52,$D$12=$AR52),Schweine_Werte!$C52*0.5,IF(OR($C$12&gt;$AR52,$D$12&lt;$AR52),0,Schweine_Werte!$C52))</f>
        <v>0</v>
      </c>
      <c r="AT52" s="730">
        <f>IF(OR($C$24=$AR52,$D$24=$AR52),Schweine_Werte!$C52*0.5,IF(OR($C$24&gt;$AR52,$D$24&lt;$AR52),0,Schweine_Werte!$C52))</f>
        <v>0</v>
      </c>
      <c r="AU52" s="795">
        <f>IF(OR($C$36=$AR52,$D$36=$AR52),Schweine_Werte!$C52*0.5,IF(OR($C$36&gt;$AR52,$D$36&lt;$AR52),0,Schweine_Werte!$C52))</f>
        <v>0</v>
      </c>
      <c r="AV52" s="795">
        <f>IF(OR($C$48=$AR52,$D$48=$AR52),Schweine_Werte!$C52*0.5,IF(OR($C$48&gt;$AR52,$D$48&lt;$AR52),0,Schweine_Werte!$C52))</f>
        <v>0</v>
      </c>
      <c r="AW52" s="795">
        <f>IF(OR($C$60=$AR52,$D$60=$AR52),Schweine_Werte!$C52*0.5,IF(OR($C$60&gt;$AR52,$D$60&lt;$AR52),0,Schweine_Werte!$C52))</f>
        <v>0</v>
      </c>
      <c r="AX52" s="795">
        <f>IF(OR($C$12=$AR52,$D$12=$AR52),Schweine_Werte!$E52*0.5,IF(OR($C$12&gt;$AR52,$D$12&lt;$AR52),0,Schweine_Werte!$E52))</f>
        <v>0</v>
      </c>
      <c r="AY52" s="730">
        <f>IF(OR($C$24=$AR52,$D$24=$AR52),Schweine_Werte!$E52*0.5,IF(OR($C$24&gt;$AR52,$D$24&lt;$AR52),0,Schweine_Werte!$E52))</f>
        <v>0</v>
      </c>
      <c r="AZ52" s="730">
        <f>IF(OR($C$36=$AR52,$D$36=$AR52),Schweine_Werte!$E52*0.5,IF(OR($C$36&gt;$AR52,$D$36&lt;$AR52),0,Schweine_Werte!$E52))</f>
        <v>0</v>
      </c>
      <c r="BA52" s="730">
        <f>IF(OR($C$48=$AR52,$D$48=$AR52),Schweine_Werte!$E52*0.5,IF(OR($C$48&gt;$AR52,$D$48&lt;$AR52),0,Schweine_Werte!$E52))</f>
        <v>0</v>
      </c>
      <c r="BB52" s="730">
        <f>IF(OR($C$60=$AR52,$D$60=$AR52),Schweine_Werte!$E52*0.5,IF(OR($C$60&gt;$AR52,$D$60&lt;$AR52),0,Schweine_Werte!$E52))</f>
        <v>0</v>
      </c>
      <c r="BC52" s="795">
        <f>IF(OR($C$12=$AR52,$D$12=$AR52),Schweine_Werte!$G52*0.5,IF(OR($C$12&gt;$AR52,$D$12&lt;$AR52),0,Schweine_Werte!$G52))</f>
        <v>0</v>
      </c>
      <c r="BD52" s="730">
        <f>IF(OR($C$24=$AR52,$D$24=$AR52),Schweine_Werte!$G52*0.5,IF(OR($C$24&gt;$AR52,$D$24&lt;$AR52),0,Schweine_Werte!$G52))</f>
        <v>0</v>
      </c>
      <c r="BE52" s="730">
        <f>IF(OR($C$36=$AR52,$D$36=$AR52),Schweine_Werte!$G52*0.5,IF(OR($C$36&gt;$AR52,$D$36&lt;$AR52),0,Schweine_Werte!$G52))</f>
        <v>0</v>
      </c>
      <c r="BF52" s="730">
        <f>IF(OR($C$48=$AR52,$D$48=$AR52),Schweine_Werte!$G52*0.5,IF(OR($C$48&gt;$AR52,$D$48&lt;$AR52),0,Schweine_Werte!$G52))</f>
        <v>0</v>
      </c>
      <c r="BG52" s="730">
        <f>IF(OR($C$60=$AR52,$D$60=$AR52),Schweine_Werte!$G52*0.5,IF(OR($C$60&gt;$AR52,$D$60&lt;$AR52),0,Schweine_Werte!$G52))</f>
        <v>0</v>
      </c>
      <c r="BH52" s="795">
        <f>IF(OR($C$12=$AR52,$D$12=$AR52),Schweine_Werte!$I52*0.5,IF(OR($C$12&gt;$AR52,$D$12&lt;$AR52),0,Schweine_Werte!$I52))</f>
        <v>0</v>
      </c>
      <c r="BI52" s="730">
        <f>IF(OR($C$24=$AR52,$D$24=$AR52),Schweine_Werte!$I52*0.5,IF(OR($C$24&gt;$AR52,$D$24&lt;$AR52),0,Schweine_Werte!$I52))</f>
        <v>0</v>
      </c>
      <c r="BJ52" s="730">
        <f>IF(OR($C$36=$AR52,$D$36=$AR52),Schweine_Werte!$I52*0.5,IF(OR($C$36&gt;$AR52,$D$36&lt;$AR52),0,Schweine_Werte!$I52))</f>
        <v>0</v>
      </c>
      <c r="BK52" s="730">
        <f>IF(OR($C$48=$AR52,$D$48=$AR52),Schweine_Werte!$I52*0.5,IF(OR($C$48&gt;$AR52,$D$48&lt;$AR52),0,Schweine_Werte!$I52))</f>
        <v>0</v>
      </c>
      <c r="BL52" s="730">
        <f>IF(OR($C$60=$AR52,$D$60=$AR52),Schweine_Werte!$I52*0.5,IF(OR($C$60&gt;$AR52,$D$60&lt;$AR52),0,Schweine_Werte!$I52))</f>
        <v>0</v>
      </c>
      <c r="BM52" s="795"/>
      <c r="BN52" s="730"/>
      <c r="BO52" s="730"/>
      <c r="BP52" s="730"/>
      <c r="BQ52" s="730"/>
      <c r="BR52" s="795">
        <f>IF(OR($C$74=$AR52,$D$74=$AR52),Schweine_Werte!$M52*0.5,IF(OR($C$74&gt;$AR52,$D$74&lt;$AR52),0,Schweine_Werte!$M52))</f>
        <v>0</v>
      </c>
      <c r="BS52" s="795">
        <f>IF(OR($C$83=$AR52,$D$83=$AR52),Schweine_Werte!$M52*0.5,IF(OR($C$83&gt;$AR52,$D$83&lt;$AR52),0,Schweine_Werte!$M52))</f>
        <v>0</v>
      </c>
      <c r="BT52" s="797">
        <f>IF(OR($C$92=$AR52,$D$92=$AR52),Schweine_Werte!$M52*0.5,IF(OR($C$92&gt;$AR52,$D$92&lt;$AR52),0,Schweine_Werte!$M52))</f>
        <v>0</v>
      </c>
      <c r="BU52" s="797">
        <f>IF(OR($C$101=$AR52,$D$101=$AR52),Schweine_Werte!$M52*0.5,IF(OR($C$101&gt;$AR52,$D$101&lt;$AR52),0,Schweine_Werte!$M52))</f>
        <v>0</v>
      </c>
      <c r="BV52" s="797">
        <f>IF(OR($C$110=$AR52,$D$110=$AR52),Schweine_Werte!$M52*0.5,IF(OR($C$110&gt;$AR52,$D$110&lt;$AR52),0,Schweine_Werte!$M52))</f>
        <v>0</v>
      </c>
      <c r="BW52" s="797">
        <f>IF(OR(8=$AR52,$E$127=$AR52),Schweine_Werte!$M52*0.5,IF(OR(8&gt;$AR52,$E$127&lt;$AR52),0,Schweine_Werte!$M52))</f>
        <v>1.1560121824882652</v>
      </c>
      <c r="BX52" s="797">
        <f>IF(OR(8=$AR52,$E$145=$AR52),Schweine_Werte!$M52*0.5,IF(OR(8&gt;$AR52,$E$145&lt;$AR52),0,Schweine_Werte!$M52))</f>
        <v>1.1560121824882652</v>
      </c>
      <c r="BY52" s="795">
        <f>IF(OR($C$74=$AR52,$D$74=$AR52),Schweine_Werte!$O52*0.5,IF(OR($C$74&gt;$AR52,$D$74&lt;$AR52),0,Schweine_Werte!$O52))</f>
        <v>0</v>
      </c>
      <c r="BZ52" s="795">
        <f>IF(OR($C$83=$AR52,$D$83=$AR52),Schweine_Werte!$O52*0.5,IF(OR($C$83&gt;$AR52,$D$83&lt;$AR52),0,Schweine_Werte!$O52))</f>
        <v>0</v>
      </c>
      <c r="CA52" s="797">
        <f>IF(OR($C$92=$AR52,$D$92=$AR52),Schweine_Werte!$O52*0.5,IF(OR($C$92&gt;$AR52,$D$92&lt;$AR52),0,Schweine_Werte!$O52))</f>
        <v>0</v>
      </c>
      <c r="CB52" s="797">
        <f>IF(OR($C$101=$AR52,$D$101=$AR52),Schweine_Werte!$O52*0.5,IF(OR($C$101&gt;$AR52,$D$101&lt;$AR52),0,Schweine_Werte!$O52))</f>
        <v>0</v>
      </c>
      <c r="CC52" s="797">
        <f>IF(OR($C$110=$AR52,$D$110=$AR52),Schweine_Werte!$O52*0.5,IF(OR($C$110&gt;$AR52,$D$110&lt;$AR52),0,Schweine_Werte!$O52))</f>
        <v>0</v>
      </c>
    </row>
    <row r="53" spans="1:81" x14ac:dyDescent="0.25">
      <c r="B53" s="705">
        <v>700</v>
      </c>
      <c r="D53" s="730"/>
      <c r="E53" s="730" t="e">
        <f>($D60-$C60)*1000/SUM($AW$4:$AW$146)</f>
        <v>#VALUE!</v>
      </c>
      <c r="F53" s="730" t="e">
        <f>SUMPRODUCT($AW$4:$AW$146,Schweine_Werte!$Q$4:$Q$146)/SUM($AW$4:$AW$146)</f>
        <v>#DIV/0!</v>
      </c>
      <c r="G53" s="730" t="e">
        <f>IF($B60=$A$8,SUMPRODUCT($AW$4:$AW$146,Schweine_Werte!EH$4:EH$146)/SUM($AW$4:$AW$146),IF($B60=$A$7,SUMPRODUCT($AW$4:$AW$146,Schweine_Werte!DB$4:DB$146)/SUM($AW$4:$AW$146),IF($B60=$A$6,SUMPRODUCT($AW$4:$AW$146,Schweine_Werte!BV$4:BV$146)/SUM($AW$4:$AW$146),SUMPRODUCT($AW$4:$AW$146,Schweine_Werte!AP$4:AP$146)/SUM($AW$4:$AW$146))))</f>
        <v>#DIV/0!</v>
      </c>
      <c r="H53" s="730" t="e">
        <f>IF($B60=$A$8,SUMPRODUCT($AW$4:$AW$146,Schweine_Werte!EI$4:EI$146)/SUM($AW$4:$AW$146),IF($B60=$A$7,SUMPRODUCT($AW$4:$AW$146,Schweine_Werte!DC$4:DC$146)/SUM($AW$4:$AW$146),IF($B60=$A$6,SUMPRODUCT($AW$4:$AW$146,Schweine_Werte!BW$4:BW$146)/SUM($AW$4:$AW$146),SUMPRODUCT($AW$4:$AW$146,Schweine_Werte!AQ$4:AQ$146)/SUM($AW$4:$AW$146))))</f>
        <v>#DIV/0!</v>
      </c>
      <c r="I53" s="730" t="e">
        <f>IF($B60=$A$8,SUMPRODUCT($AW$4:$AW$146,Schweine_Werte!EJ$4:EJ$146)/SUM($AW$4:$AW$146),IF($B60=$A$7,SUMPRODUCT($AW$4:$AW$146,Schweine_Werte!DD$4:DD$146)/SUM($AW$4:$AW$146),IF($B60=$A$6,SUMPRODUCT($AW$4:$AW$146,Schweine_Werte!BX$4:BX$146)/SUM($AW$4:$AW$146),SUMPRODUCT($AW$4:$AW$146,Schweine_Werte!AR$4:AR$146)/SUM($AW$4:$AW$146))))</f>
        <v>#DIV/0!</v>
      </c>
      <c r="J53" s="730" t="e">
        <f>SUMPRODUCT($AW$4:$AW$146,Schweine_Werte!$Y$4:$Y$146)/SUM($AW$4:$AW$146)</f>
        <v>#DIV/0!</v>
      </c>
      <c r="K53" s="730" t="e">
        <f>SUMPRODUCT($AW$4:$AW$146,Schweine_Werte!$AG$4:$AG$146)/SUM($AW$4:$AW$146)</f>
        <v>#DIV/0!</v>
      </c>
      <c r="L53" s="818" t="e">
        <f>T53*$F53*365/1000+$J53-$K53</f>
        <v>#DIV/0!</v>
      </c>
      <c r="M53" s="730" t="e">
        <f>U53*$F53*365/1000+$J53-$K53/2</f>
        <v>#DIV/0!</v>
      </c>
      <c r="N53" s="730" t="e">
        <f>V53*$F53*365/1000+$J53</f>
        <v>#DIV/0!</v>
      </c>
      <c r="O53" s="730">
        <f>IF($C60&lt;28,SUM($AW$4:$AW$23)+IF($D60&gt;28,$AW$24*0.5,$AW$24),0)</f>
        <v>0</v>
      </c>
      <c r="P53" s="730">
        <f>IF($D60&gt;28,SUM($AW$25:$AW$146)+IF($C60&lt;28,$AW$24*0.5,$AW$24),0)</f>
        <v>0</v>
      </c>
      <c r="Q53" s="730" t="e">
        <f t="shared" ref="Q53:S56" si="32">+T53*$F53</f>
        <v>#DIV/0!</v>
      </c>
      <c r="R53" s="730" t="e">
        <f t="shared" si="32"/>
        <v>#DIV/0!</v>
      </c>
      <c r="S53" s="730" t="e">
        <f t="shared" si="32"/>
        <v>#DIV/0!</v>
      </c>
      <c r="T53" s="730" t="e">
        <f>+($O53*Schweine_Werte!$HT$5+$P53*Schweine_Werte!$HU$5)/SUM($O53:$P53)</f>
        <v>#DIV/0!</v>
      </c>
      <c r="U53" s="730" t="e">
        <f>+($O53*Schweine_Werte!$HV$5+$P53*Schweine_Werte!$HW$5)/SUM($O53:$P53)</f>
        <v>#DIV/0!</v>
      </c>
      <c r="V53" s="730" t="e">
        <f>+($O53*Schweine_Werte!$HX$5+$P53*Schweine_Werte!$HY$5)/SUM($O53:$P53)</f>
        <v>#DIV/0!</v>
      </c>
      <c r="W53" s="785" t="e">
        <f>($J53*0.055+T53*0.365*0.86*$F53-$K53*0.018)/L53*100</f>
        <v>#DIV/0!</v>
      </c>
      <c r="X53" s="730" t="e">
        <f>($J53*0.055+U53*0.365*0.86*$F53-$K53*0.018/2)/M53*100</f>
        <v>#DIV/0!</v>
      </c>
      <c r="Y53" s="730" t="e">
        <f>($J53*0.055+V53*0.365*0.86*$F53)/N53*100</f>
        <v>#DIV/0!</v>
      </c>
      <c r="Z53" s="730" t="e">
        <f>IF($B60=$A$8,SUMPRODUCT($AW$4:$AW$146,Schweine_Werte!$EK$4:$EK$146,Schweine_Werte!$EL$4:$EL$146)/SUMPRODUCT($AW$4:$AW$146,Schweine_Werte!$EK$4:$EK$146),IF($B60=$A$7,SUMPRODUCT($AW$4:$AW$146,Schweine_Werte!$DE$4:$DE$146,Schweine_Werte!$DF$4:$DF$146)/SUMPRODUCT($AW$4:$AW$146,Schweine_Werte!$DE$4:$DE$146),IF($B60=$A$6,SUMPRODUCT($AW$4:$AW$146,Schweine_Werte!$BY$4:$BY$146,Schweine_Werte!$BZ$4:$BZ$146)/SUMPRODUCT($AW$4:$AW$146,Schweine_Werte!$BY$4:$BY$146),SUMPRODUCT($AW$4:$AW$146,Schweine_Werte!$AS$4:$AS$146,Schweine_Werte!$AT$4:$AT$146)/SUMPRODUCT($AW$4:$AW$146,Schweine_Werte!$AS$4:$AS$146))))</f>
        <v>#DIV/0!</v>
      </c>
      <c r="AA53" s="730"/>
      <c r="AB53" s="730">
        <f>IF($B60=$A$8,SUMIF(Schweine_Werte!$AO$4:$AO$146,$C60,Schweine_Werte!$EL$4:$EL$146),IF($B60=$A$7,SUMIF(Schweine_Werte!$AO$4:$AO$146,$C60,Schweine_Werte!$DF$4:$DF$146),IF($B60=$A$6,SUMIF(Schweine_Werte!$AO$4:$AO$146,$C60,Schweine_Werte!$BZ$4:$BZ$146),SUMIF(Schweine_Werte!$AO$4:$AO$146,$C60,Schweine_Werte!$AT$4:$AT$146))))</f>
        <v>0</v>
      </c>
      <c r="AC53" s="730"/>
      <c r="AD53" s="730">
        <f>IF($B60=$A$8,SUMIF(Schweine_Werte!$AO$4:$AO$146,$D60,Schweine_Werte!$EL$4:$EL$146),IF($B60=$A$7,SUMIF(Schweine_Werte!$AO$4:$AO$146,$D60,Schweine_Werte!$DF$4:$DF$146),IF($B60=$A$6,SUMIF(Schweine_Werte!$AO$4:$AO$146,$D60,Schweine_Werte!$BZ$4:$BZ$146),SUMIF(Schweine_Werte!$AO$4:$AO$146,$D60,Schweine_Werte!$AT$4:$AT$146))))</f>
        <v>0</v>
      </c>
      <c r="AE53" s="730"/>
      <c r="AF53" s="730"/>
      <c r="AG53" s="730" t="e">
        <f>IF($B60=$A$8,SUMPRODUCT($AW$4:$AW$146,Schweine_Werte!$EK$4:$EK$146)/SUM($AW$4:$AW$146),IF($B60=$A$7,SUMPRODUCT($AW$4:$AW$146,Schweine_Werte!$DE$4:$DE$146)/SUM($AW$4:$AW$146),IF($B60=$A$6,SUMPRODUCT($AW$4:$AW$146,Schweine_Werte!$BY$4:$BY$146)/SUM($AW$4:$AW$146),SUMPRODUCT($AW$4:$AW$146,Schweine_Werte!$AS$4:$AS$146)/SUM($AW$4:$AW$146))))</f>
        <v>#DIV/0!</v>
      </c>
      <c r="AH53" s="730"/>
      <c r="AI53" s="730"/>
      <c r="AJ53" s="730" t="e">
        <f>IF($B60=$A$8,SUMPRODUCT($AW$4:$AW$146,Schweine_Werte!$EK$4:$EK$146,Schweine_Werte!$EM$4:$EM$146)/SUMPRODUCT($AW$4:$AW$146,Schweine_Werte!$EK$4:$EK$146),IF($B60=$A$7,SUMPRODUCT($AW$4:$AW$146,Schweine_Werte!$DE$4:$DE$146,Schweine_Werte!$DG$4:$DG$146)/SUMPRODUCT($AW$4:$AW$146,Schweine_Werte!$DE$4:$DE$146),IF($B60=$A$6,SUMPRODUCT($AW$4:$AW$146,Schweine_Werte!$BY$4:$BY$146,Schweine_Werte!$CA$4:$CA$146)/SUMPRODUCT($AW$4:$AW$146,Schweine_Werte!$BY$4:$BY$146),SUMPRODUCT($AW$4:$AW$146,Schweine_Werte!$AS$4:$AS$146,Schweine_Werte!$AU$4:$AU$146)/SUMPRODUCT($AW$4:$AW$146,Schweine_Werte!$AS$4:$AS$146))))</f>
        <v>#DIV/0!</v>
      </c>
      <c r="AK53" s="730"/>
      <c r="AL53" s="730">
        <f>IF($B60=$A$8,SUMIF(Schweine_Werte!$AO$4:$AO$146,$C60,Schweine_Werte!$EM$4:$EM$146),IF($B60=$A$7,SUMIF(Schweine_Werte!$AO$4:$AO$146,$C60,Schweine_Werte!$DG$4:$DG$146),IF($B60=$A$6,SUMIF(Schweine_Werte!$AO$4:$AO$146,$C60,Schweine_Werte!$CA$4:$CA$146),SUMIF(Schweine_Werte!$AO$4:$AO$146,$C60,Schweine_Werte!$AU$4:$AU$146))))</f>
        <v>0</v>
      </c>
      <c r="AM53" s="730"/>
      <c r="AN53" s="730">
        <f>IF($B60=$A$8,SUMIF(Schweine_Werte!$AO$4:$AO$146,$D60,Schweine_Werte!$EM$4:$EM$146),IF($B60=$A$7,SUMIF(Schweine_Werte!$AO$4:$AO$146,$D60,Schweine_Werte!$DG$4:$DG$146),IF($B60=$A$6,SUMIF(Schweine_Werte!$AO$4:$AO$146,$D60,Schweine_Werte!$CA$4:$CA$146),SUMIF(Schweine_Werte!$AO$4:$AO$146,$D60,Schweine_Werte!$AU$4:$AU$146))))</f>
        <v>0</v>
      </c>
      <c r="AR53" s="806">
        <v>57</v>
      </c>
      <c r="AS53" s="795">
        <f>IF(OR($C$12=$AR53,$D$12=$AR53),Schweine_Werte!$C53*0.5,IF(OR($C$12&gt;$AR53,$D$12&lt;$AR53),0,Schweine_Werte!$C53))</f>
        <v>0</v>
      </c>
      <c r="AT53" s="730">
        <f>IF(OR($C$24=$AR53,$D$24=$AR53),Schweine_Werte!$C53*0.5,IF(OR($C$24&gt;$AR53,$D$24&lt;$AR53),0,Schweine_Werte!$C53))</f>
        <v>0</v>
      </c>
      <c r="AU53" s="795">
        <f>IF(OR($C$36=$AR53,$D$36=$AR53),Schweine_Werte!$C53*0.5,IF(OR($C$36&gt;$AR53,$D$36&lt;$AR53),0,Schweine_Werte!$C53))</f>
        <v>0</v>
      </c>
      <c r="AV53" s="795">
        <f>IF(OR($C$48=$AR53,$D$48=$AR53),Schweine_Werte!$C53*0.5,IF(OR($C$48&gt;$AR53,$D$48&lt;$AR53),0,Schweine_Werte!$C53))</f>
        <v>0</v>
      </c>
      <c r="AW53" s="795">
        <f>IF(OR($C$60=$AR53,$D$60=$AR53),Schweine_Werte!$C53*0.5,IF(OR($C$60&gt;$AR53,$D$60&lt;$AR53),0,Schweine_Werte!$C53))</f>
        <v>0</v>
      </c>
      <c r="AX53" s="795">
        <f>IF(OR($C$12=$AR53,$D$12=$AR53),Schweine_Werte!$E53*0.5,IF(OR($C$12&gt;$AR53,$D$12&lt;$AR53),0,Schweine_Werte!$E53))</f>
        <v>0</v>
      </c>
      <c r="AY53" s="730">
        <f>IF(OR($C$24=$AR53,$D$24=$AR53),Schweine_Werte!$E53*0.5,IF(OR($C$24&gt;$AR53,$D$24&lt;$AR53),0,Schweine_Werte!$E53))</f>
        <v>0</v>
      </c>
      <c r="AZ53" s="730">
        <f>IF(OR($C$36=$AR53,$D$36=$AR53),Schweine_Werte!$E53*0.5,IF(OR($C$36&gt;$AR53,$D$36&lt;$AR53),0,Schweine_Werte!$E53))</f>
        <v>0</v>
      </c>
      <c r="BA53" s="730">
        <f>IF(OR($C$48=$AR53,$D$48=$AR53),Schweine_Werte!$E53*0.5,IF(OR($C$48&gt;$AR53,$D$48&lt;$AR53),0,Schweine_Werte!$E53))</f>
        <v>0</v>
      </c>
      <c r="BB53" s="730">
        <f>IF(OR($C$60=$AR53,$D$60=$AR53),Schweine_Werte!$E53*0.5,IF(OR($C$60&gt;$AR53,$D$60&lt;$AR53),0,Schweine_Werte!$E53))</f>
        <v>0</v>
      </c>
      <c r="BC53" s="795">
        <f>IF(OR($C$12=$AR53,$D$12=$AR53),Schweine_Werte!$G53*0.5,IF(OR($C$12&gt;$AR53,$D$12&lt;$AR53),0,Schweine_Werte!$G53))</f>
        <v>0</v>
      </c>
      <c r="BD53" s="730">
        <f>IF(OR($C$24=$AR53,$D$24=$AR53),Schweine_Werte!$G53*0.5,IF(OR($C$24&gt;$AR53,$D$24&lt;$AR53),0,Schweine_Werte!$G53))</f>
        <v>0</v>
      </c>
      <c r="BE53" s="730">
        <f>IF(OR($C$36=$AR53,$D$36=$AR53),Schweine_Werte!$G53*0.5,IF(OR($C$36&gt;$AR53,$D$36&lt;$AR53),0,Schweine_Werte!$G53))</f>
        <v>0</v>
      </c>
      <c r="BF53" s="730">
        <f>IF(OR($C$48=$AR53,$D$48=$AR53),Schweine_Werte!$G53*0.5,IF(OR($C$48&gt;$AR53,$D$48&lt;$AR53),0,Schweine_Werte!$G53))</f>
        <v>0</v>
      </c>
      <c r="BG53" s="730">
        <f>IF(OR($C$60=$AR53,$D$60=$AR53),Schweine_Werte!$G53*0.5,IF(OR($C$60&gt;$AR53,$D$60&lt;$AR53),0,Schweine_Werte!$G53))</f>
        <v>0</v>
      </c>
      <c r="BH53" s="795">
        <f>IF(OR($C$12=$AR53,$D$12=$AR53),Schweine_Werte!$I53*0.5,IF(OR($C$12&gt;$AR53,$D$12&lt;$AR53),0,Schweine_Werte!$I53))</f>
        <v>0</v>
      </c>
      <c r="BI53" s="730">
        <f>IF(OR($C$24=$AR53,$D$24=$AR53),Schweine_Werte!$I53*0.5,IF(OR($C$24&gt;$AR53,$D$24&lt;$AR53),0,Schweine_Werte!$I53))</f>
        <v>0</v>
      </c>
      <c r="BJ53" s="730">
        <f>IF(OR($C$36=$AR53,$D$36=$AR53),Schweine_Werte!$I53*0.5,IF(OR($C$36&gt;$AR53,$D$36&lt;$AR53),0,Schweine_Werte!$I53))</f>
        <v>0</v>
      </c>
      <c r="BK53" s="730">
        <f>IF(OR($C$48=$AR53,$D$48=$AR53),Schweine_Werte!$I53*0.5,IF(OR($C$48&gt;$AR53,$D$48&lt;$AR53),0,Schweine_Werte!$I53))</f>
        <v>0</v>
      </c>
      <c r="BL53" s="730">
        <f>IF(OR($C$60=$AR53,$D$60=$AR53),Schweine_Werte!$I53*0.5,IF(OR($C$60&gt;$AR53,$D$60&lt;$AR53),0,Schweine_Werte!$I53))</f>
        <v>0</v>
      </c>
      <c r="BM53" s="795"/>
      <c r="BN53" s="730"/>
      <c r="BO53" s="730"/>
      <c r="BP53" s="730"/>
      <c r="BQ53" s="730"/>
      <c r="BR53" s="795">
        <f>IF(OR($C$74=$AR53,$D$74=$AR53),Schweine_Werte!$M53*0.5,IF(OR($C$74&gt;$AR53,$D$74&lt;$AR53),0,Schweine_Werte!$M53))</f>
        <v>0</v>
      </c>
      <c r="BS53" s="795">
        <f>IF(OR($C$83=$AR53,$D$83=$AR53),Schweine_Werte!$M53*0.5,IF(OR($C$83&gt;$AR53,$D$83&lt;$AR53),0,Schweine_Werte!$M53))</f>
        <v>0</v>
      </c>
      <c r="BT53" s="797">
        <f>IF(OR($C$92=$AR53,$D$92=$AR53),Schweine_Werte!$M53*0.5,IF(OR($C$92&gt;$AR53,$D$92&lt;$AR53),0,Schweine_Werte!$M53))</f>
        <v>0</v>
      </c>
      <c r="BU53" s="797">
        <f>IF(OR($C$101=$AR53,$D$101=$AR53),Schweine_Werte!$M53*0.5,IF(OR($C$101&gt;$AR53,$D$101&lt;$AR53),0,Schweine_Werte!$M53))</f>
        <v>0</v>
      </c>
      <c r="BV53" s="797">
        <f>IF(OR($C$110=$AR53,$D$110=$AR53),Schweine_Werte!$M53*0.5,IF(OR($C$110&gt;$AR53,$D$110&lt;$AR53),0,Schweine_Werte!$M53))</f>
        <v>0</v>
      </c>
      <c r="BW53" s="797">
        <f>IF(OR(8=$AR53,$E$127=$AR53),Schweine_Werte!$M53*0.5,IF(OR(8&gt;$AR53,$E$127&lt;$AR53),0,Schweine_Werte!$M53))</f>
        <v>1.1497168538831328</v>
      </c>
      <c r="BX53" s="797">
        <f>IF(OR(8=$AR53,$E$145=$AR53),Schweine_Werte!$M53*0.5,IF(OR(8&gt;$AR53,$E$145&lt;$AR53),0,Schweine_Werte!$M53))</f>
        <v>1.1497168538831328</v>
      </c>
      <c r="BY53" s="795">
        <f>IF(OR($C$74=$AR53,$D$74=$AR53),Schweine_Werte!$O53*0.5,IF(OR($C$74&gt;$AR53,$D$74&lt;$AR53),0,Schweine_Werte!$O53))</f>
        <v>0</v>
      </c>
      <c r="BZ53" s="795">
        <f>IF(OR($C$83=$AR53,$D$83=$AR53),Schweine_Werte!$O53*0.5,IF(OR($C$83&gt;$AR53,$D$83&lt;$AR53),0,Schweine_Werte!$O53))</f>
        <v>0</v>
      </c>
      <c r="CA53" s="797">
        <f>IF(OR($C$92=$AR53,$D$92=$AR53),Schweine_Werte!$O53*0.5,IF(OR($C$92&gt;$AR53,$D$92&lt;$AR53),0,Schweine_Werte!$O53))</f>
        <v>0</v>
      </c>
      <c r="CB53" s="797">
        <f>IF(OR($C$101=$AR53,$D$101=$AR53),Schweine_Werte!$O53*0.5,IF(OR($C$101&gt;$AR53,$D$101&lt;$AR53),0,Schweine_Werte!$O53))</f>
        <v>0</v>
      </c>
      <c r="CC53" s="797">
        <f>IF(OR($C$110=$AR53,$D$110=$AR53),Schweine_Werte!$O53*0.5,IF(OR($C$110&gt;$AR53,$D$110&lt;$AR53),0,Schweine_Werte!$O53))</f>
        <v>0</v>
      </c>
    </row>
    <row r="54" spans="1:81" x14ac:dyDescent="0.25">
      <c r="B54" s="705">
        <v>750</v>
      </c>
      <c r="D54" s="798"/>
      <c r="E54" s="730" t="e">
        <f>($D60-$C60)*1000/SUM($BB$4:$BB$146)</f>
        <v>#VALUE!</v>
      </c>
      <c r="F54" s="730" t="e">
        <f>SUMPRODUCT($BB$4:$BB$146,Schweine_Werte!$R$4:$R$146)/SUM($BB$4:$BB$146)</f>
        <v>#DIV/0!</v>
      </c>
      <c r="G54" s="730" t="e">
        <f>IF($B60=$A$8,SUMPRODUCT($BB$4:$BB$146,Schweine_Werte!EN$4:EN$146)/SUM($BB$4:$BB$146),IF($B60=$A$7,SUMPRODUCT($BB$4:$BB$146,Schweine_Werte!DH$4:DH$146)/SUM($BB$4:$BB$146),IF($B60=$A$6,SUMPRODUCT($BB$4:$BB$146,Schweine_Werte!CB$4:CB$146)/SUM($BB$4:$BB$146),SUMPRODUCT($BB$4:$BB$146,Schweine_Werte!AV$4:AV$146)/SUM($BB$4:$BB$146))))</f>
        <v>#DIV/0!</v>
      </c>
      <c r="H54" s="730" t="e">
        <f>IF($B60=$A$8,SUMPRODUCT($BB$4:$BB$146,Schweine_Werte!EO$4:EO$146)/SUM($BB$4:$BB$146),IF($B60=$A$7,SUMPRODUCT($BB$4:$BB$146,Schweine_Werte!DI$4:DI$146)/SUM($BB$4:$BB$146),IF($B60=$A$6,SUMPRODUCT($BB$4:$BB$146,Schweine_Werte!CC$4:CC$146)/SUM($BB$4:$BB$146),SUMPRODUCT($BB$4:$BB$146,Schweine_Werte!AW$4:AW$146)/SUM($BB$4:$BB$146))))</f>
        <v>#DIV/0!</v>
      </c>
      <c r="I54" s="730" t="e">
        <f>IF($B60=$A$8,SUMPRODUCT($BB$4:$BB$146,Schweine_Werte!EP$4:EP$146)/SUM($BB$4:$BB$146),IF($B60=$A$7,SUMPRODUCT($BB$4:$BB$146,Schweine_Werte!DJ$4:DJ$146)/SUM($BB$4:$BB$146),IF($B60=$A$6,SUMPRODUCT($BB$4:$BB$146,Schweine_Werte!CD$4:CD$146)/SUM($BB$4:$BB$146),SUMPRODUCT($BB$4:$BB$146,Schweine_Werte!AX$4:AX$146)/SUM($BB$4:$BB$146))))</f>
        <v>#DIV/0!</v>
      </c>
      <c r="J54" s="730" t="e">
        <f>SUMPRODUCT($BB$4:$BB$146,Schweine_Werte!$Z$4:$Z$146)/SUM($BB$4:$BB$146)</f>
        <v>#DIV/0!</v>
      </c>
      <c r="K54" s="730" t="e">
        <f>SUMPRODUCT($BB$4:$BB$146,Schweine_Werte!$AH$4:$AH$146)/SUM($BB$4:$BB$146)</f>
        <v>#DIV/0!</v>
      </c>
      <c r="L54" s="818" t="e">
        <f>T54*$F54*365/1000+$J54-$K54</f>
        <v>#DIV/0!</v>
      </c>
      <c r="M54" s="730" t="e">
        <f>U54*$F54*365/1000+$J54-$K54/2</f>
        <v>#DIV/0!</v>
      </c>
      <c r="N54" s="730" t="e">
        <f>V54*$F54*365/1000+$J54</f>
        <v>#DIV/0!</v>
      </c>
      <c r="O54" s="730">
        <f>IF($C60&lt;28,SUM($BB$4:$BB$23)+IF($D60&gt;28,$BB$24*0.5,$BB$24),0)</f>
        <v>0</v>
      </c>
      <c r="P54" s="730">
        <f>IF($D60&gt;28,SUM($BB$25:$BB$146)+IF($C60&lt;28,$BB$24*0.5,$BB$24),0)</f>
        <v>0</v>
      </c>
      <c r="Q54" s="730" t="e">
        <f t="shared" si="32"/>
        <v>#DIV/0!</v>
      </c>
      <c r="R54" s="730" t="e">
        <f t="shared" si="32"/>
        <v>#DIV/0!</v>
      </c>
      <c r="S54" s="730" t="e">
        <f t="shared" si="32"/>
        <v>#DIV/0!</v>
      </c>
      <c r="T54" s="730" t="e">
        <f>+($O54*Schweine_Werte!$HT$6+$P54*Schweine_Werte!$HU$6)/SUM($O54:$P54)</f>
        <v>#DIV/0!</v>
      </c>
      <c r="U54" s="730" t="e">
        <f>+($O54*Schweine_Werte!$HV$6+$P54*Schweine_Werte!$HW$6)/SUM($O54:$P54)</f>
        <v>#DIV/0!</v>
      </c>
      <c r="V54" s="730" t="e">
        <f>+($O54*Schweine_Werte!$HX$6+$P54*Schweine_Werte!$HY$6)/SUM($O54:$P54)</f>
        <v>#DIV/0!</v>
      </c>
      <c r="W54" s="785" t="e">
        <f>($J54*0.055+T54*0.365*0.86*$F54-$K54*0.018)/L54*100</f>
        <v>#DIV/0!</v>
      </c>
      <c r="X54" s="730" t="e">
        <f>($J54*0.055+U54*0.365*0.86*$F54-$K54*0.018/2)/M54*100</f>
        <v>#DIV/0!</v>
      </c>
      <c r="Y54" s="730" t="e">
        <f>($J54*0.055+V54*0.365*0.86*$F54)/N54*100</f>
        <v>#DIV/0!</v>
      </c>
      <c r="Z54" s="730" t="e">
        <f>IF($B60=$A$8,SUMPRODUCT($BB$4:$BB$146,Schweine_Werte!$EQ$4:$EQ$146,Schweine_Werte!$ER$4:$ER$146)/SUMPRODUCT($BB$4:$BB$146,Schweine_Werte!$EQ$4:$EQ$146),IF($B60=$A$7,SUMPRODUCT($BB$4:$BB$146,Schweine_Werte!$DK$4:$DK$146,Schweine_Werte!$DL$4:$DL$146)/SUMPRODUCT($BB$4:$BB$146,Schweine_Werte!$DK$4:$DK$146),IF($B60=$A$6,SUMPRODUCT($BB$4:$BB$146,Schweine_Werte!$CE$4:$CE$146,Schweine_Werte!$CF$4:$CF$146)/SUMPRODUCT($BB$4:$BB$146,Schweine_Werte!$CE$4:$CE$146),SUMPRODUCT($BB$4:$BB$146,Schweine_Werte!$AY$4:$AY$146,Schweine_Werte!$AZ$4:$AZ$146)/SUMPRODUCT($BB$4:$BB$146,Schweine_Werte!$AY$4:$AY$146))))</f>
        <v>#DIV/0!</v>
      </c>
      <c r="AA54" s="730"/>
      <c r="AB54" s="730">
        <f>IF($B60=$A$8,SUMIF(Schweine_Werte!$AO$4:$AO$146,$C60,Schweine_Werte!$ER$4:$ER$146),IF($B60=$A$7,SUMIF(Schweine_Werte!$AO$4:$AO$146,$C60,Schweine_Werte!$DL$4:$DL$146),IF($B60=$A$6,SUMIF(Schweine_Werte!$AO$4:$AO$146,$C60,Schweine_Werte!$CF$4:$CF$146),SUMIF(Schweine_Werte!$AO$4:$AO$146,$C60,Schweine_Werte!$AZ$4:$AZ$146))))</f>
        <v>0</v>
      </c>
      <c r="AC54" s="730"/>
      <c r="AD54" s="730">
        <f>IF($B60=$A$8,SUMIF(Schweine_Werte!$AO$4:$AO$146,$D60,Schweine_Werte!$ER$4:$ER$146),IF($B60=$A$7,SUMIF(Schweine_Werte!$AO$4:$AO$146,$D60,Schweine_Werte!$DL$4:$DL$146),IF($B60=$A$6,SUMIF(Schweine_Werte!$AO$4:$AO$146,$D60,Schweine_Werte!$CF$4:$CF$146),SUMIF(Schweine_Werte!$AO$4:$AO$146,$D60,Schweine_Werte!$AZ$4:$AZ$146))))</f>
        <v>0</v>
      </c>
      <c r="AE54" s="730"/>
      <c r="AF54" s="730"/>
      <c r="AG54" s="730" t="e">
        <f>IF($B60=$A$8,SUMPRODUCT($BB$4:$BB$146,Schweine_Werte!$EQ$4:$EQ$146)/SUM($BB$4:$BB$146),IF($B60=$A$7,SUMPRODUCT($BB$4:$BB$146,Schweine_Werte!$DK$4:$DK$146)/SUM($BB$4:$BB$146),IF($B60=$A$6,SUMPRODUCT($BB$4:$BB$146,Schweine_Werte!$CE$4:$CE$146)/SUM($BB$4:$BB$146),SUMPRODUCT($BB$4:$BB$146,Schweine_Werte!$AY$4:$AY$146)/SUM($BB$4:$BB$146))))</f>
        <v>#DIV/0!</v>
      </c>
      <c r="AH54" s="730"/>
      <c r="AI54" s="730"/>
      <c r="AJ54" s="730" t="e">
        <f>IF($B60=$A$8,SUMPRODUCT($BB$4:$BB$146,Schweine_Werte!$EQ$4:$EQ$146,Schweine_Werte!$ES$4:$ES$146)/SUMPRODUCT($BB$4:$BB$146,Schweine_Werte!$EQ$4:$EQ$146),IF($B60=$A$7,SUMPRODUCT($BB$4:$BB$146,Schweine_Werte!$DK$4:$DK$146,Schweine_Werte!$DM$4:$DM$146)/SUMPRODUCT($BB$4:$BB$146,Schweine_Werte!$DK$4:$DK$146),IF($B60=$A$6,SUMPRODUCT($BB$4:$BB$146,Schweine_Werte!$CE$4:$CE$146,Schweine_Werte!$CG$4:$CG$146)/SUMPRODUCT($BB$4:$BB$146,Schweine_Werte!$CE$4:$CE$146),SUMPRODUCT($BB$4:$BB$146,Schweine_Werte!$AY$4:$AY$146,Schweine_Werte!$BA$4:$BA$146)/SUMPRODUCT($BB$4:$BB$146,Schweine_Werte!$AY$4:$AY$146))))</f>
        <v>#DIV/0!</v>
      </c>
      <c r="AK54" s="730"/>
      <c r="AL54" s="730">
        <f>IF($B60=$A$8,SUMIF(Schweine_Werte!$AO$4:$AO$146,$C60,Schweine_Werte!$ES$4:$ES$146),IF($B60=$A$7,SUMIF(Schweine_Werte!$AO$4:$AO$146,$C60,Schweine_Werte!$DM$4:$DM$146),IF($B60=$A$6,SUMIF(Schweine_Werte!$AO$4:$AO$146,$C60,Schweine_Werte!$CG$4:$CG$146),SUMIF(Schweine_Werte!$AO$4:$AO$146,$C60,Schweine_Werte!$BA$4:$BA$146))))</f>
        <v>0</v>
      </c>
      <c r="AM54" s="730"/>
      <c r="AN54" s="730">
        <f>IF($B60=$A$8,SUMIF(Schweine_Werte!$AO$4:$AO$146,$D60,Schweine_Werte!$ES$4:$ES$146),IF($B60=$A$7,SUMIF(Schweine_Werte!$AO$4:$AO$146,$D60,Schweine_Werte!$DM$4:$DM$146),IF($B60=$A$6,SUMIF(Schweine_Werte!$AO$4:$AO$146,$D60,Schweine_Werte!$CG$4:$CG$146),SUMIF(Schweine_Werte!$AO$4:$AO$146,$D60,Schweine_Werte!$BA$4:$BA$146))))</f>
        <v>0</v>
      </c>
      <c r="AR54" s="806">
        <v>58</v>
      </c>
      <c r="AS54" s="795">
        <f>IF(OR($C$12=$AR54,$D$12=$AR54),Schweine_Werte!$C54*0.5,IF(OR($C$12&gt;$AR54,$D$12&lt;$AR54),0,Schweine_Werte!$C54))</f>
        <v>0</v>
      </c>
      <c r="AT54" s="730">
        <f>IF(OR($C$24=$AR54,$D$24=$AR54),Schweine_Werte!$C54*0.5,IF(OR($C$24&gt;$AR54,$D$24&lt;$AR54),0,Schweine_Werte!$C54))</f>
        <v>0</v>
      </c>
      <c r="AU54" s="795">
        <f>IF(OR($C$36=$AR54,$D$36=$AR54),Schweine_Werte!$C54*0.5,IF(OR($C$36&gt;$AR54,$D$36&lt;$AR54),0,Schweine_Werte!$C54))</f>
        <v>0</v>
      </c>
      <c r="AV54" s="795">
        <f>IF(OR($C$48=$AR54,$D$48=$AR54),Schweine_Werte!$C54*0.5,IF(OR($C$48&gt;$AR54,$D$48&lt;$AR54),0,Schweine_Werte!$C54))</f>
        <v>0</v>
      </c>
      <c r="AW54" s="795">
        <f>IF(OR($C$60=$AR54,$D$60=$AR54),Schweine_Werte!$C54*0.5,IF(OR($C$60&gt;$AR54,$D$60&lt;$AR54),0,Schweine_Werte!$C54))</f>
        <v>0</v>
      </c>
      <c r="AX54" s="795">
        <f>IF(OR($C$12=$AR54,$D$12=$AR54),Schweine_Werte!$E54*0.5,IF(OR($C$12&gt;$AR54,$D$12&lt;$AR54),0,Schweine_Werte!$E54))</f>
        <v>0</v>
      </c>
      <c r="AY54" s="730">
        <f>IF(OR($C$24=$AR54,$D$24=$AR54),Schweine_Werte!$E54*0.5,IF(OR($C$24&gt;$AR54,$D$24&lt;$AR54),0,Schweine_Werte!$E54))</f>
        <v>0</v>
      </c>
      <c r="AZ54" s="730">
        <f>IF(OR($C$36=$AR54,$D$36=$AR54),Schweine_Werte!$E54*0.5,IF(OR($C$36&gt;$AR54,$D$36&lt;$AR54),0,Schweine_Werte!$E54))</f>
        <v>0</v>
      </c>
      <c r="BA54" s="730">
        <f>IF(OR($C$48=$AR54,$D$48=$AR54),Schweine_Werte!$E54*0.5,IF(OR($C$48&gt;$AR54,$D$48&lt;$AR54),0,Schweine_Werte!$E54))</f>
        <v>0</v>
      </c>
      <c r="BB54" s="730">
        <f>IF(OR($C$60=$AR54,$D$60=$AR54),Schweine_Werte!$E54*0.5,IF(OR($C$60&gt;$AR54,$D$60&lt;$AR54),0,Schweine_Werte!$E54))</f>
        <v>0</v>
      </c>
      <c r="BC54" s="795">
        <f>IF(OR($C$12=$AR54,$D$12=$AR54),Schweine_Werte!$G54*0.5,IF(OR($C$12&gt;$AR54,$D$12&lt;$AR54),0,Schweine_Werte!$G54))</f>
        <v>0</v>
      </c>
      <c r="BD54" s="730">
        <f>IF(OR($C$24=$AR54,$D$24=$AR54),Schweine_Werte!$G54*0.5,IF(OR($C$24&gt;$AR54,$D$24&lt;$AR54),0,Schweine_Werte!$G54))</f>
        <v>0</v>
      </c>
      <c r="BE54" s="730">
        <f>IF(OR($C$36=$AR54,$D$36=$AR54),Schweine_Werte!$G54*0.5,IF(OR($C$36&gt;$AR54,$D$36&lt;$AR54),0,Schweine_Werte!$G54))</f>
        <v>0</v>
      </c>
      <c r="BF54" s="730">
        <f>IF(OR($C$48=$AR54,$D$48=$AR54),Schweine_Werte!$G54*0.5,IF(OR($C$48&gt;$AR54,$D$48&lt;$AR54),0,Schweine_Werte!$G54))</f>
        <v>0</v>
      </c>
      <c r="BG54" s="730">
        <f>IF(OR($C$60=$AR54,$D$60=$AR54),Schweine_Werte!$G54*0.5,IF(OR($C$60&gt;$AR54,$D$60&lt;$AR54),0,Schweine_Werte!$G54))</f>
        <v>0</v>
      </c>
      <c r="BH54" s="795">
        <f>IF(OR($C$12=$AR54,$D$12=$AR54),Schweine_Werte!$I54*0.5,IF(OR($C$12&gt;$AR54,$D$12&lt;$AR54),0,Schweine_Werte!$I54))</f>
        <v>0</v>
      </c>
      <c r="BI54" s="730">
        <f>IF(OR($C$24=$AR54,$D$24=$AR54),Schweine_Werte!$I54*0.5,IF(OR($C$24&gt;$AR54,$D$24&lt;$AR54),0,Schweine_Werte!$I54))</f>
        <v>0</v>
      </c>
      <c r="BJ54" s="730">
        <f>IF(OR($C$36=$AR54,$D$36=$AR54),Schweine_Werte!$I54*0.5,IF(OR($C$36&gt;$AR54,$D$36&lt;$AR54),0,Schweine_Werte!$I54))</f>
        <v>0</v>
      </c>
      <c r="BK54" s="730">
        <f>IF(OR($C$48=$AR54,$D$48=$AR54),Schweine_Werte!$I54*0.5,IF(OR($C$48&gt;$AR54,$D$48&lt;$AR54),0,Schweine_Werte!$I54))</f>
        <v>0</v>
      </c>
      <c r="BL54" s="730">
        <f>IF(OR($C$60=$AR54,$D$60=$AR54),Schweine_Werte!$I54*0.5,IF(OR($C$60&gt;$AR54,$D$60&lt;$AR54),0,Schweine_Werte!$I54))</f>
        <v>0</v>
      </c>
      <c r="BM54" s="795"/>
      <c r="BN54" s="730"/>
      <c r="BO54" s="730"/>
      <c r="BP54" s="730"/>
      <c r="BQ54" s="730"/>
      <c r="BR54" s="795">
        <f>IF(OR($C$74=$AR54,$D$74=$AR54),Schweine_Werte!$M54*0.5,IF(OR($C$74&gt;$AR54,$D$74&lt;$AR54),0,Schweine_Werte!$M54))</f>
        <v>0</v>
      </c>
      <c r="BS54" s="795">
        <f>IF(OR($C$83=$AR54,$D$83=$AR54),Schweine_Werte!$M54*0.5,IF(OR($C$83&gt;$AR54,$D$83&lt;$AR54),0,Schweine_Werte!$M54))</f>
        <v>0</v>
      </c>
      <c r="BT54" s="797">
        <f>IF(OR($C$92=$AR54,$D$92=$AR54),Schweine_Werte!$M54*0.5,IF(OR($C$92&gt;$AR54,$D$92&lt;$AR54),0,Schweine_Werte!$M54))</f>
        <v>0</v>
      </c>
      <c r="BU54" s="797">
        <f>IF(OR($C$101=$AR54,$D$101=$AR54),Schweine_Werte!$M54*0.5,IF(OR($C$101&gt;$AR54,$D$101&lt;$AR54),0,Schweine_Werte!$M54))</f>
        <v>0</v>
      </c>
      <c r="BV54" s="797">
        <f>IF(OR($C$110=$AR54,$D$110=$AR54),Schweine_Werte!$M54*0.5,IF(OR($C$110&gt;$AR54,$D$110&lt;$AR54),0,Schweine_Werte!$M54))</f>
        <v>0</v>
      </c>
      <c r="BW54" s="797">
        <f>IF(OR(8=$AR54,$E$127=$AR54),Schweine_Werte!$M54*0.5,IF(OR(8&gt;$AR54,$E$127&lt;$AR54),0,Schweine_Werte!$M54))</f>
        <v>1.1438763474186027</v>
      </c>
      <c r="BX54" s="797">
        <f>IF(OR(8=$AR54,$E$145=$AR54),Schweine_Werte!$M54*0.5,IF(OR(8&gt;$AR54,$E$145&lt;$AR54),0,Schweine_Werte!$M54))</f>
        <v>1.1438763474186027</v>
      </c>
      <c r="BY54" s="795">
        <f>IF(OR($C$74=$AR54,$D$74=$AR54),Schweine_Werte!$O54*0.5,IF(OR($C$74&gt;$AR54,$D$74&lt;$AR54),0,Schweine_Werte!$O54))</f>
        <v>0</v>
      </c>
      <c r="BZ54" s="795">
        <f>IF(OR($C$83=$AR54,$D$83=$AR54),Schweine_Werte!$O54*0.5,IF(OR($C$83&gt;$AR54,$D$83&lt;$AR54),0,Schweine_Werte!$O54))</f>
        <v>0</v>
      </c>
      <c r="CA54" s="797">
        <f>IF(OR($C$92=$AR54,$D$92=$AR54),Schweine_Werte!$O54*0.5,IF(OR($C$92&gt;$AR54,$D$92&lt;$AR54),0,Schweine_Werte!$O54))</f>
        <v>0</v>
      </c>
      <c r="CB54" s="797">
        <f>IF(OR($C$101=$AR54,$D$101=$AR54),Schweine_Werte!$O54*0.5,IF(OR($C$101&gt;$AR54,$D$101&lt;$AR54),0,Schweine_Werte!$O54))</f>
        <v>0</v>
      </c>
      <c r="CC54" s="797">
        <f>IF(OR($C$110=$AR54,$D$110=$AR54),Schweine_Werte!$O54*0.5,IF(OR($C$110&gt;$AR54,$D$110&lt;$AR54),0,Schweine_Werte!$O54))</f>
        <v>0</v>
      </c>
    </row>
    <row r="55" spans="1:81" x14ac:dyDescent="0.25">
      <c r="B55" s="705">
        <v>850</v>
      </c>
      <c r="D55" s="730"/>
      <c r="E55" s="730" t="e">
        <f>($D60-$C60)*1000/SUM($BG$4:$BG$146)</f>
        <v>#VALUE!</v>
      </c>
      <c r="F55" s="730" t="e">
        <f>SUMPRODUCT($BG$4:$BG$146,Schweine_Werte!$S$4:$S$146)/SUM($BG$4:$BG$146)</f>
        <v>#DIV/0!</v>
      </c>
      <c r="G55" s="730" t="e">
        <f>IF($B60=$A$8,SUMPRODUCT($BG$4:$BG$146,Schweine_Werte!ET$4:ET$146)/SUM($BG$4:$BG$146),IF($B60=$A$7,SUMPRODUCT($BG$4:$BG$146,Schweine_Werte!DN$4:DN$146)/SUM($BG$4:$BG$146),IF($B60=$A$6,SUMPRODUCT($BG$4:$BG$146,Schweine_Werte!CH$4:CH$146)/SUM($BG$4:$BG$146),SUMPRODUCT($BG$4:$BG$146,Schweine_Werte!BB$4:BB$146)/SUM($BG$4:$BG$146))))</f>
        <v>#DIV/0!</v>
      </c>
      <c r="H55" s="730" t="e">
        <f>IF($B60=$A$8,SUMPRODUCT($BG$4:$BG$146,Schweine_Werte!EU$4:EU$146)/SUM($BG$4:$BG$146),IF($B60=$A$7,SUMPRODUCT($BG$4:$BG$146,Schweine_Werte!DO$4:DO$146)/SUM($BG$4:$BG$146),IF($B60=$A$6,SUMPRODUCT($BG$4:$BG$146,Schweine_Werte!CI$4:CI$146)/SUM($BG$4:$BG$146),SUMPRODUCT($BG$4:$BG$146,Schweine_Werte!BC$4:BC$146)/SUM($BG$4:$BG$146))))</f>
        <v>#DIV/0!</v>
      </c>
      <c r="I55" s="730" t="e">
        <f>IF($B60=$A$8,SUMPRODUCT($BG$4:$BG$146,Schweine_Werte!EV$4:EV$146)/SUM($BG$4:$BG$146),IF($B60=$A$7,SUMPRODUCT($BG$4:$BG$146,Schweine_Werte!DP$4:DP$146)/SUM($BG$4:$BG$146),IF($B60=$A$6,SUMPRODUCT($BG$4:$BG$146,Schweine_Werte!CJ$4:CJ$146)/SUM($BG$4:$BG$146),SUMPRODUCT($BG$4:$BG$146,Schweine_Werte!BD$4:BD$146)/SUM($BG$4:$BG$146))))</f>
        <v>#DIV/0!</v>
      </c>
      <c r="J55" s="730" t="e">
        <f>SUMPRODUCT($BG$4:$BG$146,Schweine_Werte!$AA$4:$AA$146)/SUM($BG$4:$BG$146)</f>
        <v>#DIV/0!</v>
      </c>
      <c r="K55" s="730" t="e">
        <f>SUMPRODUCT($BG$4:$BG$146,Schweine_Werte!$AI$4:$AI$146)/SUM($BG$4:$BG$146)</f>
        <v>#DIV/0!</v>
      </c>
      <c r="L55" s="818" t="e">
        <f>T55*$F55*365/1000+$J55-$K55</f>
        <v>#DIV/0!</v>
      </c>
      <c r="M55" s="730" t="e">
        <f>U55*$F55*365/1000+$J55-$K55/2</f>
        <v>#DIV/0!</v>
      </c>
      <c r="N55" s="730" t="e">
        <f>V55*$F55*365/1000+$J55</f>
        <v>#DIV/0!</v>
      </c>
      <c r="O55" s="730">
        <f>IF($C60&lt;28,SUM($BG$4:$BG$23)+IF($D60&gt;28,$BG$24*0.5,$BG$24),0)</f>
        <v>0</v>
      </c>
      <c r="P55" s="730">
        <f>IF($D60&gt;28,SUM($BG$25:$BG$146)+IF($C60&lt;28,$BG$24*0.5,$BG$24),0)</f>
        <v>0</v>
      </c>
      <c r="Q55" s="730" t="e">
        <f t="shared" si="32"/>
        <v>#DIV/0!</v>
      </c>
      <c r="R55" s="730" t="e">
        <f t="shared" si="32"/>
        <v>#DIV/0!</v>
      </c>
      <c r="S55" s="730" t="e">
        <f t="shared" si="32"/>
        <v>#DIV/0!</v>
      </c>
      <c r="T55" s="730" t="e">
        <f>+($O55*Schweine_Werte!$HT$7+$P55*Schweine_Werte!$HU$7)/SUM($O55:$P55)</f>
        <v>#DIV/0!</v>
      </c>
      <c r="U55" s="730" t="e">
        <f>+($O55*Schweine_Werte!$HV$7+$P55*Schweine_Werte!$HW$7)/SUM($O55:$P55)</f>
        <v>#DIV/0!</v>
      </c>
      <c r="V55" s="730" t="e">
        <f>+($O55*Schweine_Werte!$HX$7+$P55*Schweine_Werte!$HY$7)/SUM($O55:$P55)</f>
        <v>#DIV/0!</v>
      </c>
      <c r="W55" s="730" t="e">
        <f>($J55*0.055+T55*0.365*0.86*$F55-$K55*0.018)/L55*100</f>
        <v>#DIV/0!</v>
      </c>
      <c r="X55" s="730" t="e">
        <f>($J55*0.055+U55*0.365*0.86*$F55-$K55*0.018/2)/M55*100</f>
        <v>#DIV/0!</v>
      </c>
      <c r="Y55" s="730" t="e">
        <f>($J55*0.055+V55*0.365*0.86*$F55)/N55*100</f>
        <v>#DIV/0!</v>
      </c>
      <c r="Z55" s="730" t="e">
        <f>IF($B60=$A$8,SUMPRODUCT($BG$4:$BG$146,Schweine_Werte!$EW$4:$EW$146,Schweine_Werte!$EX$4:$EX$146)/SUMPRODUCT($BG$4:$BG$146,Schweine_Werte!$EW$4:$EW$146),IF($B60=$A$7,SUMPRODUCT($BG$4:$BG$146,Schweine_Werte!$DQ$4:$DQ$146,Schweine_Werte!$DR$4:$DR$146)/SUMPRODUCT($BG$4:$BG$146,Schweine_Werte!$DQ$4:$DQ$146),IF($B60=$A$6,SUMPRODUCT($BG$4:$BG$146,Schweine_Werte!$CK$4:$CK$146,Schweine_Werte!$CL$4:$CL$146)/SUMPRODUCT($BG$4:$BG$146,Schweine_Werte!$CK$4:$CK$146),SUMPRODUCT($BG$4:$BG$146,Schweine_Werte!$BE$4:$BE$146,Schweine_Werte!$BF$4:$BF$146)/SUMPRODUCT($BG$4:$BG$146,Schweine_Werte!$BE$4:$BE$146))))</f>
        <v>#DIV/0!</v>
      </c>
      <c r="AA55" s="730"/>
      <c r="AB55" s="730">
        <f>IF($B60=$A$8,SUMIF(Schweine_Werte!$AO$4:$AO$146,$C60,Schweine_Werte!$EX$4:$EX$146),IF($B60=$A$7,SUMIF(Schweine_Werte!$AO$4:$AO$146,$C60,Schweine_Werte!$DR$4:$DR$146),IF($B60=$A$6,SUMIF(Schweine_Werte!$AO$4:$AO$146,$C60,Schweine_Werte!$CL$4:$CL$146),SUMIF(Schweine_Werte!$AO$4:$AO$146,$C60,Schweine_Werte!$BF$4:$BF$146))))</f>
        <v>0</v>
      </c>
      <c r="AC55" s="730"/>
      <c r="AD55" s="730">
        <f>IF($B60=$A$8,SUMIF(Schweine_Werte!$AO$4:$AO$146,$D60,Schweine_Werte!$EX$4:$EX$146),IF($B60=$A$7,SUMIF(Schweine_Werte!$AO$4:$AO$146,$D60,Schweine_Werte!$DR$4:$DR$146),IF($B60=$A$6,SUMIF(Schweine_Werte!$AO$4:$AO$146,$D60,Schweine_Werte!$CL$4:$CL$146),SUMIF(Schweine_Werte!$AO$4:$AO$146,$D60,Schweine_Werte!$BF$4:$BF$146))))</f>
        <v>0</v>
      </c>
      <c r="AE55" s="730"/>
      <c r="AF55" s="730"/>
      <c r="AG55" s="730" t="e">
        <f>IF($B60=$A$8,SUMPRODUCT($BG$4:$BG$146,Schweine_Werte!$EW$4:$EW$146)/SUM($BG$4:$BG$146),IF($B60=$A$7,SUMPRODUCT($BG$4:$BG$146,Schweine_Werte!$DQ$4:$DQ$146)/SUM($BG$4:$BG$146),IF($B60=$A$6,SUMPRODUCT($BG$4:$BG$146,Schweine_Werte!$CK$4:$CK$146)/SUM($BG$4:$BG$146),SUMPRODUCT($BG$4:$BG$146,Schweine_Werte!$BE$4:$BE$146)/SUM($BG$4:$BG$146))))</f>
        <v>#DIV/0!</v>
      </c>
      <c r="AH55" s="730"/>
      <c r="AI55" s="730"/>
      <c r="AJ55" s="730" t="e">
        <f>IF($B60=$A$8,SUMPRODUCT($BG$4:$BG$146,Schweine_Werte!$EW$4:$EW$146,Schweine_Werte!$EY$4:$EY$146)/SUMPRODUCT($BG$4:$BG$146,Schweine_Werte!$EW$4:$EW$146),IF($B60=$A$7,SUMPRODUCT($BG$4:$BG$146,Schweine_Werte!$DQ$4:$DQ$146,Schweine_Werte!$DS$4:$DS$146)/SUMPRODUCT($BG$4:$BG$146,Schweine_Werte!$DQ$4:$DQ$146),IF($B60=$A$6,SUMPRODUCT($BG$4:$BG$146,Schweine_Werte!$CK$4:$CK$146,Schweine_Werte!$CM$4:$CM$146)/SUMPRODUCT($BG$4:$BG$146,Schweine_Werte!$CK$4:$CK$146),SUMPRODUCT($BG$4:$BG$146,Schweine_Werte!$BE$4:$BE$146,Schweine_Werte!$BG$4:$BG$146)/SUMPRODUCT($BG$4:$BG$146,Schweine_Werte!$BE$4:$BE$146))))</f>
        <v>#DIV/0!</v>
      </c>
      <c r="AK55" s="730"/>
      <c r="AL55" s="730">
        <f>IF($B60=$A$8,SUMIF(Schweine_Werte!$AO$4:$AO$146,$C60,Schweine_Werte!$EY$4:$EY$146),IF($B60=$A$7,SUMIF(Schweine_Werte!$AO$4:$AO$146,$C60,Schweine_Werte!$DS$4:$DS$146),IF($B60=$A$6,SUMIF(Schweine_Werte!$AO$4:$AO$146,$C60,Schweine_Werte!$CM$4:$CM$146),SUMIF(Schweine_Werte!$AO$4:$AO$146,$C60,Schweine_Werte!$BG$4:$BG$146))))</f>
        <v>0</v>
      </c>
      <c r="AM55" s="730"/>
      <c r="AN55" s="730">
        <f>IF($B60=$A$8,SUMIF(Schweine_Werte!$AO$4:$AO$146,$D60,Schweine_Werte!$EY$4:$EY$146),IF($B60=$A$7,SUMIF(Schweine_Werte!$AO$4:$AO$146,$D60,Schweine_Werte!$DS$4:$DS$146),IF($B60=$A$6,SUMIF(Schweine_Werte!$AO$4:$AO$146,$D60,Schweine_Werte!$CM$4:$CM$146),SUMIF(Schweine_Werte!$AO$4:$AO$146,$D60,Schweine_Werte!$BG$4:$BG$146))))</f>
        <v>0</v>
      </c>
      <c r="AR55" s="806">
        <v>59</v>
      </c>
      <c r="AS55" s="795">
        <f>IF(OR($C$12=$AR55,$D$12=$AR55),Schweine_Werte!$C55*0.5,IF(OR($C$12&gt;$AR55,$D$12&lt;$AR55),0,Schweine_Werte!$C55))</f>
        <v>0</v>
      </c>
      <c r="AT55" s="730">
        <f>IF(OR($C$24=$AR55,$D$24=$AR55),Schweine_Werte!$C55*0.5,IF(OR($C$24&gt;$AR55,$D$24&lt;$AR55),0,Schweine_Werte!$C55))</f>
        <v>0</v>
      </c>
      <c r="AU55" s="795">
        <f>IF(OR($C$36=$AR55,$D$36=$AR55),Schweine_Werte!$C55*0.5,IF(OR($C$36&gt;$AR55,$D$36&lt;$AR55),0,Schweine_Werte!$C55))</f>
        <v>0</v>
      </c>
      <c r="AV55" s="795">
        <f>IF(OR($C$48=$AR55,$D$48=$AR55),Schweine_Werte!$C55*0.5,IF(OR($C$48&gt;$AR55,$D$48&lt;$AR55),0,Schweine_Werte!$C55))</f>
        <v>0</v>
      </c>
      <c r="AW55" s="795">
        <f>IF(OR($C$60=$AR55,$D$60=$AR55),Schweine_Werte!$C55*0.5,IF(OR($C$60&gt;$AR55,$D$60&lt;$AR55),0,Schweine_Werte!$C55))</f>
        <v>0</v>
      </c>
      <c r="AX55" s="795">
        <f>IF(OR($C$12=$AR55,$D$12=$AR55),Schweine_Werte!$E55*0.5,IF(OR($C$12&gt;$AR55,$D$12&lt;$AR55),0,Schweine_Werte!$E55))</f>
        <v>0</v>
      </c>
      <c r="AY55" s="730">
        <f>IF(OR($C$24=$AR55,$D$24=$AR55),Schweine_Werte!$E55*0.5,IF(OR($C$24&gt;$AR55,$D$24&lt;$AR55),0,Schweine_Werte!$E55))</f>
        <v>0</v>
      </c>
      <c r="AZ55" s="730">
        <f>IF(OR($C$36=$AR55,$D$36=$AR55),Schweine_Werte!$E55*0.5,IF(OR($C$36&gt;$AR55,$D$36&lt;$AR55),0,Schweine_Werte!$E55))</f>
        <v>0</v>
      </c>
      <c r="BA55" s="730">
        <f>IF(OR($C$48=$AR55,$D$48=$AR55),Schweine_Werte!$E55*0.5,IF(OR($C$48&gt;$AR55,$D$48&lt;$AR55),0,Schweine_Werte!$E55))</f>
        <v>0</v>
      </c>
      <c r="BB55" s="730">
        <f>IF(OR($C$60=$AR55,$D$60=$AR55),Schweine_Werte!$E55*0.5,IF(OR($C$60&gt;$AR55,$D$60&lt;$AR55),0,Schweine_Werte!$E55))</f>
        <v>0</v>
      </c>
      <c r="BC55" s="795">
        <f>IF(OR($C$12=$AR55,$D$12=$AR55),Schweine_Werte!$G55*0.5,IF(OR($C$12&gt;$AR55,$D$12&lt;$AR55),0,Schweine_Werte!$G55))</f>
        <v>0</v>
      </c>
      <c r="BD55" s="730">
        <f>IF(OR($C$24=$AR55,$D$24=$AR55),Schweine_Werte!$G55*0.5,IF(OR($C$24&gt;$AR55,$D$24&lt;$AR55),0,Schweine_Werte!$G55))</f>
        <v>0</v>
      </c>
      <c r="BE55" s="730">
        <f>IF(OR($C$36=$AR55,$D$36=$AR55),Schweine_Werte!$G55*0.5,IF(OR($C$36&gt;$AR55,$D$36&lt;$AR55),0,Schweine_Werte!$G55))</f>
        <v>0</v>
      </c>
      <c r="BF55" s="730">
        <f>IF(OR($C$48=$AR55,$D$48=$AR55),Schweine_Werte!$G55*0.5,IF(OR($C$48&gt;$AR55,$D$48&lt;$AR55),0,Schweine_Werte!$G55))</f>
        <v>0</v>
      </c>
      <c r="BG55" s="730">
        <f>IF(OR($C$60=$AR55,$D$60=$AR55),Schweine_Werte!$G55*0.5,IF(OR($C$60&gt;$AR55,$D$60&lt;$AR55),0,Schweine_Werte!$G55))</f>
        <v>0</v>
      </c>
      <c r="BH55" s="795">
        <f>IF(OR($C$12=$AR55,$D$12=$AR55),Schweine_Werte!$I55*0.5,IF(OR($C$12&gt;$AR55,$D$12&lt;$AR55),0,Schweine_Werte!$I55))</f>
        <v>0</v>
      </c>
      <c r="BI55" s="730">
        <f>IF(OR($C$24=$AR55,$D$24=$AR55),Schweine_Werte!$I55*0.5,IF(OR($C$24&gt;$AR55,$D$24&lt;$AR55),0,Schweine_Werte!$I55))</f>
        <v>0</v>
      </c>
      <c r="BJ55" s="730">
        <f>IF(OR($C$36=$AR55,$D$36=$AR55),Schweine_Werte!$I55*0.5,IF(OR($C$36&gt;$AR55,$D$36&lt;$AR55),0,Schweine_Werte!$I55))</f>
        <v>0</v>
      </c>
      <c r="BK55" s="730">
        <f>IF(OR($C$48=$AR55,$D$48=$AR55),Schweine_Werte!$I55*0.5,IF(OR($C$48&gt;$AR55,$D$48&lt;$AR55),0,Schweine_Werte!$I55))</f>
        <v>0</v>
      </c>
      <c r="BL55" s="730">
        <f>IF(OR($C$60=$AR55,$D$60=$AR55),Schweine_Werte!$I55*0.5,IF(OR($C$60&gt;$AR55,$D$60&lt;$AR55),0,Schweine_Werte!$I55))</f>
        <v>0</v>
      </c>
      <c r="BM55" s="795"/>
      <c r="BN55" s="730"/>
      <c r="BO55" s="730"/>
      <c r="BP55" s="730"/>
      <c r="BQ55" s="730"/>
      <c r="BR55" s="795">
        <f>IF(OR($C$74=$AR55,$D$74=$AR55),Schweine_Werte!$M55*0.5,IF(OR($C$74&gt;$AR55,$D$74&lt;$AR55),0,Schweine_Werte!$M55))</f>
        <v>0</v>
      </c>
      <c r="BS55" s="795">
        <f>IF(OR($C$83=$AR55,$D$83=$AR55),Schweine_Werte!$M55*0.5,IF(OR($C$83&gt;$AR55,$D$83&lt;$AR55),0,Schweine_Werte!$M55))</f>
        <v>0</v>
      </c>
      <c r="BT55" s="797">
        <f>IF(OR($C$92=$AR55,$D$92=$AR55),Schweine_Werte!$M55*0.5,IF(OR($C$92&gt;$AR55,$D$92&lt;$AR55),0,Schweine_Werte!$M55))</f>
        <v>0</v>
      </c>
      <c r="BU55" s="797">
        <f>IF(OR($C$101=$AR55,$D$101=$AR55),Schweine_Werte!$M55*0.5,IF(OR($C$101&gt;$AR55,$D$101&lt;$AR55),0,Schweine_Werte!$M55))</f>
        <v>0</v>
      </c>
      <c r="BV55" s="797">
        <f>IF(OR($C$110=$AR55,$D$110=$AR55),Schweine_Werte!$M55*0.5,IF(OR($C$110&gt;$AR55,$D$110&lt;$AR55),0,Schweine_Werte!$M55))</f>
        <v>0</v>
      </c>
      <c r="BW55" s="797">
        <f>IF(OR(8=$AR55,$E$127=$AR55),Schweine_Werte!$M55*0.5,IF(OR(8&gt;$AR55,$E$127&lt;$AR55),0,Schweine_Werte!$M55))</f>
        <v>1.1384780973164939</v>
      </c>
      <c r="BX55" s="797">
        <f>IF(OR(8=$AR55,$E$145=$AR55),Schweine_Werte!$M55*0.5,IF(OR(8&gt;$AR55,$E$145&lt;$AR55),0,Schweine_Werte!$M55))</f>
        <v>1.1384780973164939</v>
      </c>
      <c r="BY55" s="795">
        <f>IF(OR($C$74=$AR55,$D$74=$AR55),Schweine_Werte!$O55*0.5,IF(OR($C$74&gt;$AR55,$D$74&lt;$AR55),0,Schweine_Werte!$O55))</f>
        <v>0</v>
      </c>
      <c r="BZ55" s="795">
        <f>IF(OR($C$83=$AR55,$D$83=$AR55),Schweine_Werte!$O55*0.5,IF(OR($C$83&gt;$AR55,$D$83&lt;$AR55),0,Schweine_Werte!$O55))</f>
        <v>0</v>
      </c>
      <c r="CA55" s="797">
        <f>IF(OR($C$92=$AR55,$D$92=$AR55),Schweine_Werte!$O55*0.5,IF(OR($C$92&gt;$AR55,$D$92&lt;$AR55),0,Schweine_Werte!$O55))</f>
        <v>0</v>
      </c>
      <c r="CB55" s="797">
        <f>IF(OR($C$101=$AR55,$D$101=$AR55),Schweine_Werte!$O55*0.5,IF(OR($C$101&gt;$AR55,$D$101&lt;$AR55),0,Schweine_Werte!$O55))</f>
        <v>0</v>
      </c>
      <c r="CC55" s="797">
        <f>IF(OR($C$110=$AR55,$D$110=$AR55),Schweine_Werte!$O55*0.5,IF(OR($C$110&gt;$AR55,$D$110&lt;$AR55),0,Schweine_Werte!$O55))</f>
        <v>0</v>
      </c>
    </row>
    <row r="56" spans="1:81" x14ac:dyDescent="0.25">
      <c r="B56" s="705">
        <v>950</v>
      </c>
      <c r="D56" s="730"/>
      <c r="E56" s="730" t="e">
        <f>($D60-$C60)*1000/SUM($BL$4:$BL$146)</f>
        <v>#VALUE!</v>
      </c>
      <c r="F56" s="730" t="e">
        <f>SUMPRODUCT($BL$4:$BL$146,Schweine_Werte!$T$4:$T$146)/SUM($BL$4:$BL$146)</f>
        <v>#DIV/0!</v>
      </c>
      <c r="G56" s="730" t="e">
        <f>IF($B60=$A$8,SUMPRODUCT($BL$4:$BL$146,Schweine_Werte!EZ$4:EZ$146)/SUM($BL$4:$BL$146),IF($B60=$A$7,SUMPRODUCT($BL$4:$BL$146,Schweine_Werte!DT$4:DT$146)/SUM($BL$4:$BL$146),IF($B60=$A$6,SUMPRODUCT($BL$4:$BL$146,Schweine_Werte!CN$4:CN$146)/SUM($BL$4:$BL$146),SUMPRODUCT($BL$4:$BL$146,Schweine_Werte!BH$4:BH$146)/SUM($BL$4:$BL$146))))</f>
        <v>#DIV/0!</v>
      </c>
      <c r="H56" s="730" t="e">
        <f>IF($B60=$A$8,SUMPRODUCT($BL$4:$BL$146,Schweine_Werte!FA$4:FA$146)/SUM($BL$4:$BL$146),IF($B60=$A$7,SUMPRODUCT($BL$4:$BL$146,Schweine_Werte!DU$4:DU$146)/SUM($BL$4:$BL$146),IF($B60=$A$6,SUMPRODUCT($BL$4:$BL$146,Schweine_Werte!CO$4:CO$146)/SUM($BL$4:$BL$146),SUMPRODUCT($BL$4:$BL$146,Schweine_Werte!BI$4:BI$146)/SUM($BL$4:$BL$146))))</f>
        <v>#DIV/0!</v>
      </c>
      <c r="I56" s="730" t="e">
        <f>IF($B60=$A$8,SUMPRODUCT($BL$4:$BL$146,Schweine_Werte!FB$4:FB$146)/SUM($BL$4:$BL$146),IF($B60=$A$7,SUMPRODUCT($BL$4:$BL$146,Schweine_Werte!DV$4:DV$146)/SUM($BL$4:$BL$146),IF($B60=$A$6,SUMPRODUCT($BL$4:$BL$146,Schweine_Werte!CP$4:CP$146)/SUM($BL$4:$BL$146),SUMPRODUCT($BL$4:$BL$146,Schweine_Werte!BJ$4:BJ$146)/SUM($BL$4:$BL$146))))</f>
        <v>#DIV/0!</v>
      </c>
      <c r="J56" s="730" t="e">
        <f>SUMPRODUCT($BL$4:$BL$146,Schweine_Werte!$AB$4:$AB$146)/SUM($BL$4:$BL$146)</f>
        <v>#DIV/0!</v>
      </c>
      <c r="K56" s="730" t="e">
        <f>SUMPRODUCT($BL$4:$BL$146,Schweine_Werte!$AJ$4:$AJ$146)/SUM($BL$4:$BL$146)</f>
        <v>#DIV/0!</v>
      </c>
      <c r="L56" s="818" t="e">
        <f>T56*$F56*365/1000+$J56-$K56</f>
        <v>#DIV/0!</v>
      </c>
      <c r="M56" s="730" t="e">
        <f>U56*$F56*365/1000+$J56-$K56/2</f>
        <v>#DIV/0!</v>
      </c>
      <c r="N56" s="730" t="e">
        <f>V56*$F56*365/1000+$J56</f>
        <v>#DIV/0!</v>
      </c>
      <c r="O56" s="730">
        <f>IF($C60&lt;28,SUM($BL$4:$BL$23)+IF($D60&gt;28,$BL$24*0.5,$BL$24),0)</f>
        <v>0</v>
      </c>
      <c r="P56" s="730">
        <f>IF($D60&gt;28,SUM($BL$25:$BL$146)+IF($C60&lt;28,$BL$24*0.5,$BL$24),0)</f>
        <v>0</v>
      </c>
      <c r="Q56" s="730" t="e">
        <f t="shared" si="32"/>
        <v>#DIV/0!</v>
      </c>
      <c r="R56" s="730" t="e">
        <f t="shared" si="32"/>
        <v>#DIV/0!</v>
      </c>
      <c r="S56" s="730" t="e">
        <f t="shared" si="32"/>
        <v>#DIV/0!</v>
      </c>
      <c r="T56" s="730" t="e">
        <f>+($O56*Schweine_Werte!$HT$8+$P56*Schweine_Werte!$HU$8)/SUM($O56:$P56)</f>
        <v>#DIV/0!</v>
      </c>
      <c r="U56" s="730" t="e">
        <f>+($O56*Schweine_Werte!$HV$8+$P56*Schweine_Werte!$HW$8)/SUM($O56:$P56)</f>
        <v>#DIV/0!</v>
      </c>
      <c r="V56" s="730" t="e">
        <f>+($O56*Schweine_Werte!$HX$8+$P56*Schweine_Werte!$HY$8)/SUM($O56:$P56)</f>
        <v>#DIV/0!</v>
      </c>
      <c r="W56" s="785" t="e">
        <f>($J56*0.055+T56*0.365*0.86*$F56-$K56*0.018)/L56*100</f>
        <v>#DIV/0!</v>
      </c>
      <c r="X56" s="730" t="e">
        <f>($J56*0.055+U56*0.365*0.86*$F56-$K56*0.018/2)/M56*100</f>
        <v>#DIV/0!</v>
      </c>
      <c r="Y56" s="730" t="e">
        <f>($J56*0.055+V56*0.365*0.86*$F56)/N56*100</f>
        <v>#DIV/0!</v>
      </c>
      <c r="Z56" s="730" t="e">
        <f>IF($B60=$A$8,SUMPRODUCT($BL$4:$BL$146,Schweine_Werte!$FC$4:$FC$146,Schweine_Werte!$FD$4:$FD$146)/SUMPRODUCT($BL$4:$BL$146,Schweine_Werte!$FC$4:$FC$146),IF($B60=$A$7,SUMPRODUCT($BL$4:$BL$146,Schweine_Werte!$DW$4:$DW$146,Schweine_Werte!$DX$4:$DX$146)/SUMPRODUCT($BL$4:$BL$146,Schweine_Werte!$DW$4:$DW$146),IF($B60=$A$6,SUMPRODUCT($BL$4:$BL$146,Schweine_Werte!$CQ$4:$CQ$146,Schweine_Werte!$CR$4:$CR$146)/SUMPRODUCT($BL$4:$BL$146,Schweine_Werte!$CQ$4:$CQ$146),SUMPRODUCT($BL$4:$BL$146,Schweine_Werte!$BK$4:$BK$146,Schweine_Werte!$BL$4:$BL$146)/SUMPRODUCT($BL$4:$BL$146,Schweine_Werte!$BK$4:$BK$146))))</f>
        <v>#DIV/0!</v>
      </c>
      <c r="AA56" s="730"/>
      <c r="AB56" s="730">
        <f>IF($B60=$A$8,SUMIF(Schweine_Werte!$AO$4:$AO$146,$C60,Schweine_Werte!$FD$4:$FD$146),IF($B60=$A$7,SUMIF(Schweine_Werte!$AO$4:$AO$146,$C60,Schweine_Werte!$DX$4:$DX$146),IF($B60=$A$6,SUMIF(Schweine_Werte!$AO$4:$AO$146,$C60,Schweine_Werte!$CR$4:$CR$146),SUMIF(Schweine_Werte!$AO$4:$AO$146,$C60,Schweine_Werte!$BL$4:$BL$146))))</f>
        <v>0</v>
      </c>
      <c r="AC56" s="730"/>
      <c r="AD56" s="730">
        <f>IF($B60=$A$8,SUMIF(Schweine_Werte!$AO$4:$AO$146,$D60,Schweine_Werte!$FD$4:$FD$146),IF($B60=$A$7,SUMIF(Schweine_Werte!$AO$4:$AO$146,$D60,Schweine_Werte!$DX$4:$DX$146),IF($B60=$A$6,SUMIF(Schweine_Werte!$AO$4:$AO$146,$D60,Schweine_Werte!$CR$4:$CR$146),SUMIF(Schweine_Werte!$AO$4:$AO$146,$D60,Schweine_Werte!$BL$4:$BL$146))))</f>
        <v>0</v>
      </c>
      <c r="AE56" s="730"/>
      <c r="AF56" s="730"/>
      <c r="AG56" s="730" t="e">
        <f>IF($B60=$A$8,SUMPRODUCT($BL$4:$BL$146,Schweine_Werte!$FC$4:$FC$146)/SUM($BL$4:$BL$146),IF($B60=$A$7,SUMPRODUCT($BL$4:$BL$146,Schweine_Werte!$DW$4:$DW$146)/SUM($BL$4:$BL$146),IF($B60=$A$6,SUMPRODUCT($BL$4:$BL$146,Schweine_Werte!$CQ$4:$CQ$146)/SUM($BL$4:$BL$146),SUMPRODUCT($BL$4:$BL$146,Schweine_Werte!$BK$4:$BK$146)/SUM($BL$4:$BL$146))))</f>
        <v>#DIV/0!</v>
      </c>
      <c r="AH56" s="730"/>
      <c r="AI56" s="730"/>
      <c r="AJ56" s="730" t="e">
        <f>IF($B60=$A$8,SUMPRODUCT($BL$4:$BL$146,Schweine_Werte!$FC$4:$FC$146,Schweine_Werte!$FE$4:$FE$146)/SUMPRODUCT($BL$4:$BL$146,Schweine_Werte!$FC$4:$FC$146),IF($B60=$A$7,SUMPRODUCT($BL$4:$BL$146,Schweine_Werte!$DW$4:$DW$146,Schweine_Werte!$DY$4:$DY$146)/SUMPRODUCT($BL$4:$BL$146,Schweine_Werte!$DW$4:$DW$146),IF($B60=$A$6,SUMPRODUCT($BL$4:$BL$146,Schweine_Werte!$CQ$4:$CQ$146,Schweine_Werte!$CS$4:$CS$146)/SUMPRODUCT($BL$4:$BL$146,Schweine_Werte!$CQ$4:$CQ$146),SUMPRODUCT($BL$4:$BL$146,Schweine_Werte!$BK$4:$BK$146,Schweine_Werte!$BM$4:$BM$146)/SUMPRODUCT($BL$4:$BL$146,Schweine_Werte!$BK$4:$BK$146))))</f>
        <v>#DIV/0!</v>
      </c>
      <c r="AK56" s="730"/>
      <c r="AL56" s="730">
        <f>IF($B60=$A$8,SUMIF(Schweine_Werte!$AO$4:$AO$146,$C60,Schweine_Werte!$FE$4:$FE$146),IF($B60=$A$7,SUMIF(Schweine_Werte!$AO$4:$AO$146,$C60,Schweine_Werte!$DY$4:$DY$146),IF($B60=$A$6,SUMIF(Schweine_Werte!$AO$4:$AO$146,$C60,Schweine_Werte!$CS$4:$CS$146),SUMIF(Schweine_Werte!$AO$4:$AO$146,$C60,Schweine_Werte!$BM$4:$BM$146))))</f>
        <v>0</v>
      </c>
      <c r="AM56" s="730"/>
      <c r="AN56" s="730">
        <f>IF($B60=$A$8,SUMIF(Schweine_Werte!$AO$4:$AO$146,$D60,Schweine_Werte!$FE$4:$FE$146),IF($B60=$A$7,SUMIF(Schweine_Werte!$AO$4:$AO$146,$D60,Schweine_Werte!$DY$4:$DY$146),IF($B60=$A$6,SUMIF(Schweine_Werte!$AO$4:$AO$146,$D60,Schweine_Werte!$CS$4:$CS$146),SUMIF(Schweine_Werte!$AO$4:$AO$146,$D60,Schweine_Werte!$BM$4:$BM$146))))</f>
        <v>0</v>
      </c>
      <c r="AR56" s="806">
        <v>60</v>
      </c>
      <c r="AS56" s="795">
        <f>IF(OR($C$12=$AR56,$D$12=$AR56),Schweine_Werte!$C56*0.5,IF(OR($C$12&gt;$AR56,$D$12&lt;$AR56),0,Schweine_Werte!$C56))</f>
        <v>0</v>
      </c>
      <c r="AT56" s="730">
        <f>IF(OR($C$24=$AR56,$D$24=$AR56),Schweine_Werte!$C56*0.5,IF(OR($C$24&gt;$AR56,$D$24&lt;$AR56),0,Schweine_Werte!$C56))</f>
        <v>0</v>
      </c>
      <c r="AU56" s="795">
        <f>IF(OR($C$36=$AR56,$D$36=$AR56),Schweine_Werte!$C56*0.5,IF(OR($C$36&gt;$AR56,$D$36&lt;$AR56),0,Schweine_Werte!$C56))</f>
        <v>0</v>
      </c>
      <c r="AV56" s="795">
        <f>IF(OR($C$48=$AR56,$D$48=$AR56),Schweine_Werte!$C56*0.5,IF(OR($C$48&gt;$AR56,$D$48&lt;$AR56),0,Schweine_Werte!$C56))</f>
        <v>0</v>
      </c>
      <c r="AW56" s="795">
        <f>IF(OR($C$60=$AR56,$D$60=$AR56),Schweine_Werte!$C56*0.5,IF(OR($C$60&gt;$AR56,$D$60&lt;$AR56),0,Schweine_Werte!$C56))</f>
        <v>0</v>
      </c>
      <c r="AX56" s="795">
        <f>IF(OR($C$12=$AR56,$D$12=$AR56),Schweine_Werte!$E56*0.5,IF(OR($C$12&gt;$AR56,$D$12&lt;$AR56),0,Schweine_Werte!$E56))</f>
        <v>0</v>
      </c>
      <c r="AY56" s="730">
        <f>IF(OR($C$24=$AR56,$D$24=$AR56),Schweine_Werte!$E56*0.5,IF(OR($C$24&gt;$AR56,$D$24&lt;$AR56),0,Schweine_Werte!$E56))</f>
        <v>0</v>
      </c>
      <c r="AZ56" s="730">
        <f>IF(OR($C$36=$AR56,$D$36=$AR56),Schweine_Werte!$E56*0.5,IF(OR($C$36&gt;$AR56,$D$36&lt;$AR56),0,Schweine_Werte!$E56))</f>
        <v>0</v>
      </c>
      <c r="BA56" s="730">
        <f>IF(OR($C$48=$AR56,$D$48=$AR56),Schweine_Werte!$E56*0.5,IF(OR($C$48&gt;$AR56,$D$48&lt;$AR56),0,Schweine_Werte!$E56))</f>
        <v>0</v>
      </c>
      <c r="BB56" s="730">
        <f>IF(OR($C$60=$AR56,$D$60=$AR56),Schweine_Werte!$E56*0.5,IF(OR($C$60&gt;$AR56,$D$60&lt;$AR56),0,Schweine_Werte!$E56))</f>
        <v>0</v>
      </c>
      <c r="BC56" s="795">
        <f>IF(OR($C$12=$AR56,$D$12=$AR56),Schweine_Werte!$G56*0.5,IF(OR($C$12&gt;$AR56,$D$12&lt;$AR56),0,Schweine_Werte!$G56))</f>
        <v>0</v>
      </c>
      <c r="BD56" s="730">
        <f>IF(OR($C$24=$AR56,$D$24=$AR56),Schweine_Werte!$G56*0.5,IF(OR($C$24&gt;$AR56,$D$24&lt;$AR56),0,Schweine_Werte!$G56))</f>
        <v>0</v>
      </c>
      <c r="BE56" s="730">
        <f>IF(OR($C$36=$AR56,$D$36=$AR56),Schweine_Werte!$G56*0.5,IF(OR($C$36&gt;$AR56,$D$36&lt;$AR56),0,Schweine_Werte!$G56))</f>
        <v>0</v>
      </c>
      <c r="BF56" s="730">
        <f>IF(OR($C$48=$AR56,$D$48=$AR56),Schweine_Werte!$G56*0.5,IF(OR($C$48&gt;$AR56,$D$48&lt;$AR56),0,Schweine_Werte!$G56))</f>
        <v>0</v>
      </c>
      <c r="BG56" s="730">
        <f>IF(OR($C$60=$AR56,$D$60=$AR56),Schweine_Werte!$G56*0.5,IF(OR($C$60&gt;$AR56,$D$60&lt;$AR56),0,Schweine_Werte!$G56))</f>
        <v>0</v>
      </c>
      <c r="BH56" s="795">
        <f>IF(OR($C$12=$AR56,$D$12=$AR56),Schweine_Werte!$I56*0.5,IF(OR($C$12&gt;$AR56,$D$12&lt;$AR56),0,Schweine_Werte!$I56))</f>
        <v>0</v>
      </c>
      <c r="BI56" s="730">
        <f>IF(OR($C$24=$AR56,$D$24=$AR56),Schweine_Werte!$I56*0.5,IF(OR($C$24&gt;$AR56,$D$24&lt;$AR56),0,Schweine_Werte!$I56))</f>
        <v>0</v>
      </c>
      <c r="BJ56" s="730">
        <f>IF(OR($C$36=$AR56,$D$36=$AR56),Schweine_Werte!$I56*0.5,IF(OR($C$36&gt;$AR56,$D$36&lt;$AR56),0,Schweine_Werte!$I56))</f>
        <v>0</v>
      </c>
      <c r="BK56" s="730">
        <f>IF(OR($C$48=$AR56,$D$48=$AR56),Schweine_Werte!$I56*0.5,IF(OR($C$48&gt;$AR56,$D$48&lt;$AR56),0,Schweine_Werte!$I56))</f>
        <v>0</v>
      </c>
      <c r="BL56" s="730">
        <f>IF(OR($C$60=$AR56,$D$60=$AR56),Schweine_Werte!$I56*0.5,IF(OR($C$60&gt;$AR56,$D$60&lt;$AR56),0,Schweine_Werte!$I56))</f>
        <v>0</v>
      </c>
      <c r="BM56" s="795"/>
      <c r="BN56" s="730"/>
      <c r="BO56" s="730"/>
      <c r="BP56" s="730"/>
      <c r="BQ56" s="730"/>
      <c r="BR56" s="795">
        <f>IF(OR($C$74=$AR56,$D$74=$AR56),Schweine_Werte!$M56*0.5,IF(OR($C$74&gt;$AR56,$D$74&lt;$AR56),0,Schweine_Werte!$M56))</f>
        <v>0</v>
      </c>
      <c r="BS56" s="795">
        <f>IF(OR($C$83=$AR56,$D$83=$AR56),Schweine_Werte!$M56*0.5,IF(OR($C$83&gt;$AR56,$D$83&lt;$AR56),0,Schweine_Werte!$M56))</f>
        <v>0</v>
      </c>
      <c r="BT56" s="797">
        <f>IF(OR($C$92=$AR56,$D$92=$AR56),Schweine_Werte!$M56*0.5,IF(OR($C$92&gt;$AR56,$D$92&lt;$AR56),0,Schweine_Werte!$M56))</f>
        <v>0</v>
      </c>
      <c r="BU56" s="797">
        <f>IF(OR($C$101=$AR56,$D$101=$AR56),Schweine_Werte!$M56*0.5,IF(OR($C$101&gt;$AR56,$D$101&lt;$AR56),0,Schweine_Werte!$M56))</f>
        <v>0</v>
      </c>
      <c r="BV56" s="797">
        <f>IF(OR($C$110=$AR56,$D$110=$AR56),Schweine_Werte!$M56*0.5,IF(OR($C$110&gt;$AR56,$D$110&lt;$AR56),0,Schweine_Werte!$M56))</f>
        <v>0</v>
      </c>
      <c r="BW56" s="797">
        <f>IF(OR(8=$AR56,$E$127=$AR56),Schweine_Werte!$M56*0.5,IF(OR(8&gt;$AR56,$E$127&lt;$AR56),0,Schweine_Werte!$M56))</f>
        <v>1.1335106524075971</v>
      </c>
      <c r="BX56" s="797">
        <f>IF(OR(8=$AR56,$E$145=$AR56),Schweine_Werte!$M56*0.5,IF(OR(8&gt;$AR56,$E$145&lt;$AR56),0,Schweine_Werte!$M56))</f>
        <v>1.1335106524075971</v>
      </c>
      <c r="BY56" s="795">
        <f>IF(OR($C$74=$AR56,$D$74=$AR56),Schweine_Werte!$O56*0.5,IF(OR($C$74&gt;$AR56,$D$74&lt;$AR56),0,Schweine_Werte!$O56))</f>
        <v>0</v>
      </c>
      <c r="BZ56" s="795">
        <f>IF(OR($C$83=$AR56,$D$83=$AR56),Schweine_Werte!$O56*0.5,IF(OR($C$83&gt;$AR56,$D$83&lt;$AR56),0,Schweine_Werte!$O56))</f>
        <v>0</v>
      </c>
      <c r="CA56" s="797">
        <f>IF(OR($C$92=$AR56,$D$92=$AR56),Schweine_Werte!$O56*0.5,IF(OR($C$92&gt;$AR56,$D$92&lt;$AR56),0,Schweine_Werte!$O56))</f>
        <v>0</v>
      </c>
      <c r="CB56" s="797">
        <f>IF(OR($C$101=$AR56,$D$101=$AR56),Schweine_Werte!$O56*0.5,IF(OR($C$101&gt;$AR56,$D$101&lt;$AR56),0,Schweine_Werte!$O56))</f>
        <v>0</v>
      </c>
      <c r="CC56" s="797">
        <f>IF(OR($C$110=$AR56,$D$110=$AR56),Schweine_Werte!$O56*0.5,IF(OR($C$110&gt;$AR56,$D$110&lt;$AR56),0,Schweine_Werte!$O56))</f>
        <v>0</v>
      </c>
    </row>
    <row r="57" spans="1:81" x14ac:dyDescent="0.25">
      <c r="B57" s="705"/>
      <c r="D57" s="730"/>
      <c r="E57" s="730"/>
      <c r="F57" s="730"/>
      <c r="G57" s="730"/>
      <c r="H57" s="730"/>
      <c r="I57" s="730"/>
      <c r="J57" s="730"/>
      <c r="K57" s="730"/>
      <c r="L57" s="730"/>
      <c r="M57" s="730"/>
      <c r="N57" s="730"/>
      <c r="O57" s="730"/>
      <c r="P57" s="730"/>
      <c r="Q57" s="730"/>
      <c r="R57" s="730"/>
      <c r="S57" s="730"/>
      <c r="T57" s="730"/>
      <c r="U57" s="730"/>
      <c r="V57" s="730"/>
      <c r="W57" s="785"/>
      <c r="X57" s="730"/>
      <c r="Y57" s="730"/>
      <c r="Z57" s="730"/>
      <c r="AA57" s="730"/>
      <c r="AB57" s="730"/>
      <c r="AC57" s="730"/>
      <c r="AD57" s="730"/>
      <c r="AE57" s="730"/>
      <c r="AF57" s="730"/>
      <c r="AG57" s="730"/>
      <c r="AH57" s="730"/>
      <c r="AI57" s="730"/>
      <c r="AJ57" s="730"/>
      <c r="AK57" s="730"/>
      <c r="AL57" s="730"/>
      <c r="AM57" s="730"/>
      <c r="AN57" s="730"/>
      <c r="AR57" s="806">
        <v>61</v>
      </c>
      <c r="AS57" s="795">
        <f>IF(OR($C$12=$AR57,$D$12=$AR57),Schweine_Werte!$C57*0.5,IF(OR($C$12&gt;$AR57,$D$12&lt;$AR57),0,Schweine_Werte!$C57))</f>
        <v>0</v>
      </c>
      <c r="AT57" s="730">
        <f>IF(OR($C$24=$AR57,$D$24=$AR57),Schweine_Werte!$C57*0.5,IF(OR($C$24&gt;$AR57,$D$24&lt;$AR57),0,Schweine_Werte!$C57))</f>
        <v>0</v>
      </c>
      <c r="AU57" s="795">
        <f>IF(OR($C$36=$AR57,$D$36=$AR57),Schweine_Werte!$C57*0.5,IF(OR($C$36&gt;$AR57,$D$36&lt;$AR57),0,Schweine_Werte!$C57))</f>
        <v>0</v>
      </c>
      <c r="AV57" s="795">
        <f>IF(OR($C$48=$AR57,$D$48=$AR57),Schweine_Werte!$C57*0.5,IF(OR($C$48&gt;$AR57,$D$48&lt;$AR57),0,Schweine_Werte!$C57))</f>
        <v>0</v>
      </c>
      <c r="AW57" s="795">
        <f>IF(OR($C$60=$AR57,$D$60=$AR57),Schweine_Werte!$C57*0.5,IF(OR($C$60&gt;$AR57,$D$60&lt;$AR57),0,Schweine_Werte!$C57))</f>
        <v>0</v>
      </c>
      <c r="AX57" s="795">
        <f>IF(OR($C$12=$AR57,$D$12=$AR57),Schweine_Werte!$E57*0.5,IF(OR($C$12&gt;$AR57,$D$12&lt;$AR57),0,Schweine_Werte!$E57))</f>
        <v>0</v>
      </c>
      <c r="AY57" s="730">
        <f>IF(OR($C$24=$AR57,$D$24=$AR57),Schweine_Werte!$E57*0.5,IF(OR($C$24&gt;$AR57,$D$24&lt;$AR57),0,Schweine_Werte!$E57))</f>
        <v>0</v>
      </c>
      <c r="AZ57" s="730">
        <f>IF(OR($C$36=$AR57,$D$36=$AR57),Schweine_Werte!$E57*0.5,IF(OR($C$36&gt;$AR57,$D$36&lt;$AR57),0,Schweine_Werte!$E57))</f>
        <v>0</v>
      </c>
      <c r="BA57" s="730">
        <f>IF(OR($C$48=$AR57,$D$48=$AR57),Schweine_Werte!$E57*0.5,IF(OR($C$48&gt;$AR57,$D$48&lt;$AR57),0,Schweine_Werte!$E57))</f>
        <v>0</v>
      </c>
      <c r="BB57" s="730">
        <f>IF(OR($C$60=$AR57,$D$60=$AR57),Schweine_Werte!$E57*0.5,IF(OR($C$60&gt;$AR57,$D$60&lt;$AR57),0,Schweine_Werte!$E57))</f>
        <v>0</v>
      </c>
      <c r="BC57" s="795">
        <f>IF(OR($C$12=$AR57,$D$12=$AR57),Schweine_Werte!$G57*0.5,IF(OR($C$12&gt;$AR57,$D$12&lt;$AR57),0,Schweine_Werte!$G57))</f>
        <v>0</v>
      </c>
      <c r="BD57" s="730">
        <f>IF(OR($C$24=$AR57,$D$24=$AR57),Schweine_Werte!$G57*0.5,IF(OR($C$24&gt;$AR57,$D$24&lt;$AR57),0,Schweine_Werte!$G57))</f>
        <v>0</v>
      </c>
      <c r="BE57" s="730">
        <f>IF(OR($C$36=$AR57,$D$36=$AR57),Schweine_Werte!$G57*0.5,IF(OR($C$36&gt;$AR57,$D$36&lt;$AR57),0,Schweine_Werte!$G57))</f>
        <v>0</v>
      </c>
      <c r="BF57" s="730">
        <f>IF(OR($C$48=$AR57,$D$48=$AR57),Schweine_Werte!$G57*0.5,IF(OR($C$48&gt;$AR57,$D$48&lt;$AR57),0,Schweine_Werte!$G57))</f>
        <v>0</v>
      </c>
      <c r="BG57" s="730">
        <f>IF(OR($C$60=$AR57,$D$60=$AR57),Schweine_Werte!$G57*0.5,IF(OR($C$60&gt;$AR57,$D$60&lt;$AR57),0,Schweine_Werte!$G57))</f>
        <v>0</v>
      </c>
      <c r="BH57" s="795">
        <f>IF(OR($C$12=$AR57,$D$12=$AR57),Schweine_Werte!$I57*0.5,IF(OR($C$12&gt;$AR57,$D$12&lt;$AR57),0,Schweine_Werte!$I57))</f>
        <v>0</v>
      </c>
      <c r="BI57" s="730">
        <f>IF(OR($C$24=$AR57,$D$24=$AR57),Schweine_Werte!$I57*0.5,IF(OR($C$24&gt;$AR57,$D$24&lt;$AR57),0,Schweine_Werte!$I57))</f>
        <v>0</v>
      </c>
      <c r="BJ57" s="730">
        <f>IF(OR($C$36=$AR57,$D$36=$AR57),Schweine_Werte!$I57*0.5,IF(OR($C$36&gt;$AR57,$D$36&lt;$AR57),0,Schweine_Werte!$I57))</f>
        <v>0</v>
      </c>
      <c r="BK57" s="730">
        <f>IF(OR($C$48=$AR57,$D$48=$AR57),Schweine_Werte!$I57*0.5,IF(OR($C$48&gt;$AR57,$D$48&lt;$AR57),0,Schweine_Werte!$I57))</f>
        <v>0</v>
      </c>
      <c r="BL57" s="730">
        <f>IF(OR($C$60=$AR57,$D$60=$AR57),Schweine_Werte!$I57*0.5,IF(OR($C$60&gt;$AR57,$D$60&lt;$AR57),0,Schweine_Werte!$I57))</f>
        <v>0</v>
      </c>
      <c r="BM57" s="795"/>
      <c r="BN57" s="730"/>
      <c r="BO57" s="730"/>
      <c r="BP57" s="730"/>
      <c r="BQ57" s="730"/>
      <c r="BR57" s="795">
        <f>IF(OR($C$74=$AR57,$D$74=$AR57),Schweine_Werte!$M57*0.5,IF(OR($C$74&gt;$AR57,$D$74&lt;$AR57),0,Schweine_Werte!$M57))</f>
        <v>0</v>
      </c>
      <c r="BS57" s="795">
        <f>IF(OR($C$83=$AR57,$D$83=$AR57),Schweine_Werte!$M57*0.5,IF(OR($C$83&gt;$AR57,$D$83&lt;$AR57),0,Schweine_Werte!$M57))</f>
        <v>0</v>
      </c>
      <c r="BT57" s="797">
        <f>IF(OR($C$92=$AR57,$D$92=$AR57),Schweine_Werte!$M57*0.5,IF(OR($C$92&gt;$AR57,$D$92&lt;$AR57),0,Schweine_Werte!$M57))</f>
        <v>0</v>
      </c>
      <c r="BU57" s="797">
        <f>IF(OR($C$101=$AR57,$D$101=$AR57),Schweine_Werte!$M57*0.5,IF(OR($C$101&gt;$AR57,$D$101&lt;$AR57),0,Schweine_Werte!$M57))</f>
        <v>0</v>
      </c>
      <c r="BV57" s="797">
        <f>IF(OR($C$110=$AR57,$D$110=$AR57),Schweine_Werte!$M57*0.5,IF(OR($C$110&gt;$AR57,$D$110&lt;$AR57),0,Schweine_Werte!$M57))</f>
        <v>0</v>
      </c>
      <c r="BW57" s="797">
        <f>IF(OR(8=$AR57,$E$127=$AR57),Schweine_Werte!$M57*0.5,IF(OR(8&gt;$AR57,$E$127&lt;$AR57),0,Schweine_Werte!$M57))</f>
        <v>1.1289636129562686</v>
      </c>
      <c r="BX57" s="797">
        <f>IF(OR(8=$AR57,$E$145=$AR57),Schweine_Werte!$M57*0.5,IF(OR(8&gt;$AR57,$E$145&lt;$AR57),0,Schweine_Werte!$M57))</f>
        <v>1.1289636129562686</v>
      </c>
      <c r="BY57" s="795">
        <f>IF(OR($C$74=$AR57,$D$74=$AR57),Schweine_Werte!$O57*0.5,IF(OR($C$74&gt;$AR57,$D$74&lt;$AR57),0,Schweine_Werte!$O57))</f>
        <v>0</v>
      </c>
      <c r="BZ57" s="795">
        <f>IF(OR($C$83=$AR57,$D$83=$AR57),Schweine_Werte!$O57*0.5,IF(OR($C$83&gt;$AR57,$D$83&lt;$AR57),0,Schweine_Werte!$O57))</f>
        <v>0</v>
      </c>
      <c r="CA57" s="797">
        <f>IF(OR($C$92=$AR57,$D$92=$AR57),Schweine_Werte!$O57*0.5,IF(OR($C$92&gt;$AR57,$D$92&lt;$AR57),0,Schweine_Werte!$O57))</f>
        <v>0</v>
      </c>
      <c r="CB57" s="797">
        <f>IF(OR($C$101=$AR57,$D$101=$AR57),Schweine_Werte!$O57*0.5,IF(OR($C$101&gt;$AR57,$D$101&lt;$AR57),0,Schweine_Werte!$O57))</f>
        <v>0</v>
      </c>
      <c r="CC57" s="797">
        <f>IF(OR($C$110=$AR57,$D$110=$AR57),Schweine_Werte!$O57*0.5,IF(OR($C$110&gt;$AR57,$D$110&lt;$AR57),0,Schweine_Werte!$O57))</f>
        <v>0</v>
      </c>
    </row>
    <row r="58" spans="1:81" ht="15.6" x14ac:dyDescent="0.3">
      <c r="F58" s="357"/>
      <c r="G58" s="1626" t="s">
        <v>7713</v>
      </c>
      <c r="H58" s="1627"/>
      <c r="I58" s="1628"/>
      <c r="J58" s="1039" t="s">
        <v>596</v>
      </c>
      <c r="K58" s="1039" t="s">
        <v>226</v>
      </c>
      <c r="L58" s="1621" t="s">
        <v>7714</v>
      </c>
      <c r="M58" s="1622"/>
      <c r="N58" s="1623"/>
      <c r="O58" s="1621" t="s">
        <v>7715</v>
      </c>
      <c r="P58" s="1623"/>
      <c r="Q58" s="1621" t="s">
        <v>7770</v>
      </c>
      <c r="R58" s="1622"/>
      <c r="S58" s="1623"/>
      <c r="T58" s="1621" t="s">
        <v>7716</v>
      </c>
      <c r="U58" s="1622"/>
      <c r="V58" s="1623"/>
      <c r="W58" s="1621" t="s">
        <v>7798</v>
      </c>
      <c r="X58" s="1622"/>
      <c r="Y58" s="1623"/>
      <c r="Z58" s="1632" t="s">
        <v>7799</v>
      </c>
      <c r="AA58" s="1633"/>
      <c r="AB58" s="1632" t="s">
        <v>7800</v>
      </c>
      <c r="AC58" s="1633"/>
      <c r="AD58" s="1632" t="s">
        <v>7801</v>
      </c>
      <c r="AE58" s="1633"/>
      <c r="AF58" s="1040" t="s">
        <v>7910</v>
      </c>
      <c r="AG58" s="1624" t="s">
        <v>7804</v>
      </c>
      <c r="AH58" s="1625"/>
      <c r="AI58" s="1148" t="s">
        <v>7911</v>
      </c>
      <c r="AJ58" s="1632" t="s">
        <v>7799</v>
      </c>
      <c r="AK58" s="1633"/>
      <c r="AL58" s="1632" t="s">
        <v>7800</v>
      </c>
      <c r="AM58" s="1633"/>
      <c r="AN58" s="1632" t="s">
        <v>7801</v>
      </c>
      <c r="AO58" s="1633"/>
      <c r="AR58" s="806">
        <v>62</v>
      </c>
      <c r="AS58" s="795">
        <f>IF(OR($C$12=$AR58,$D$12=$AR58),Schweine_Werte!$C58*0.5,IF(OR($C$12&gt;$AR58,$D$12&lt;$AR58),0,Schweine_Werte!$C58))</f>
        <v>0</v>
      </c>
      <c r="AT58" s="730">
        <f>IF(OR($C$24=$AR58,$D$24=$AR58),Schweine_Werte!$C58*0.5,IF(OR($C$24&gt;$AR58,$D$24&lt;$AR58),0,Schweine_Werte!$C58))</f>
        <v>0</v>
      </c>
      <c r="AU58" s="795">
        <f>IF(OR($C$36=$AR58,$D$36=$AR58),Schweine_Werte!$C58*0.5,IF(OR($C$36&gt;$AR58,$D$36&lt;$AR58),0,Schweine_Werte!$C58))</f>
        <v>0</v>
      </c>
      <c r="AV58" s="795">
        <f>IF(OR($C$48=$AR58,$D$48=$AR58),Schweine_Werte!$C58*0.5,IF(OR($C$48&gt;$AR58,$D$48&lt;$AR58),0,Schweine_Werte!$C58))</f>
        <v>0</v>
      </c>
      <c r="AW58" s="795">
        <f>IF(OR($C$60=$AR58,$D$60=$AR58),Schweine_Werte!$C58*0.5,IF(OR($C$60&gt;$AR58,$D$60&lt;$AR58),0,Schweine_Werte!$C58))</f>
        <v>0</v>
      </c>
      <c r="AX58" s="795">
        <f>IF(OR($C$12=$AR58,$D$12=$AR58),Schweine_Werte!$E58*0.5,IF(OR($C$12&gt;$AR58,$D$12&lt;$AR58),0,Schweine_Werte!$E58))</f>
        <v>0</v>
      </c>
      <c r="AY58" s="730">
        <f>IF(OR($C$24=$AR58,$D$24=$AR58),Schweine_Werte!$E58*0.5,IF(OR($C$24&gt;$AR58,$D$24&lt;$AR58),0,Schweine_Werte!$E58))</f>
        <v>0</v>
      </c>
      <c r="AZ58" s="730">
        <f>IF(OR($C$36=$AR58,$D$36=$AR58),Schweine_Werte!$E58*0.5,IF(OR($C$36&gt;$AR58,$D$36&lt;$AR58),0,Schweine_Werte!$E58))</f>
        <v>0</v>
      </c>
      <c r="BA58" s="730">
        <f>IF(OR($C$48=$AR58,$D$48=$AR58),Schweine_Werte!$E58*0.5,IF(OR($C$48&gt;$AR58,$D$48&lt;$AR58),0,Schweine_Werte!$E58))</f>
        <v>0</v>
      </c>
      <c r="BB58" s="730">
        <f>IF(OR($C$60=$AR58,$D$60=$AR58),Schweine_Werte!$E58*0.5,IF(OR($C$60&gt;$AR58,$D$60&lt;$AR58),0,Schweine_Werte!$E58))</f>
        <v>0</v>
      </c>
      <c r="BC58" s="795">
        <f>IF(OR($C$12=$AR58,$D$12=$AR58),Schweine_Werte!$G58*0.5,IF(OR($C$12&gt;$AR58,$D$12&lt;$AR58),0,Schweine_Werte!$G58))</f>
        <v>0</v>
      </c>
      <c r="BD58" s="730">
        <f>IF(OR($C$24=$AR58,$D$24=$AR58),Schweine_Werte!$G58*0.5,IF(OR($C$24&gt;$AR58,$D$24&lt;$AR58),0,Schweine_Werte!$G58))</f>
        <v>0</v>
      </c>
      <c r="BE58" s="730">
        <f>IF(OR($C$36=$AR58,$D$36=$AR58),Schweine_Werte!$G58*0.5,IF(OR($C$36&gt;$AR58,$D$36&lt;$AR58),0,Schweine_Werte!$G58))</f>
        <v>0</v>
      </c>
      <c r="BF58" s="730">
        <f>IF(OR($C$48=$AR58,$D$48=$AR58),Schweine_Werte!$G58*0.5,IF(OR($C$48&gt;$AR58,$D$48&lt;$AR58),0,Schweine_Werte!$G58))</f>
        <v>0</v>
      </c>
      <c r="BG58" s="730">
        <f>IF(OR($C$60=$AR58,$D$60=$AR58),Schweine_Werte!$G58*0.5,IF(OR($C$60&gt;$AR58,$D$60&lt;$AR58),0,Schweine_Werte!$G58))</f>
        <v>0</v>
      </c>
      <c r="BH58" s="795">
        <f>IF(OR($C$12=$AR58,$D$12=$AR58),Schweine_Werte!$I58*0.5,IF(OR($C$12&gt;$AR58,$D$12&lt;$AR58),0,Schweine_Werte!$I58))</f>
        <v>0</v>
      </c>
      <c r="BI58" s="730">
        <f>IF(OR($C$24=$AR58,$D$24=$AR58),Schweine_Werte!$I58*0.5,IF(OR($C$24&gt;$AR58,$D$24&lt;$AR58),0,Schweine_Werte!$I58))</f>
        <v>0</v>
      </c>
      <c r="BJ58" s="730">
        <f>IF(OR($C$36=$AR58,$D$36=$AR58),Schweine_Werte!$I58*0.5,IF(OR($C$36&gt;$AR58,$D$36&lt;$AR58),0,Schweine_Werte!$I58))</f>
        <v>0</v>
      </c>
      <c r="BK58" s="730">
        <f>IF(OR($C$48=$AR58,$D$48=$AR58),Schweine_Werte!$I58*0.5,IF(OR($C$48&gt;$AR58,$D$48&lt;$AR58),0,Schweine_Werte!$I58))</f>
        <v>0</v>
      </c>
      <c r="BL58" s="730">
        <f>IF(OR($C$60=$AR58,$D$60=$AR58),Schweine_Werte!$I58*0.5,IF(OR($C$60&gt;$AR58,$D$60&lt;$AR58),0,Schweine_Werte!$I58))</f>
        <v>0</v>
      </c>
      <c r="BM58" s="795"/>
      <c r="BN58" s="730"/>
      <c r="BO58" s="730"/>
      <c r="BP58" s="730"/>
      <c r="BQ58" s="730"/>
      <c r="BR58" s="795">
        <f>IF(OR($C$74=$AR58,$D$74=$AR58),Schweine_Werte!$M58*0.5,IF(OR($C$74&gt;$AR58,$D$74&lt;$AR58),0,Schweine_Werte!$M58))</f>
        <v>0</v>
      </c>
      <c r="BS58" s="795">
        <f>IF(OR($C$83=$AR58,$D$83=$AR58),Schweine_Werte!$M58*0.5,IF(OR($C$83&gt;$AR58,$D$83&lt;$AR58),0,Schweine_Werte!$M58))</f>
        <v>0</v>
      </c>
      <c r="BT58" s="797">
        <f>IF(OR($C$92=$AR58,$D$92=$AR58),Schweine_Werte!$M58*0.5,IF(OR($C$92&gt;$AR58,$D$92&lt;$AR58),0,Schweine_Werte!$M58))</f>
        <v>0</v>
      </c>
      <c r="BU58" s="797">
        <f>IF(OR($C$101=$AR58,$D$101=$AR58),Schweine_Werte!$M58*0.5,IF(OR($C$101&gt;$AR58,$D$101&lt;$AR58),0,Schweine_Werte!$M58))</f>
        <v>0</v>
      </c>
      <c r="BV58" s="797">
        <f>IF(OR($C$110=$AR58,$D$110=$AR58),Schweine_Werte!$M58*0.5,IF(OR($C$110&gt;$AR58,$D$110&lt;$AR58),0,Schweine_Werte!$M58))</f>
        <v>0</v>
      </c>
      <c r="BW58" s="797">
        <f>IF(OR(8=$AR58,$E$127=$AR58),Schweine_Werte!$M58*0.5,IF(OR(8&gt;$AR58,$E$127&lt;$AR58),0,Schweine_Werte!$M58))</f>
        <v>1.1248275743163625</v>
      </c>
      <c r="BX58" s="797">
        <f>IF(OR(8=$AR58,$E$145=$AR58),Schweine_Werte!$M58*0.5,IF(OR(8&gt;$AR58,$E$145&lt;$AR58),0,Schweine_Werte!$M58))</f>
        <v>1.1248275743163625</v>
      </c>
      <c r="BY58" s="795">
        <f>IF(OR($C$74=$AR58,$D$74=$AR58),Schweine_Werte!$O58*0.5,IF(OR($C$74&gt;$AR58,$D$74&lt;$AR58),0,Schweine_Werte!$O58))</f>
        <v>0</v>
      </c>
      <c r="BZ58" s="795">
        <f>IF(OR($C$83=$AR58,$D$83=$AR58),Schweine_Werte!$O58*0.5,IF(OR($C$83&gt;$AR58,$D$83&lt;$AR58),0,Schweine_Werte!$O58))</f>
        <v>0</v>
      </c>
      <c r="CA58" s="797">
        <f>IF(OR($C$92=$AR58,$D$92=$AR58),Schweine_Werte!$O58*0.5,IF(OR($C$92&gt;$AR58,$D$92&lt;$AR58),0,Schweine_Werte!$O58))</f>
        <v>0</v>
      </c>
      <c r="CB58" s="797">
        <f>IF(OR($C$101=$AR58,$D$101=$AR58),Schweine_Werte!$O58*0.5,IF(OR($C$101&gt;$AR58,$D$101&lt;$AR58),0,Schweine_Werte!$O58))</f>
        <v>0</v>
      </c>
      <c r="CC58" s="797">
        <f>IF(OR($C$110=$AR58,$D$110=$AR58),Schweine_Werte!$O58*0.5,IF(OR($C$110&gt;$AR58,$D$110&lt;$AR58),0,Schweine_Werte!$O58))</f>
        <v>0</v>
      </c>
    </row>
    <row r="59" spans="1:81" ht="18" x14ac:dyDescent="0.25">
      <c r="B59" s="800" t="s">
        <v>7717</v>
      </c>
      <c r="C59" s="801" t="s">
        <v>7657</v>
      </c>
      <c r="D59" s="801" t="s">
        <v>7718</v>
      </c>
      <c r="E59" s="801" t="s">
        <v>7659</v>
      </c>
      <c r="F59" s="747" t="s">
        <v>196</v>
      </c>
      <c r="G59" s="675" t="s">
        <v>4</v>
      </c>
      <c r="H59" s="675" t="s">
        <v>7719</v>
      </c>
      <c r="I59" s="675" t="s">
        <v>7720</v>
      </c>
      <c r="J59" s="676" t="s">
        <v>7721</v>
      </c>
      <c r="K59" s="676" t="s">
        <v>7721</v>
      </c>
      <c r="L59" s="677" t="s">
        <v>39</v>
      </c>
      <c r="M59" s="677" t="s">
        <v>7722</v>
      </c>
      <c r="N59" s="677" t="s">
        <v>41</v>
      </c>
      <c r="O59" s="678" t="s">
        <v>0</v>
      </c>
      <c r="P59" s="678" t="s">
        <v>8</v>
      </c>
      <c r="Q59" s="677" t="s">
        <v>39</v>
      </c>
      <c r="R59" s="677" t="s">
        <v>40</v>
      </c>
      <c r="S59" s="677" t="s">
        <v>41</v>
      </c>
      <c r="T59" s="677" t="s">
        <v>39</v>
      </c>
      <c r="U59" s="677" t="s">
        <v>40</v>
      </c>
      <c r="V59" s="677" t="s">
        <v>41</v>
      </c>
      <c r="W59" s="676" t="s">
        <v>7696</v>
      </c>
      <c r="X59" s="676" t="s">
        <v>7697</v>
      </c>
      <c r="Y59" s="676" t="s">
        <v>7698</v>
      </c>
      <c r="Z59" s="802" t="s">
        <v>7802</v>
      </c>
      <c r="AA59" s="802" t="s">
        <v>7803</v>
      </c>
      <c r="AB59" s="802" t="s">
        <v>7802</v>
      </c>
      <c r="AC59" s="802" t="s">
        <v>7803</v>
      </c>
      <c r="AD59" s="802" t="s">
        <v>7802</v>
      </c>
      <c r="AE59" s="802" t="s">
        <v>7803</v>
      </c>
      <c r="AF59" s="802" t="s">
        <v>7912</v>
      </c>
      <c r="AG59" s="1049" t="s">
        <v>7913</v>
      </c>
      <c r="AH59" s="802" t="s">
        <v>7914</v>
      </c>
      <c r="AI59" s="802"/>
      <c r="AJ59" s="802" t="s">
        <v>7778</v>
      </c>
      <c r="AK59" s="802" t="s">
        <v>7805</v>
      </c>
      <c r="AL59" s="802" t="s">
        <v>7806</v>
      </c>
      <c r="AM59" s="802" t="s">
        <v>7807</v>
      </c>
      <c r="AN59" s="802" t="s">
        <v>7806</v>
      </c>
      <c r="AO59" s="802" t="s">
        <v>7808</v>
      </c>
      <c r="AR59" s="806">
        <v>63</v>
      </c>
      <c r="AS59" s="795">
        <f>IF(OR($C$12=$AR59,$D$12=$AR59),Schweine_Werte!$C59*0.5,IF(OR($C$12&gt;$AR59,$D$12&lt;$AR59),0,Schweine_Werte!$C59))</f>
        <v>0</v>
      </c>
      <c r="AT59" s="730">
        <f>IF(OR($C$24=$AR59,$D$24=$AR59),Schweine_Werte!$C59*0.5,IF(OR($C$24&gt;$AR59,$D$24&lt;$AR59),0,Schweine_Werte!$C59))</f>
        <v>0</v>
      </c>
      <c r="AU59" s="795">
        <f>IF(OR($C$36=$AR59,$D$36=$AR59),Schweine_Werte!$C59*0.5,IF(OR($C$36&gt;$AR59,$D$36&lt;$AR59),0,Schweine_Werte!$C59))</f>
        <v>0</v>
      </c>
      <c r="AV59" s="795">
        <f>IF(OR($C$48=$AR59,$D$48=$AR59),Schweine_Werte!$C59*0.5,IF(OR($C$48&gt;$AR59,$D$48&lt;$AR59),0,Schweine_Werte!$C59))</f>
        <v>0</v>
      </c>
      <c r="AW59" s="795">
        <f>IF(OR($C$60=$AR59,$D$60=$AR59),Schweine_Werte!$C59*0.5,IF(OR($C$60&gt;$AR59,$D$60&lt;$AR59),0,Schweine_Werte!$C59))</f>
        <v>0</v>
      </c>
      <c r="AX59" s="795">
        <f>IF(OR($C$12=$AR59,$D$12=$AR59),Schweine_Werte!$E59*0.5,IF(OR($C$12&gt;$AR59,$D$12&lt;$AR59),0,Schweine_Werte!$E59))</f>
        <v>0</v>
      </c>
      <c r="AY59" s="730">
        <f>IF(OR($C$24=$AR59,$D$24=$AR59),Schweine_Werte!$E59*0.5,IF(OR($C$24&gt;$AR59,$D$24&lt;$AR59),0,Schweine_Werte!$E59))</f>
        <v>0</v>
      </c>
      <c r="AZ59" s="730">
        <f>IF(OR($C$36=$AR59,$D$36=$AR59),Schweine_Werte!$E59*0.5,IF(OR($C$36&gt;$AR59,$D$36&lt;$AR59),0,Schweine_Werte!$E59))</f>
        <v>0</v>
      </c>
      <c r="BA59" s="730">
        <f>IF(OR($C$48=$AR59,$D$48=$AR59),Schweine_Werte!$E59*0.5,IF(OR($C$48&gt;$AR59,$D$48&lt;$AR59),0,Schweine_Werte!$E59))</f>
        <v>0</v>
      </c>
      <c r="BB59" s="730">
        <f>IF(OR($C$60=$AR59,$D$60=$AR59),Schweine_Werte!$E59*0.5,IF(OR($C$60&gt;$AR59,$D$60&lt;$AR59),0,Schweine_Werte!$E59))</f>
        <v>0</v>
      </c>
      <c r="BC59" s="795">
        <f>IF(OR($C$12=$AR59,$D$12=$AR59),Schweine_Werte!$G59*0.5,IF(OR($C$12&gt;$AR59,$D$12&lt;$AR59),0,Schweine_Werte!$G59))</f>
        <v>0</v>
      </c>
      <c r="BD59" s="730">
        <f>IF(OR($C$24=$AR59,$D$24=$AR59),Schweine_Werte!$G59*0.5,IF(OR($C$24&gt;$AR59,$D$24&lt;$AR59),0,Schweine_Werte!$G59))</f>
        <v>0</v>
      </c>
      <c r="BE59" s="730">
        <f>IF(OR($C$36=$AR59,$D$36=$AR59),Schweine_Werte!$G59*0.5,IF(OR($C$36&gt;$AR59,$D$36&lt;$AR59),0,Schweine_Werte!$G59))</f>
        <v>0</v>
      </c>
      <c r="BF59" s="730">
        <f>IF(OR($C$48=$AR59,$D$48=$AR59),Schweine_Werte!$G59*0.5,IF(OR($C$48&gt;$AR59,$D$48&lt;$AR59),0,Schweine_Werte!$G59))</f>
        <v>0</v>
      </c>
      <c r="BG59" s="730">
        <f>IF(OR($C$60=$AR59,$D$60=$AR59),Schweine_Werte!$G59*0.5,IF(OR($C$60&gt;$AR59,$D$60&lt;$AR59),0,Schweine_Werte!$G59))</f>
        <v>0</v>
      </c>
      <c r="BH59" s="795">
        <f>IF(OR($C$12=$AR59,$D$12=$AR59),Schweine_Werte!$I59*0.5,IF(OR($C$12&gt;$AR59,$D$12&lt;$AR59),0,Schweine_Werte!$I59))</f>
        <v>0</v>
      </c>
      <c r="BI59" s="730">
        <f>IF(OR($C$24=$AR59,$D$24=$AR59),Schweine_Werte!$I59*0.5,IF(OR($C$24&gt;$AR59,$D$24&lt;$AR59),0,Schweine_Werte!$I59))</f>
        <v>0</v>
      </c>
      <c r="BJ59" s="730">
        <f>IF(OR($C$36=$AR59,$D$36=$AR59),Schweine_Werte!$I59*0.5,IF(OR($C$36&gt;$AR59,$D$36&lt;$AR59),0,Schweine_Werte!$I59))</f>
        <v>0</v>
      </c>
      <c r="BK59" s="730">
        <f>IF(OR($C$48=$AR59,$D$48=$AR59),Schweine_Werte!$I59*0.5,IF(OR($C$48&gt;$AR59,$D$48&lt;$AR59),0,Schweine_Werte!$I59))</f>
        <v>0</v>
      </c>
      <c r="BL59" s="730">
        <f>IF(OR($C$60=$AR59,$D$60=$AR59),Schweine_Werte!$I59*0.5,IF(OR($C$60&gt;$AR59,$D$60&lt;$AR59),0,Schweine_Werte!$I59))</f>
        <v>0</v>
      </c>
      <c r="BM59" s="795"/>
      <c r="BN59" s="730"/>
      <c r="BO59" s="730"/>
      <c r="BP59" s="730"/>
      <c r="BQ59" s="730"/>
      <c r="BR59" s="795">
        <f>IF(OR($C$74=$AR59,$D$74=$AR59),Schweine_Werte!$M59*0.5,IF(OR($C$74&gt;$AR59,$D$74&lt;$AR59),0,Schweine_Werte!$M59))</f>
        <v>0</v>
      </c>
      <c r="BS59" s="795">
        <f>IF(OR($C$83=$AR59,$D$83=$AR59),Schweine_Werte!$M59*0.5,IF(OR($C$83&gt;$AR59,$D$83&lt;$AR59),0,Schweine_Werte!$M59))</f>
        <v>0</v>
      </c>
      <c r="BT59" s="797">
        <f>IF(OR($C$92=$AR59,$D$92=$AR59),Schweine_Werte!$M59*0.5,IF(OR($C$92&gt;$AR59,$D$92&lt;$AR59),0,Schweine_Werte!$M59))</f>
        <v>0</v>
      </c>
      <c r="BU59" s="797">
        <f>IF(OR($C$101=$AR59,$D$101=$AR59),Schweine_Werte!$M59*0.5,IF(OR($C$101&gt;$AR59,$D$101&lt;$AR59),0,Schweine_Werte!$M59))</f>
        <v>0</v>
      </c>
      <c r="BV59" s="797">
        <f>IF(OR($C$110=$AR59,$D$110=$AR59),Schweine_Werte!$M59*0.5,IF(OR($C$110&gt;$AR59,$D$110&lt;$AR59),0,Schweine_Werte!$M59))</f>
        <v>0</v>
      </c>
      <c r="BW59" s="797">
        <f>IF(OR(8=$AR59,$E$127=$AR59),Schweine_Werte!$M59*0.5,IF(OR(8&gt;$AR59,$E$127&lt;$AR59),0,Schweine_Werte!$M59))</f>
        <v>1.1210940768302988</v>
      </c>
      <c r="BX59" s="797">
        <f>IF(OR(8=$AR59,$E$145=$AR59),Schweine_Werte!$M59*0.5,IF(OR(8&gt;$AR59,$E$145&lt;$AR59),0,Schweine_Werte!$M59))</f>
        <v>1.1210940768302988</v>
      </c>
      <c r="BY59" s="795">
        <f>IF(OR($C$74=$AR59,$D$74=$AR59),Schweine_Werte!$O59*0.5,IF(OR($C$74&gt;$AR59,$D$74&lt;$AR59),0,Schweine_Werte!$O59))</f>
        <v>0</v>
      </c>
      <c r="BZ59" s="795">
        <f>IF(OR($C$83=$AR59,$D$83=$AR59),Schweine_Werte!$O59*0.5,IF(OR($C$83&gt;$AR59,$D$83&lt;$AR59),0,Schweine_Werte!$O59))</f>
        <v>0</v>
      </c>
      <c r="CA59" s="797">
        <f>IF(OR($C$92=$AR59,$D$92=$AR59),Schweine_Werte!$O59*0.5,IF(OR($C$92&gt;$AR59,$D$92&lt;$AR59),0,Schweine_Werte!$O59))</f>
        <v>0</v>
      </c>
      <c r="CB59" s="797">
        <f>IF(OR($C$101=$AR59,$D$101=$AR59),Schweine_Werte!$O59*0.5,IF(OR($C$101&gt;$AR59,$D$101&lt;$AR59),0,Schweine_Werte!$O59))</f>
        <v>0</v>
      </c>
      <c r="CC59" s="797">
        <f>IF(OR($C$110=$AR59,$D$110=$AR59),Schweine_Werte!$O59*0.5,IF(OR($C$110&gt;$AR59,$D$110&lt;$AR59),0,Schweine_Werte!$O59))</f>
        <v>0</v>
      </c>
    </row>
    <row r="60" spans="1:81" ht="15.6" x14ac:dyDescent="0.25">
      <c r="A60" t="s">
        <v>7790</v>
      </c>
      <c r="B60" s="770" t="str">
        <f>IF('Abweichende Werte'!W9=1,'Abweichende Werte'!F9,"")</f>
        <v/>
      </c>
      <c r="C60" s="679" t="str">
        <f>IF('Abweichende Werte'!W9=1,'Abweichende Werte'!J9,"")</f>
        <v/>
      </c>
      <c r="D60" s="679" t="str">
        <f>IF('Abweichende Werte'!W9=1,'Abweichende Werte'!M9,"")</f>
        <v/>
      </c>
      <c r="E60" s="815" t="str">
        <f>IF('Abweichende Werte'!W9=1,'Abweichende Werte'!P9,"")</f>
        <v/>
      </c>
      <c r="F60" s="803" t="e">
        <f>IF($E60&lt;=$E53,F53,IF(AND($E60&gt;$E53,$E60&lt;=$E54),F53+(F54-F53)/($E54-$E53)*($E60-$E53),IF(AND($E60&gt;$E54,$E60&lt;=$E55),F54+(F55-F54)/($E55-$E54)*($E60-$E54),IF(AND($E60&gt;$E55,$E60&lt;=$E56),F55+(F56-F55)/($E56-$E55)*($E60-$E55),IF($E60&gt;$E56,F56)))))</f>
        <v>#VALUE!</v>
      </c>
      <c r="G60" s="803" t="e">
        <f t="shared" ref="G60:N60" si="33">IF($E60&lt;=$E53,G53,IF(AND($E60&gt;$E53,$E60&lt;=$E54),G53+(G54-G53)/($E54-$E53)*($E60-$E53),IF(AND($E60&gt;$E54,$E60&lt;=$E55),G54+(G55-G54)/($E55-$E54)*($E60-$E54),IF(AND($E60&gt;$E55,$E60&lt;=$E56),G55+(G56-G55)/($E56-$E55)*($E60-$E55),IF($E60&gt;$E56,G56)))))</f>
        <v>#VALUE!</v>
      </c>
      <c r="H60" s="803" t="e">
        <f t="shared" si="33"/>
        <v>#VALUE!</v>
      </c>
      <c r="I60" s="803" t="e">
        <f t="shared" si="33"/>
        <v>#VALUE!</v>
      </c>
      <c r="J60" s="803" t="e">
        <f t="shared" si="33"/>
        <v>#VALUE!</v>
      </c>
      <c r="K60" s="803" t="e">
        <f t="shared" si="33"/>
        <v>#VALUE!</v>
      </c>
      <c r="L60" s="803" t="e">
        <f t="shared" si="33"/>
        <v>#VALUE!</v>
      </c>
      <c r="M60" s="803" t="e">
        <f t="shared" si="33"/>
        <v>#VALUE!</v>
      </c>
      <c r="N60" s="803" t="e">
        <f t="shared" si="33"/>
        <v>#VALUE!</v>
      </c>
      <c r="O60" s="804">
        <v>5.5</v>
      </c>
      <c r="P60" s="804">
        <v>1.8</v>
      </c>
      <c r="Q60" s="803" t="e">
        <f t="shared" ref="Q60:Z60" si="34">IF($E60&lt;=$E53,Q53,IF(AND($E60&gt;$E53,$E60&lt;=$E54),Q53+(Q54-Q53)/($E54-$E53)*($E60-$E53),IF(AND($E60&gt;$E54,$E60&lt;=$E55),Q54+(Q55-Q54)/($E55-$E54)*($E60-$E54),IF(AND($E60&gt;$E55,$E60&lt;=$E56),Q55+(Q56-Q55)/($E56-$E55)*($E60-$E55),IF($E60&gt;$E56,Q56)))))</f>
        <v>#VALUE!</v>
      </c>
      <c r="R60" s="803" t="e">
        <f t="shared" si="34"/>
        <v>#VALUE!</v>
      </c>
      <c r="S60" s="803" t="e">
        <f t="shared" si="34"/>
        <v>#VALUE!</v>
      </c>
      <c r="T60" s="803" t="e">
        <f t="shared" si="34"/>
        <v>#VALUE!</v>
      </c>
      <c r="U60" s="803" t="e">
        <f t="shared" si="34"/>
        <v>#VALUE!</v>
      </c>
      <c r="V60" s="803" t="e">
        <f t="shared" si="34"/>
        <v>#VALUE!</v>
      </c>
      <c r="W60" s="803" t="e">
        <f t="shared" si="34"/>
        <v>#VALUE!</v>
      </c>
      <c r="X60" s="803" t="e">
        <f t="shared" si="34"/>
        <v>#VALUE!</v>
      </c>
      <c r="Y60" s="803" t="e">
        <f t="shared" si="34"/>
        <v>#VALUE!</v>
      </c>
      <c r="Z60" s="803" t="e">
        <f t="shared" si="34"/>
        <v>#VALUE!</v>
      </c>
      <c r="AA60" s="805" t="e">
        <f>+Z60*6.25</f>
        <v>#VALUE!</v>
      </c>
      <c r="AB60" s="803" t="e">
        <f t="shared" ref="AB60" si="35">IF($E60&lt;=$E53,AB53,IF(AND($E60&gt;$E53,$E60&lt;=$E54),AB53+(AB54-AB53)/($E54-$E53)*($E60-$E53),IF(AND($E60&gt;$E54,$E60&lt;=$E55),AB54+(AB55-AB54)/($E55-$E54)*($E60-$E54),IF(AND($E60&gt;$E55,$E60&lt;=$E56),AB55+(AB56-AB55)/($E56-$E55)*($E60-$E55),IF($E60&gt;$E56,AB56)))))</f>
        <v>#VALUE!</v>
      </c>
      <c r="AC60" s="805" t="e">
        <f>+AB60*6.25</f>
        <v>#VALUE!</v>
      </c>
      <c r="AD60" s="803" t="e">
        <f t="shared" ref="AD60" si="36">IF($E60&lt;=$E53,AD53,IF(AND($E60&gt;$E53,$E60&lt;=$E54),AD53+(AD54-AD53)/($E54-$E53)*($E60-$E53),IF(AND($E60&gt;$E54,$E60&lt;=$E55),AD54+(AD55-AD54)/($E55-$E54)*($E60-$E54),IF(AND($E60&gt;$E55,$E60&lt;=$E56),AD55+(AD56-AD55)/($E56-$E55)*($E60-$E55),IF($E60&gt;$E56,AD56)))))</f>
        <v>#VALUE!</v>
      </c>
      <c r="AE60" s="805" t="e">
        <f>+AD60*6.25</f>
        <v>#VALUE!</v>
      </c>
      <c r="AF60" s="805" t="e">
        <f>365/((D60-C60)/E60*1000)</f>
        <v>#VALUE!</v>
      </c>
      <c r="AG60" s="803" t="e">
        <f>IF($E60&lt;=$E53,AG53,IF(AND($E60&gt;$E53,$E60&lt;=$E54),AG53+(AG54-AG53)/($E54-$E53)*($E60-$E53),IF(AND($E60&gt;$E54,$E60&lt;=$E55),AG54+(AG55-AG54)/($E55-$E54)*($E60-$E54),IF(AND($E60&gt;$E55,$E60&lt;=$E56),AG55+(AG56-AG55)/($E56-$E55)*($E60-$E55),IF($E60&gt;$E56,AG56)))))</f>
        <v>#VALUE!</v>
      </c>
      <c r="AH60" s="805" t="e">
        <f>+AG60/AF60</f>
        <v>#VALUE!</v>
      </c>
      <c r="AI60" s="805" t="e">
        <f>+CONCATENATE(ROUND(AH60/(D60-C60),1)," : 1")</f>
        <v>#VALUE!</v>
      </c>
      <c r="AJ60" s="803" t="e">
        <f t="shared" ref="AJ60" si="37">IF($E60&lt;=$E53,AJ53,IF(AND($E60&gt;$E53,$E60&lt;=$E54),AJ53+(AJ54-AJ53)/($E54-$E53)*($E60-$E53),IF(AND($E60&gt;$E54,$E60&lt;=$E55),AJ54+(AJ55-AJ54)/($E55-$E54)*($E60-$E54),IF(AND($E60&gt;$E55,$E60&lt;=$E56),AJ55+(AJ56-AJ55)/($E56-$E55)*($E60-$E55),IF($E60&gt;$E56,AJ56)))))</f>
        <v>#VALUE!</v>
      </c>
      <c r="AK60" s="805" t="e">
        <f>+AJ60/2.291</f>
        <v>#VALUE!</v>
      </c>
      <c r="AL60" s="803" t="e">
        <f t="shared" ref="AL60" si="38">IF($E60&lt;=$E53,AL53,IF(AND($E60&gt;$E53,$E60&lt;=$E54),AL53+(AL54-AL53)/($E54-$E53)*($E60-$E53),IF(AND($E60&gt;$E54,$E60&lt;=$E55),AL54+(AL55-AL54)/($E55-$E54)*($E60-$E54),IF(AND($E60&gt;$E55,$E60&lt;=$E56),AL55+(AL56-AL55)/($E56-$E55)*($E60-$E55),IF($E60&gt;$E56,AL56)))))</f>
        <v>#VALUE!</v>
      </c>
      <c r="AM60" s="805" t="e">
        <f>+AL60/2.291</f>
        <v>#VALUE!</v>
      </c>
      <c r="AN60" s="803" t="e">
        <f t="shared" ref="AN60" si="39">IF($E60&lt;=$E53,AN53,IF(AND($E60&gt;$E53,$E60&lt;=$E54),AN53+(AN54-AN53)/($E54-$E53)*($E60-$E53),IF(AND($E60&gt;$E54,$E60&lt;=$E55),AN54+(AN55-AN54)/($E55-$E54)*($E60-$E54),IF(AND($E60&gt;$E55,$E60&lt;=$E56),AN55+(AN56-AN55)/($E56-$E55)*($E60-$E55),IF($E60&gt;$E56,AN56)))))</f>
        <v>#VALUE!</v>
      </c>
      <c r="AO60" s="805" t="e">
        <f>+AN60/2.291</f>
        <v>#VALUE!</v>
      </c>
      <c r="AR60" s="806">
        <v>64</v>
      </c>
      <c r="AS60" s="795">
        <f>IF(OR($C$12=$AR60,$D$12=$AR60),Schweine_Werte!$C60*0.5,IF(OR($C$12&gt;$AR60,$D$12&lt;$AR60),0,Schweine_Werte!$C60))</f>
        <v>0</v>
      </c>
      <c r="AT60" s="730">
        <f>IF(OR($C$24=$AR60,$D$24=$AR60),Schweine_Werte!$C60*0.5,IF(OR($C$24&gt;$AR60,$D$24&lt;$AR60),0,Schweine_Werte!$C60))</f>
        <v>0</v>
      </c>
      <c r="AU60" s="795">
        <f>IF(OR($C$36=$AR60,$D$36=$AR60),Schweine_Werte!$C60*0.5,IF(OR($C$36&gt;$AR60,$D$36&lt;$AR60),0,Schweine_Werte!$C60))</f>
        <v>0</v>
      </c>
      <c r="AV60" s="795">
        <f>IF(OR($C$48=$AR60,$D$48=$AR60),Schweine_Werte!$C60*0.5,IF(OR($C$48&gt;$AR60,$D$48&lt;$AR60),0,Schweine_Werte!$C60))</f>
        <v>0</v>
      </c>
      <c r="AW60" s="795">
        <f>IF(OR($C$60=$AR60,$D$60=$AR60),Schweine_Werte!$C60*0.5,IF(OR($C$60&gt;$AR60,$D$60&lt;$AR60),0,Schweine_Werte!$C60))</f>
        <v>0</v>
      </c>
      <c r="AX60" s="795">
        <f>IF(OR($C$12=$AR60,$D$12=$AR60),Schweine_Werte!$E60*0.5,IF(OR($C$12&gt;$AR60,$D$12&lt;$AR60),0,Schweine_Werte!$E60))</f>
        <v>0</v>
      </c>
      <c r="AY60" s="730">
        <f>IF(OR($C$24=$AR60,$D$24=$AR60),Schweine_Werte!$E60*0.5,IF(OR($C$24&gt;$AR60,$D$24&lt;$AR60),0,Schweine_Werte!$E60))</f>
        <v>0</v>
      </c>
      <c r="AZ60" s="730">
        <f>IF(OR($C$36=$AR60,$D$36=$AR60),Schweine_Werte!$E60*0.5,IF(OR($C$36&gt;$AR60,$D$36&lt;$AR60),0,Schweine_Werte!$E60))</f>
        <v>0</v>
      </c>
      <c r="BA60" s="730">
        <f>IF(OR($C$48=$AR60,$D$48=$AR60),Schweine_Werte!$E60*0.5,IF(OR($C$48&gt;$AR60,$D$48&lt;$AR60),0,Schweine_Werte!$E60))</f>
        <v>0</v>
      </c>
      <c r="BB60" s="730">
        <f>IF(OR($C$60=$AR60,$D$60=$AR60),Schweine_Werte!$E60*0.5,IF(OR($C$60&gt;$AR60,$D$60&lt;$AR60),0,Schweine_Werte!$E60))</f>
        <v>0</v>
      </c>
      <c r="BC60" s="795">
        <f>IF(OR($C$12=$AR60,$D$12=$AR60),Schweine_Werte!$G60*0.5,IF(OR($C$12&gt;$AR60,$D$12&lt;$AR60),0,Schweine_Werte!$G60))</f>
        <v>0</v>
      </c>
      <c r="BD60" s="730">
        <f>IF(OR($C$24=$AR60,$D$24=$AR60),Schweine_Werte!$G60*0.5,IF(OR($C$24&gt;$AR60,$D$24&lt;$AR60),0,Schweine_Werte!$G60))</f>
        <v>0</v>
      </c>
      <c r="BE60" s="730">
        <f>IF(OR($C$36=$AR60,$D$36=$AR60),Schweine_Werte!$G60*0.5,IF(OR($C$36&gt;$AR60,$D$36&lt;$AR60),0,Schweine_Werte!$G60))</f>
        <v>0</v>
      </c>
      <c r="BF60" s="730">
        <f>IF(OR($C$48=$AR60,$D$48=$AR60),Schweine_Werte!$G60*0.5,IF(OR($C$48&gt;$AR60,$D$48&lt;$AR60),0,Schweine_Werte!$G60))</f>
        <v>0</v>
      </c>
      <c r="BG60" s="730">
        <f>IF(OR($C$60=$AR60,$D$60=$AR60),Schweine_Werte!$G60*0.5,IF(OR($C$60&gt;$AR60,$D$60&lt;$AR60),0,Schweine_Werte!$G60))</f>
        <v>0</v>
      </c>
      <c r="BH60" s="795">
        <f>IF(OR($C$12=$AR60,$D$12=$AR60),Schweine_Werte!$I60*0.5,IF(OR($C$12&gt;$AR60,$D$12&lt;$AR60),0,Schweine_Werte!$I60))</f>
        <v>0</v>
      </c>
      <c r="BI60" s="730">
        <f>IF(OR($C$24=$AR60,$D$24=$AR60),Schweine_Werte!$I60*0.5,IF(OR($C$24&gt;$AR60,$D$24&lt;$AR60),0,Schweine_Werte!$I60))</f>
        <v>0</v>
      </c>
      <c r="BJ60" s="730">
        <f>IF(OR($C$36=$AR60,$D$36=$AR60),Schweine_Werte!$I60*0.5,IF(OR($C$36&gt;$AR60,$D$36&lt;$AR60),0,Schweine_Werte!$I60))</f>
        <v>0</v>
      </c>
      <c r="BK60" s="730">
        <f>IF(OR($C$48=$AR60,$D$48=$AR60),Schweine_Werte!$I60*0.5,IF(OR($C$48&gt;$AR60,$D$48&lt;$AR60),0,Schweine_Werte!$I60))</f>
        <v>0</v>
      </c>
      <c r="BL60" s="730">
        <f>IF(OR($C$60=$AR60,$D$60=$AR60),Schweine_Werte!$I60*0.5,IF(OR($C$60&gt;$AR60,$D$60&lt;$AR60),0,Schweine_Werte!$I60))</f>
        <v>0</v>
      </c>
      <c r="BM60" s="795"/>
      <c r="BN60" s="730"/>
      <c r="BO60" s="730"/>
      <c r="BP60" s="730"/>
      <c r="BQ60" s="730"/>
      <c r="BR60" s="795">
        <f>IF(OR($C$74=$AR60,$D$74=$AR60),Schweine_Werte!$M60*0.5,IF(OR($C$74&gt;$AR60,$D$74&lt;$AR60),0,Schweine_Werte!$M60))</f>
        <v>0</v>
      </c>
      <c r="BS60" s="795">
        <f>IF(OR($C$83=$AR60,$D$83=$AR60),Schweine_Werte!$M60*0.5,IF(OR($C$83&gt;$AR60,$D$83&lt;$AR60),0,Schweine_Werte!$M60))</f>
        <v>0</v>
      </c>
      <c r="BT60" s="797">
        <f>IF(OR($C$92=$AR60,$D$92=$AR60),Schweine_Werte!$M60*0.5,IF(OR($C$92&gt;$AR60,$D$92&lt;$AR60),0,Schweine_Werte!$M60))</f>
        <v>0</v>
      </c>
      <c r="BU60" s="797">
        <f>IF(OR($C$101=$AR60,$D$101=$AR60),Schweine_Werte!$M60*0.5,IF(OR($C$101&gt;$AR60,$D$101&lt;$AR60),0,Schweine_Werte!$M60))</f>
        <v>0</v>
      </c>
      <c r="BV60" s="797">
        <f>IF(OR($C$110=$AR60,$D$110=$AR60),Schweine_Werte!$M60*0.5,IF(OR($C$110&gt;$AR60,$D$110&lt;$AR60),0,Schweine_Werte!$M60))</f>
        <v>0</v>
      </c>
      <c r="BW60" s="797">
        <f>IF(OR(8=$AR60,$E$127=$AR60),Schweine_Werte!$M60*0.5,IF(OR(8&gt;$AR60,$E$127&lt;$AR60),0,Schweine_Werte!$M60))</f>
        <v>1.1177555614589696</v>
      </c>
      <c r="BX60" s="797">
        <f>IF(OR(8=$AR60,$E$145=$AR60),Schweine_Werte!$M60*0.5,IF(OR(8&gt;$AR60,$E$145&lt;$AR60),0,Schweine_Werte!$M60))</f>
        <v>1.1177555614589696</v>
      </c>
      <c r="BY60" s="795">
        <f>IF(OR($C$74=$AR60,$D$74=$AR60),Schweine_Werte!$O60*0.5,IF(OR($C$74&gt;$AR60,$D$74&lt;$AR60),0,Schweine_Werte!$O60))</f>
        <v>0</v>
      </c>
      <c r="BZ60" s="795">
        <f>IF(OR($C$83=$AR60,$D$83=$AR60),Schweine_Werte!$O60*0.5,IF(OR($C$83&gt;$AR60,$D$83&lt;$AR60),0,Schweine_Werte!$O60))</f>
        <v>0</v>
      </c>
      <c r="CA60" s="797">
        <f>IF(OR($C$92=$AR60,$D$92=$AR60),Schweine_Werte!$O60*0.5,IF(OR($C$92&gt;$AR60,$D$92&lt;$AR60),0,Schweine_Werte!$O60))</f>
        <v>0</v>
      </c>
      <c r="CB60" s="797">
        <f>IF(OR($C$101=$AR60,$D$101=$AR60),Schweine_Werte!$O60*0.5,IF(OR($C$101&gt;$AR60,$D$101&lt;$AR60),0,Schweine_Werte!$O60))</f>
        <v>0</v>
      </c>
      <c r="CC60" s="797">
        <f>IF(OR($C$110=$AR60,$D$110=$AR60),Schweine_Werte!$O60*0.5,IF(OR($C$110&gt;$AR60,$D$110&lt;$AR60),0,Schweine_Werte!$O60))</f>
        <v>0</v>
      </c>
    </row>
    <row r="61" spans="1:81" x14ac:dyDescent="0.25">
      <c r="AR61" s="806">
        <v>65</v>
      </c>
      <c r="AS61" s="795">
        <f>IF(OR($C$12=$AR61,$D$12=$AR61),Schweine_Werte!$C61*0.5,IF(OR($C$12&gt;$AR61,$D$12&lt;$AR61),0,Schweine_Werte!$C61))</f>
        <v>0</v>
      </c>
      <c r="AT61" s="730">
        <f>IF(OR($C$24=$AR61,$D$24=$AR61),Schweine_Werte!$C61*0.5,IF(OR($C$24&gt;$AR61,$D$24&lt;$AR61),0,Schweine_Werte!$C61))</f>
        <v>0</v>
      </c>
      <c r="AU61" s="795">
        <f>IF(OR($C$36=$AR61,$D$36=$AR61),Schweine_Werte!$C61*0.5,IF(OR($C$36&gt;$AR61,$D$36&lt;$AR61),0,Schweine_Werte!$C61))</f>
        <v>0</v>
      </c>
      <c r="AV61" s="795">
        <f>IF(OR($C$48=$AR61,$D$48=$AR61),Schweine_Werte!$C61*0.5,IF(OR($C$48&gt;$AR61,$D$48&lt;$AR61),0,Schweine_Werte!$C61))</f>
        <v>0</v>
      </c>
      <c r="AW61" s="795">
        <f>IF(OR($C$60=$AR61,$D$60=$AR61),Schweine_Werte!$C61*0.5,IF(OR($C$60&gt;$AR61,$D$60&lt;$AR61),0,Schweine_Werte!$C61))</f>
        <v>0</v>
      </c>
      <c r="AX61" s="795">
        <f>IF(OR($C$12=$AR61,$D$12=$AR61),Schweine_Werte!$E61*0.5,IF(OR($C$12&gt;$AR61,$D$12&lt;$AR61),0,Schweine_Werte!$E61))</f>
        <v>0</v>
      </c>
      <c r="AY61" s="730">
        <f>IF(OR($C$24=$AR61,$D$24=$AR61),Schweine_Werte!$E61*0.5,IF(OR($C$24&gt;$AR61,$D$24&lt;$AR61),0,Schweine_Werte!$E61))</f>
        <v>0</v>
      </c>
      <c r="AZ61" s="730">
        <f>IF(OR($C$36=$AR61,$D$36=$AR61),Schweine_Werte!$E61*0.5,IF(OR($C$36&gt;$AR61,$D$36&lt;$AR61),0,Schweine_Werte!$E61))</f>
        <v>0</v>
      </c>
      <c r="BA61" s="730">
        <f>IF(OR($C$48=$AR61,$D$48=$AR61),Schweine_Werte!$E61*0.5,IF(OR($C$48&gt;$AR61,$D$48&lt;$AR61),0,Schweine_Werte!$E61))</f>
        <v>0</v>
      </c>
      <c r="BB61" s="730">
        <f>IF(OR($C$60=$AR61,$D$60=$AR61),Schweine_Werte!$E61*0.5,IF(OR($C$60&gt;$AR61,$D$60&lt;$AR61),0,Schweine_Werte!$E61))</f>
        <v>0</v>
      </c>
      <c r="BC61" s="795">
        <f>IF(OR($C$12=$AR61,$D$12=$AR61),Schweine_Werte!$G61*0.5,IF(OR($C$12&gt;$AR61,$D$12&lt;$AR61),0,Schweine_Werte!$G61))</f>
        <v>0</v>
      </c>
      <c r="BD61" s="730">
        <f>IF(OR($C$24=$AR61,$D$24=$AR61),Schweine_Werte!$G61*0.5,IF(OR($C$24&gt;$AR61,$D$24&lt;$AR61),0,Schweine_Werte!$G61))</f>
        <v>0</v>
      </c>
      <c r="BE61" s="730">
        <f>IF(OR($C$36=$AR61,$D$36=$AR61),Schweine_Werte!$G61*0.5,IF(OR($C$36&gt;$AR61,$D$36&lt;$AR61),0,Schweine_Werte!$G61))</f>
        <v>0</v>
      </c>
      <c r="BF61" s="730">
        <f>IF(OR($C$48=$AR61,$D$48=$AR61),Schweine_Werte!$G61*0.5,IF(OR($C$48&gt;$AR61,$D$48&lt;$AR61),0,Schweine_Werte!$G61))</f>
        <v>0</v>
      </c>
      <c r="BG61" s="730">
        <f>IF(OR($C$60=$AR61,$D$60=$AR61),Schweine_Werte!$G61*0.5,IF(OR($C$60&gt;$AR61,$D$60&lt;$AR61),0,Schweine_Werte!$G61))</f>
        <v>0</v>
      </c>
      <c r="BH61" s="795">
        <f>IF(OR($C$12=$AR61,$D$12=$AR61),Schweine_Werte!$I61*0.5,IF(OR($C$12&gt;$AR61,$D$12&lt;$AR61),0,Schweine_Werte!$I61))</f>
        <v>0</v>
      </c>
      <c r="BI61" s="730">
        <f>IF(OR($C$24=$AR61,$D$24=$AR61),Schweine_Werte!$I61*0.5,IF(OR($C$24&gt;$AR61,$D$24&lt;$AR61),0,Schweine_Werte!$I61))</f>
        <v>0</v>
      </c>
      <c r="BJ61" s="730">
        <f>IF(OR($C$36=$AR61,$D$36=$AR61),Schweine_Werte!$I61*0.5,IF(OR($C$36&gt;$AR61,$D$36&lt;$AR61),0,Schweine_Werte!$I61))</f>
        <v>0</v>
      </c>
      <c r="BK61" s="730">
        <f>IF(OR($C$48=$AR61,$D$48=$AR61),Schweine_Werte!$I61*0.5,IF(OR($C$48&gt;$AR61,$D$48&lt;$AR61),0,Schweine_Werte!$I61))</f>
        <v>0</v>
      </c>
      <c r="BL61" s="730">
        <f>IF(OR($C$60=$AR61,$D$60=$AR61),Schweine_Werte!$I61*0.5,IF(OR($C$60&gt;$AR61,$D$60&lt;$AR61),0,Schweine_Werte!$I61))</f>
        <v>0</v>
      </c>
      <c r="BM61" s="795"/>
      <c r="BN61" s="730"/>
      <c r="BO61" s="730"/>
      <c r="BP61" s="730"/>
      <c r="BQ61" s="730"/>
      <c r="BR61" s="795">
        <f>IF(OR($C$74=$AR61,$D$74=$AR61),Schweine_Werte!$M61*0.5,IF(OR($C$74&gt;$AR61,$D$74&lt;$AR61),0,Schweine_Werte!$M61))</f>
        <v>0</v>
      </c>
      <c r="BS61" s="795">
        <f>IF(OR($C$83=$AR61,$D$83=$AR61),Schweine_Werte!$M61*0.5,IF(OR($C$83&gt;$AR61,$D$83&lt;$AR61),0,Schweine_Werte!$M61))</f>
        <v>0</v>
      </c>
      <c r="BT61" s="797">
        <f>IF(OR($C$92=$AR61,$D$92=$AR61),Schweine_Werte!$M61*0.5,IF(OR($C$92&gt;$AR61,$D$92&lt;$AR61),0,Schweine_Werte!$M61))</f>
        <v>0</v>
      </c>
      <c r="BU61" s="797">
        <f>IF(OR($C$101=$AR61,$D$101=$AR61),Schweine_Werte!$M61*0.5,IF(OR($C$101&gt;$AR61,$D$101&lt;$AR61),0,Schweine_Werte!$M61))</f>
        <v>0</v>
      </c>
      <c r="BV61" s="797">
        <f>IF(OR($C$110=$AR61,$D$110=$AR61),Schweine_Werte!$M61*0.5,IF(OR($C$110&gt;$AR61,$D$110&lt;$AR61),0,Schweine_Werte!$M61))</f>
        <v>0</v>
      </c>
      <c r="BW61" s="797">
        <f>IF(OR(8=$AR61,$E$127=$AR61),Schweine_Werte!$M61*0.5,IF(OR(8&gt;$AR61,$E$127&lt;$AR61),0,Schweine_Werte!$M61))</f>
        <v>1.1148053306975045</v>
      </c>
      <c r="BX61" s="797">
        <f>IF(OR(8=$AR61,$E$145=$AR61),Schweine_Werte!$M61*0.5,IF(OR(8&gt;$AR61,$E$145&lt;$AR61),0,Schweine_Werte!$M61))</f>
        <v>1.1148053306975045</v>
      </c>
      <c r="BY61" s="795">
        <f>IF(OR($C$74=$AR61,$D$74=$AR61),Schweine_Werte!$O61*0.5,IF(OR($C$74&gt;$AR61,$D$74&lt;$AR61),0,Schweine_Werte!$O61))</f>
        <v>0</v>
      </c>
      <c r="BZ61" s="795">
        <f>IF(OR($C$83=$AR61,$D$83=$AR61),Schweine_Werte!$O61*0.5,IF(OR($C$83&gt;$AR61,$D$83&lt;$AR61),0,Schweine_Werte!$O61))</f>
        <v>0</v>
      </c>
      <c r="CA61" s="797">
        <f>IF(OR($C$92=$AR61,$D$92=$AR61),Schweine_Werte!$O61*0.5,IF(OR($C$92&gt;$AR61,$D$92&lt;$AR61),0,Schweine_Werte!$O61))</f>
        <v>0</v>
      </c>
      <c r="CB61" s="797">
        <f>IF(OR($C$101=$AR61,$D$101=$AR61),Schweine_Werte!$O61*0.5,IF(OR($C$101&gt;$AR61,$D$101&lt;$AR61),0,Schweine_Werte!$O61))</f>
        <v>0</v>
      </c>
      <c r="CC61" s="797">
        <f>IF(OR($C$110=$AR61,$D$110=$AR61),Schweine_Werte!$O61*0.5,IF(OR($C$110&gt;$AR61,$D$110&lt;$AR61),0,Schweine_Werte!$O61))</f>
        <v>0</v>
      </c>
    </row>
    <row r="62" spans="1:81" x14ac:dyDescent="0.25">
      <c r="AR62" s="806">
        <v>66</v>
      </c>
      <c r="AS62" s="795">
        <f>IF(OR($C$12=$AR62,$D$12=$AR62),Schweine_Werte!$C62*0.5,IF(OR($C$12&gt;$AR62,$D$12&lt;$AR62),0,Schweine_Werte!$C62))</f>
        <v>0</v>
      </c>
      <c r="AT62" s="730">
        <f>IF(OR($C$24=$AR62,$D$24=$AR62),Schweine_Werte!$C62*0.5,IF(OR($C$24&gt;$AR62,$D$24&lt;$AR62),0,Schweine_Werte!$C62))</f>
        <v>0</v>
      </c>
      <c r="AU62" s="795">
        <f>IF(OR($C$36=$AR62,$D$36=$AR62),Schweine_Werte!$C62*0.5,IF(OR($C$36&gt;$AR62,$D$36&lt;$AR62),0,Schweine_Werte!$C62))</f>
        <v>0</v>
      </c>
      <c r="AV62" s="795">
        <f>IF(OR($C$48=$AR62,$D$48=$AR62),Schweine_Werte!$C62*0.5,IF(OR($C$48&gt;$AR62,$D$48&lt;$AR62),0,Schweine_Werte!$C62))</f>
        <v>0</v>
      </c>
      <c r="AW62" s="795">
        <f>IF(OR($C$60=$AR62,$D$60=$AR62),Schweine_Werte!$C62*0.5,IF(OR($C$60&gt;$AR62,$D$60&lt;$AR62),0,Schweine_Werte!$C62))</f>
        <v>0</v>
      </c>
      <c r="AX62" s="795">
        <f>IF(OR($C$12=$AR62,$D$12=$AR62),Schweine_Werte!$E62*0.5,IF(OR($C$12&gt;$AR62,$D$12&lt;$AR62),0,Schweine_Werte!$E62))</f>
        <v>0</v>
      </c>
      <c r="AY62" s="730">
        <f>IF(OR($C$24=$AR62,$D$24=$AR62),Schweine_Werte!$E62*0.5,IF(OR($C$24&gt;$AR62,$D$24&lt;$AR62),0,Schweine_Werte!$E62))</f>
        <v>0</v>
      </c>
      <c r="AZ62" s="730">
        <f>IF(OR($C$36=$AR62,$D$36=$AR62),Schweine_Werte!$E62*0.5,IF(OR($C$36&gt;$AR62,$D$36&lt;$AR62),0,Schweine_Werte!$E62))</f>
        <v>0</v>
      </c>
      <c r="BA62" s="730">
        <f>IF(OR($C$48=$AR62,$D$48=$AR62),Schweine_Werte!$E62*0.5,IF(OR($C$48&gt;$AR62,$D$48&lt;$AR62),0,Schweine_Werte!$E62))</f>
        <v>0</v>
      </c>
      <c r="BB62" s="730">
        <f>IF(OR($C$60=$AR62,$D$60=$AR62),Schweine_Werte!$E62*0.5,IF(OR($C$60&gt;$AR62,$D$60&lt;$AR62),0,Schweine_Werte!$E62))</f>
        <v>0</v>
      </c>
      <c r="BC62" s="795">
        <f>IF(OR($C$12=$AR62,$D$12=$AR62),Schweine_Werte!$G62*0.5,IF(OR($C$12&gt;$AR62,$D$12&lt;$AR62),0,Schweine_Werte!$G62))</f>
        <v>0</v>
      </c>
      <c r="BD62" s="730">
        <f>IF(OR($C$24=$AR62,$D$24=$AR62),Schweine_Werte!$G62*0.5,IF(OR($C$24&gt;$AR62,$D$24&lt;$AR62),0,Schweine_Werte!$G62))</f>
        <v>0</v>
      </c>
      <c r="BE62" s="730">
        <f>IF(OR($C$36=$AR62,$D$36=$AR62),Schweine_Werte!$G62*0.5,IF(OR($C$36&gt;$AR62,$D$36&lt;$AR62),0,Schweine_Werte!$G62))</f>
        <v>0</v>
      </c>
      <c r="BF62" s="730">
        <f>IF(OR($C$48=$AR62,$D$48=$AR62),Schweine_Werte!$G62*0.5,IF(OR($C$48&gt;$AR62,$D$48&lt;$AR62),0,Schweine_Werte!$G62))</f>
        <v>0</v>
      </c>
      <c r="BG62" s="730">
        <f>IF(OR($C$60=$AR62,$D$60=$AR62),Schweine_Werte!$G62*0.5,IF(OR($C$60&gt;$AR62,$D$60&lt;$AR62),0,Schweine_Werte!$G62))</f>
        <v>0</v>
      </c>
      <c r="BH62" s="795">
        <f>IF(OR($C$12=$AR62,$D$12=$AR62),Schweine_Werte!$I62*0.5,IF(OR($C$12&gt;$AR62,$D$12&lt;$AR62),0,Schweine_Werte!$I62))</f>
        <v>0</v>
      </c>
      <c r="BI62" s="730">
        <f>IF(OR($C$24=$AR62,$D$24=$AR62),Schweine_Werte!$I62*0.5,IF(OR($C$24&gt;$AR62,$D$24&lt;$AR62),0,Schweine_Werte!$I62))</f>
        <v>0</v>
      </c>
      <c r="BJ62" s="730">
        <f>IF(OR($C$36=$AR62,$D$36=$AR62),Schweine_Werte!$I62*0.5,IF(OR($C$36&gt;$AR62,$D$36&lt;$AR62),0,Schweine_Werte!$I62))</f>
        <v>0</v>
      </c>
      <c r="BK62" s="730">
        <f>IF(OR($C$48=$AR62,$D$48=$AR62),Schweine_Werte!$I62*0.5,IF(OR($C$48&gt;$AR62,$D$48&lt;$AR62),0,Schweine_Werte!$I62))</f>
        <v>0</v>
      </c>
      <c r="BL62" s="730">
        <f>IF(OR($C$60=$AR62,$D$60=$AR62),Schweine_Werte!$I62*0.5,IF(OR($C$60&gt;$AR62,$D$60&lt;$AR62),0,Schweine_Werte!$I62))</f>
        <v>0</v>
      </c>
      <c r="BM62" s="795"/>
      <c r="BN62" s="730"/>
      <c r="BO62" s="730"/>
      <c r="BP62" s="730"/>
      <c r="BQ62" s="730"/>
      <c r="BR62" s="795">
        <f>IF(OR($C$74=$AR62,$D$74=$AR62),Schweine_Werte!$M62*0.5,IF(OR($C$74&gt;$AR62,$D$74&lt;$AR62),0,Schweine_Werte!$M62))</f>
        <v>0</v>
      </c>
      <c r="BS62" s="795">
        <f>IF(OR($C$83=$AR62,$D$83=$AR62),Schweine_Werte!$M62*0.5,IF(OR($C$83&gt;$AR62,$D$83&lt;$AR62),0,Schweine_Werte!$M62))</f>
        <v>0</v>
      </c>
      <c r="BT62" s="797">
        <f>IF(OR($C$92=$AR62,$D$92=$AR62),Schweine_Werte!$M62*0.5,IF(OR($C$92&gt;$AR62,$D$92&lt;$AR62),0,Schweine_Werte!$M62))</f>
        <v>0</v>
      </c>
      <c r="BU62" s="797">
        <f>IF(OR($C$101=$AR62,$D$101=$AR62),Schweine_Werte!$M62*0.5,IF(OR($C$101&gt;$AR62,$D$101&lt;$AR62),0,Schweine_Werte!$M62))</f>
        <v>0</v>
      </c>
      <c r="BV62" s="797">
        <f>IF(OR($C$110=$AR62,$D$110=$AR62),Schweine_Werte!$M62*0.5,IF(OR($C$110&gt;$AR62,$D$110&lt;$AR62),0,Schweine_Werte!$M62))</f>
        <v>0</v>
      </c>
      <c r="BW62" s="797">
        <f>IF(OR(8=$AR62,$E$127=$AR62),Schweine_Werte!$M62*0.5,IF(OR(8&gt;$AR62,$E$127&lt;$AR62),0,Schweine_Werte!$M62))</f>
        <v>1.1122375143918541</v>
      </c>
      <c r="BX62" s="797">
        <f>IF(OR(8=$AR62,$E$145=$AR62),Schweine_Werte!$M62*0.5,IF(OR(8&gt;$AR62,$E$145&lt;$AR62),0,Schweine_Werte!$M62))</f>
        <v>1.1122375143918541</v>
      </c>
      <c r="BY62" s="795">
        <f>IF(OR($C$74=$AR62,$D$74=$AR62),Schweine_Werte!$O62*0.5,IF(OR($C$74&gt;$AR62,$D$74&lt;$AR62),0,Schweine_Werte!$O62))</f>
        <v>0</v>
      </c>
      <c r="BZ62" s="795">
        <f>IF(OR($C$83=$AR62,$D$83=$AR62),Schweine_Werte!$O62*0.5,IF(OR($C$83&gt;$AR62,$D$83&lt;$AR62),0,Schweine_Werte!$O62))</f>
        <v>0</v>
      </c>
      <c r="CA62" s="797">
        <f>IF(OR($C$92=$AR62,$D$92=$AR62),Schweine_Werte!$O62*0.5,IF(OR($C$92&gt;$AR62,$D$92&lt;$AR62),0,Schweine_Werte!$O62))</f>
        <v>0</v>
      </c>
      <c r="CB62" s="797">
        <f>IF(OR($C$101=$AR62,$D$101=$AR62),Schweine_Werte!$O62*0.5,IF(OR($C$101&gt;$AR62,$D$101&lt;$AR62),0,Schweine_Werte!$O62))</f>
        <v>0</v>
      </c>
      <c r="CC62" s="797">
        <f>IF(OR($C$110=$AR62,$D$110=$AR62),Schweine_Werte!$O62*0.5,IF(OR($C$110&gt;$AR62,$D$110&lt;$AR62),0,Schweine_Werte!$O62))</f>
        <v>0</v>
      </c>
    </row>
    <row r="63" spans="1:81" x14ac:dyDescent="0.25">
      <c r="AR63" s="806">
        <v>67</v>
      </c>
      <c r="AS63" s="795">
        <f>IF(OR($C$12=$AR63,$D$12=$AR63),Schweine_Werte!$C63*0.5,IF(OR($C$12&gt;$AR63,$D$12&lt;$AR63),0,Schweine_Werte!$C63))</f>
        <v>0</v>
      </c>
      <c r="AT63" s="730">
        <f>IF(OR($C$24=$AR63,$D$24=$AR63),Schweine_Werte!$C63*0.5,IF(OR($C$24&gt;$AR63,$D$24&lt;$AR63),0,Schweine_Werte!$C63))</f>
        <v>0</v>
      </c>
      <c r="AU63" s="795">
        <f>IF(OR($C$36=$AR63,$D$36=$AR63),Schweine_Werte!$C63*0.5,IF(OR($C$36&gt;$AR63,$D$36&lt;$AR63),0,Schweine_Werte!$C63))</f>
        <v>0</v>
      </c>
      <c r="AV63" s="795">
        <f>IF(OR($C$48=$AR63,$D$48=$AR63),Schweine_Werte!$C63*0.5,IF(OR($C$48&gt;$AR63,$D$48&lt;$AR63),0,Schweine_Werte!$C63))</f>
        <v>0</v>
      </c>
      <c r="AW63" s="795">
        <f>IF(OR($C$60=$AR63,$D$60=$AR63),Schweine_Werte!$C63*0.5,IF(OR($C$60&gt;$AR63,$D$60&lt;$AR63),0,Schweine_Werte!$C63))</f>
        <v>0</v>
      </c>
      <c r="AX63" s="795">
        <f>IF(OR($C$12=$AR63,$D$12=$AR63),Schweine_Werte!$E63*0.5,IF(OR($C$12&gt;$AR63,$D$12&lt;$AR63),0,Schweine_Werte!$E63))</f>
        <v>0</v>
      </c>
      <c r="AY63" s="730">
        <f>IF(OR($C$24=$AR63,$D$24=$AR63),Schweine_Werte!$E63*0.5,IF(OR($C$24&gt;$AR63,$D$24&lt;$AR63),0,Schweine_Werte!$E63))</f>
        <v>0</v>
      </c>
      <c r="AZ63" s="730">
        <f>IF(OR($C$36=$AR63,$D$36=$AR63),Schweine_Werte!$E63*0.5,IF(OR($C$36&gt;$AR63,$D$36&lt;$AR63),0,Schweine_Werte!$E63))</f>
        <v>0</v>
      </c>
      <c r="BA63" s="730">
        <f>IF(OR($C$48=$AR63,$D$48=$AR63),Schweine_Werte!$E63*0.5,IF(OR($C$48&gt;$AR63,$D$48&lt;$AR63),0,Schweine_Werte!$E63))</f>
        <v>0</v>
      </c>
      <c r="BB63" s="730">
        <f>IF(OR($C$60=$AR63,$D$60=$AR63),Schweine_Werte!$E63*0.5,IF(OR($C$60&gt;$AR63,$D$60&lt;$AR63),0,Schweine_Werte!$E63))</f>
        <v>0</v>
      </c>
      <c r="BC63" s="795">
        <f>IF(OR($C$12=$AR63,$D$12=$AR63),Schweine_Werte!$G63*0.5,IF(OR($C$12&gt;$AR63,$D$12&lt;$AR63),0,Schweine_Werte!$G63))</f>
        <v>0</v>
      </c>
      <c r="BD63" s="730">
        <f>IF(OR($C$24=$AR63,$D$24=$AR63),Schweine_Werte!$G63*0.5,IF(OR($C$24&gt;$AR63,$D$24&lt;$AR63),0,Schweine_Werte!$G63))</f>
        <v>0</v>
      </c>
      <c r="BE63" s="730">
        <f>IF(OR($C$36=$AR63,$D$36=$AR63),Schweine_Werte!$G63*0.5,IF(OR($C$36&gt;$AR63,$D$36&lt;$AR63),0,Schweine_Werte!$G63))</f>
        <v>0</v>
      </c>
      <c r="BF63" s="730">
        <f>IF(OR($C$48=$AR63,$D$48=$AR63),Schweine_Werte!$G63*0.5,IF(OR($C$48&gt;$AR63,$D$48&lt;$AR63),0,Schweine_Werte!$G63))</f>
        <v>0</v>
      </c>
      <c r="BG63" s="730">
        <f>IF(OR($C$60=$AR63,$D$60=$AR63),Schweine_Werte!$G63*0.5,IF(OR($C$60&gt;$AR63,$D$60&lt;$AR63),0,Schweine_Werte!$G63))</f>
        <v>0</v>
      </c>
      <c r="BH63" s="795">
        <f>IF(OR($C$12=$AR63,$D$12=$AR63),Schweine_Werte!$I63*0.5,IF(OR($C$12&gt;$AR63,$D$12&lt;$AR63),0,Schweine_Werte!$I63))</f>
        <v>0</v>
      </c>
      <c r="BI63" s="730">
        <f>IF(OR($C$24=$AR63,$D$24=$AR63),Schweine_Werte!$I63*0.5,IF(OR($C$24&gt;$AR63,$D$24&lt;$AR63),0,Schweine_Werte!$I63))</f>
        <v>0</v>
      </c>
      <c r="BJ63" s="730">
        <f>IF(OR($C$36=$AR63,$D$36=$AR63),Schweine_Werte!$I63*0.5,IF(OR($C$36&gt;$AR63,$D$36&lt;$AR63),0,Schweine_Werte!$I63))</f>
        <v>0</v>
      </c>
      <c r="BK63" s="730">
        <f>IF(OR($C$48=$AR63,$D$48=$AR63),Schweine_Werte!$I63*0.5,IF(OR($C$48&gt;$AR63,$D$48&lt;$AR63),0,Schweine_Werte!$I63))</f>
        <v>0</v>
      </c>
      <c r="BL63" s="730">
        <f>IF(OR($C$60=$AR63,$D$60=$AR63),Schweine_Werte!$I63*0.5,IF(OR($C$60&gt;$AR63,$D$60&lt;$AR63),0,Schweine_Werte!$I63))</f>
        <v>0</v>
      </c>
      <c r="BM63" s="795"/>
      <c r="BN63" s="730"/>
      <c r="BO63" s="730"/>
      <c r="BP63" s="730"/>
      <c r="BQ63" s="730"/>
      <c r="BR63" s="795">
        <f>IF(OR($C$74=$AR63,$D$74=$AR63),Schweine_Werte!$M63*0.5,IF(OR($C$74&gt;$AR63,$D$74&lt;$AR63),0,Schweine_Werte!$M63))</f>
        <v>0</v>
      </c>
      <c r="BS63" s="795">
        <f>IF(OR($C$83=$AR63,$D$83=$AR63),Schweine_Werte!$M63*0.5,IF(OR($C$83&gt;$AR63,$D$83&lt;$AR63),0,Schweine_Werte!$M63))</f>
        <v>0</v>
      </c>
      <c r="BT63" s="797">
        <f>IF(OR($C$92=$AR63,$D$92=$AR63),Schweine_Werte!$M63*0.5,IF(OR($C$92&gt;$AR63,$D$92&lt;$AR63),0,Schweine_Werte!$M63))</f>
        <v>0</v>
      </c>
      <c r="BU63" s="797">
        <f>IF(OR($C$101=$AR63,$D$101=$AR63),Schweine_Werte!$M63*0.5,IF(OR($C$101&gt;$AR63,$D$101&lt;$AR63),0,Schweine_Werte!$M63))</f>
        <v>0</v>
      </c>
      <c r="BV63" s="797">
        <f>IF(OR($C$110=$AR63,$D$110=$AR63),Schweine_Werte!$M63*0.5,IF(OR($C$110&gt;$AR63,$D$110&lt;$AR63),0,Schweine_Werte!$M63))</f>
        <v>0</v>
      </c>
      <c r="BW63" s="797">
        <f>IF(OR(8=$AR63,$E$127=$AR63),Schweine_Werte!$M63*0.5,IF(OR(8&gt;$AR63,$E$127&lt;$AR63),0,Schweine_Werte!$M63))</f>
        <v>1.1100470401249107</v>
      </c>
      <c r="BX63" s="797">
        <f>IF(OR(8=$AR63,$E$145=$AR63),Schweine_Werte!$M63*0.5,IF(OR(8&gt;$AR63,$E$145&lt;$AR63),0,Schweine_Werte!$M63))</f>
        <v>1.1100470401249107</v>
      </c>
      <c r="BY63" s="795">
        <f>IF(OR($C$74=$AR63,$D$74=$AR63),Schweine_Werte!$O63*0.5,IF(OR($C$74&gt;$AR63,$D$74&lt;$AR63),0,Schweine_Werte!$O63))</f>
        <v>0</v>
      </c>
      <c r="BZ63" s="795">
        <f>IF(OR($C$83=$AR63,$D$83=$AR63),Schweine_Werte!$O63*0.5,IF(OR($C$83&gt;$AR63,$D$83&lt;$AR63),0,Schweine_Werte!$O63))</f>
        <v>0</v>
      </c>
      <c r="CA63" s="797">
        <f>IF(OR($C$92=$AR63,$D$92=$AR63),Schweine_Werte!$O63*0.5,IF(OR($C$92&gt;$AR63,$D$92&lt;$AR63),0,Schweine_Werte!$O63))</f>
        <v>0</v>
      </c>
      <c r="CB63" s="797">
        <f>IF(OR($C$101=$AR63,$D$101=$AR63),Schweine_Werte!$O63*0.5,IF(OR($C$101&gt;$AR63,$D$101&lt;$AR63),0,Schweine_Werte!$O63))</f>
        <v>0</v>
      </c>
      <c r="CC63" s="797">
        <f>IF(OR($C$110=$AR63,$D$110=$AR63),Schweine_Werte!$O63*0.5,IF(OR($C$110&gt;$AR63,$D$110&lt;$AR63),0,Schweine_Werte!$O63))</f>
        <v>0</v>
      </c>
    </row>
    <row r="64" spans="1:81" x14ac:dyDescent="0.25">
      <c r="AR64" s="806">
        <v>68</v>
      </c>
      <c r="AS64" s="795">
        <f>IF(OR($C$12=$AR64,$D$12=$AR64),Schweine_Werte!$C64*0.5,IF(OR($C$12&gt;$AR64,$D$12&lt;$AR64),0,Schweine_Werte!$C64))</f>
        <v>0</v>
      </c>
      <c r="AT64" s="730">
        <f>IF(OR($C$24=$AR64,$D$24=$AR64),Schweine_Werte!$C64*0.5,IF(OR($C$24&gt;$AR64,$D$24&lt;$AR64),0,Schweine_Werte!$C64))</f>
        <v>0</v>
      </c>
      <c r="AU64" s="795">
        <f>IF(OR($C$36=$AR64,$D$36=$AR64),Schweine_Werte!$C64*0.5,IF(OR($C$36&gt;$AR64,$D$36&lt;$AR64),0,Schweine_Werte!$C64))</f>
        <v>0</v>
      </c>
      <c r="AV64" s="795">
        <f>IF(OR($C$48=$AR64,$D$48=$AR64),Schweine_Werte!$C64*0.5,IF(OR($C$48&gt;$AR64,$D$48&lt;$AR64),0,Schweine_Werte!$C64))</f>
        <v>0</v>
      </c>
      <c r="AW64" s="795">
        <f>IF(OR($C$60=$AR64,$D$60=$AR64),Schweine_Werte!$C64*0.5,IF(OR($C$60&gt;$AR64,$D$60&lt;$AR64),0,Schweine_Werte!$C64))</f>
        <v>0</v>
      </c>
      <c r="AX64" s="795">
        <f>IF(OR($C$12=$AR64,$D$12=$AR64),Schweine_Werte!$E64*0.5,IF(OR($C$12&gt;$AR64,$D$12&lt;$AR64),0,Schweine_Werte!$E64))</f>
        <v>0</v>
      </c>
      <c r="AY64" s="730">
        <f>IF(OR($C$24=$AR64,$D$24=$AR64),Schweine_Werte!$E64*0.5,IF(OR($C$24&gt;$AR64,$D$24&lt;$AR64),0,Schweine_Werte!$E64))</f>
        <v>0</v>
      </c>
      <c r="AZ64" s="730">
        <f>IF(OR($C$36=$AR64,$D$36=$AR64),Schweine_Werte!$E64*0.5,IF(OR($C$36&gt;$AR64,$D$36&lt;$AR64),0,Schweine_Werte!$E64))</f>
        <v>0</v>
      </c>
      <c r="BA64" s="730">
        <f>IF(OR($C$48=$AR64,$D$48=$AR64),Schweine_Werte!$E64*0.5,IF(OR($C$48&gt;$AR64,$D$48&lt;$AR64),0,Schweine_Werte!$E64))</f>
        <v>0</v>
      </c>
      <c r="BB64" s="730">
        <f>IF(OR($C$60=$AR64,$D$60=$AR64),Schweine_Werte!$E64*0.5,IF(OR($C$60&gt;$AR64,$D$60&lt;$AR64),0,Schweine_Werte!$E64))</f>
        <v>0</v>
      </c>
      <c r="BC64" s="795">
        <f>IF(OR($C$12=$AR64,$D$12=$AR64),Schweine_Werte!$G64*0.5,IF(OR($C$12&gt;$AR64,$D$12&lt;$AR64),0,Schweine_Werte!$G64))</f>
        <v>0</v>
      </c>
      <c r="BD64" s="730">
        <f>IF(OR($C$24=$AR64,$D$24=$AR64),Schweine_Werte!$G64*0.5,IF(OR($C$24&gt;$AR64,$D$24&lt;$AR64),0,Schweine_Werte!$G64))</f>
        <v>0</v>
      </c>
      <c r="BE64" s="730">
        <f>IF(OR($C$36=$AR64,$D$36=$AR64),Schweine_Werte!$G64*0.5,IF(OR($C$36&gt;$AR64,$D$36&lt;$AR64),0,Schweine_Werte!$G64))</f>
        <v>0</v>
      </c>
      <c r="BF64" s="730">
        <f>IF(OR($C$48=$AR64,$D$48=$AR64),Schweine_Werte!$G64*0.5,IF(OR($C$48&gt;$AR64,$D$48&lt;$AR64),0,Schweine_Werte!$G64))</f>
        <v>0</v>
      </c>
      <c r="BG64" s="730">
        <f>IF(OR($C$60=$AR64,$D$60=$AR64),Schweine_Werte!$G64*0.5,IF(OR($C$60&gt;$AR64,$D$60&lt;$AR64),0,Schweine_Werte!$G64))</f>
        <v>0</v>
      </c>
      <c r="BH64" s="795">
        <f>IF(OR($C$12=$AR64,$D$12=$AR64),Schweine_Werte!$I64*0.5,IF(OR($C$12&gt;$AR64,$D$12&lt;$AR64),0,Schweine_Werte!$I64))</f>
        <v>0</v>
      </c>
      <c r="BI64" s="730">
        <f>IF(OR($C$24=$AR64,$D$24=$AR64),Schweine_Werte!$I64*0.5,IF(OR($C$24&gt;$AR64,$D$24&lt;$AR64),0,Schweine_Werte!$I64))</f>
        <v>0</v>
      </c>
      <c r="BJ64" s="730">
        <f>IF(OR($C$36=$AR64,$D$36=$AR64),Schweine_Werte!$I64*0.5,IF(OR($C$36&gt;$AR64,$D$36&lt;$AR64),0,Schweine_Werte!$I64))</f>
        <v>0</v>
      </c>
      <c r="BK64" s="730">
        <f>IF(OR($C$48=$AR64,$D$48=$AR64),Schweine_Werte!$I64*0.5,IF(OR($C$48&gt;$AR64,$D$48&lt;$AR64),0,Schweine_Werte!$I64))</f>
        <v>0</v>
      </c>
      <c r="BL64" s="730">
        <f>IF(OR($C$60=$AR64,$D$60=$AR64),Schweine_Werte!$I64*0.5,IF(OR($C$60&gt;$AR64,$D$60&lt;$AR64),0,Schweine_Werte!$I64))</f>
        <v>0</v>
      </c>
      <c r="BM64" s="795"/>
      <c r="BN64" s="730"/>
      <c r="BO64" s="730"/>
      <c r="BP64" s="730"/>
      <c r="BQ64" s="730"/>
      <c r="BR64" s="795">
        <f>IF(OR($C$74=$AR64,$D$74=$AR64),Schweine_Werte!$M64*0.5,IF(OR($C$74&gt;$AR64,$D$74&lt;$AR64),0,Schweine_Werte!$M64))</f>
        <v>0</v>
      </c>
      <c r="BS64" s="795">
        <f>IF(OR($C$83=$AR64,$D$83=$AR64),Schweine_Werte!$M64*0.5,IF(OR($C$83&gt;$AR64,$D$83&lt;$AR64),0,Schweine_Werte!$M64))</f>
        <v>0</v>
      </c>
      <c r="BT64" s="797">
        <f>IF(OR($C$92=$AR64,$D$92=$AR64),Schweine_Werte!$M64*0.5,IF(OR($C$92&gt;$AR64,$D$92&lt;$AR64),0,Schweine_Werte!$M64))</f>
        <v>0</v>
      </c>
      <c r="BU64" s="797">
        <f>IF(OR($C$101=$AR64,$D$101=$AR64),Schweine_Werte!$M64*0.5,IF(OR($C$101&gt;$AR64,$D$101&lt;$AR64),0,Schweine_Werte!$M64))</f>
        <v>0</v>
      </c>
      <c r="BV64" s="797">
        <f>IF(OR($C$110=$AR64,$D$110=$AR64),Schweine_Werte!$M64*0.5,IF(OR($C$110&gt;$AR64,$D$110&lt;$AR64),0,Schweine_Werte!$M64))</f>
        <v>0</v>
      </c>
      <c r="BW64" s="797">
        <f>IF(OR(8=$AR64,$E$127=$AR64),Schweine_Werte!$M64*0.5,IF(OR(8&gt;$AR64,$E$127&lt;$AR64),0,Schweine_Werte!$M64))</f>
        <v>1.1082296078893841</v>
      </c>
      <c r="BX64" s="797">
        <f>IF(OR(8=$AR64,$E$145=$AR64),Schweine_Werte!$M64*0.5,IF(OR(8&gt;$AR64,$E$145&lt;$AR64),0,Schweine_Werte!$M64))</f>
        <v>1.1082296078893841</v>
      </c>
      <c r="BY64" s="795">
        <f>IF(OR($C$74=$AR64,$D$74=$AR64),Schweine_Werte!$O64*0.5,IF(OR($C$74&gt;$AR64,$D$74&lt;$AR64),0,Schweine_Werte!$O64))</f>
        <v>0</v>
      </c>
      <c r="BZ64" s="795">
        <f>IF(OR($C$83=$AR64,$D$83=$AR64),Schweine_Werte!$O64*0.5,IF(OR($C$83&gt;$AR64,$D$83&lt;$AR64),0,Schweine_Werte!$O64))</f>
        <v>0</v>
      </c>
      <c r="CA64" s="797">
        <f>IF(OR($C$92=$AR64,$D$92=$AR64),Schweine_Werte!$O64*0.5,IF(OR($C$92&gt;$AR64,$D$92&lt;$AR64),0,Schweine_Werte!$O64))</f>
        <v>0</v>
      </c>
      <c r="CB64" s="797">
        <f>IF(OR($C$101=$AR64,$D$101=$AR64),Schweine_Werte!$O64*0.5,IF(OR($C$101&gt;$AR64,$D$101&lt;$AR64),0,Schweine_Werte!$O64))</f>
        <v>0</v>
      </c>
      <c r="CC64" s="797">
        <f>IF(OR($C$110=$AR64,$D$110=$AR64),Schweine_Werte!$O64*0.5,IF(OR($C$110&gt;$AR64,$D$110&lt;$AR64),0,Schweine_Werte!$O64))</f>
        <v>0</v>
      </c>
    </row>
    <row r="65" spans="1:81" ht="18" x14ac:dyDescent="0.35">
      <c r="B65" s="787" t="s">
        <v>7809</v>
      </c>
      <c r="C65" s="788"/>
      <c r="D65" s="788"/>
      <c r="E65" s="788"/>
      <c r="F65" s="788"/>
      <c r="G65" s="788"/>
      <c r="H65" s="789"/>
      <c r="I65" s="784"/>
      <c r="AR65" s="806">
        <v>69</v>
      </c>
      <c r="AS65" s="795">
        <f>IF(OR($C$12=$AR65,$D$12=$AR65),Schweine_Werte!$C65*0.5,IF(OR($C$12&gt;$AR65,$D$12&lt;$AR65),0,Schweine_Werte!$C65))</f>
        <v>0</v>
      </c>
      <c r="AT65" s="730">
        <f>IF(OR($C$24=$AR65,$D$24=$AR65),Schweine_Werte!$C65*0.5,IF(OR($C$24&gt;$AR65,$D$24&lt;$AR65),0,Schweine_Werte!$C65))</f>
        <v>0</v>
      </c>
      <c r="AU65" s="795">
        <f>IF(OR($C$36=$AR65,$D$36=$AR65),Schweine_Werte!$C65*0.5,IF(OR($C$36&gt;$AR65,$D$36&lt;$AR65),0,Schweine_Werte!$C65))</f>
        <v>0</v>
      </c>
      <c r="AV65" s="795">
        <f>IF(OR($C$48=$AR65,$D$48=$AR65),Schweine_Werte!$C65*0.5,IF(OR($C$48&gt;$AR65,$D$48&lt;$AR65),0,Schweine_Werte!$C65))</f>
        <v>0</v>
      </c>
      <c r="AW65" s="795">
        <f>IF(OR($C$60=$AR65,$D$60=$AR65),Schweine_Werte!$C65*0.5,IF(OR($C$60&gt;$AR65,$D$60&lt;$AR65),0,Schweine_Werte!$C65))</f>
        <v>0</v>
      </c>
      <c r="AX65" s="795">
        <f>IF(OR($C$12=$AR65,$D$12=$AR65),Schweine_Werte!$E65*0.5,IF(OR($C$12&gt;$AR65,$D$12&lt;$AR65),0,Schweine_Werte!$E65))</f>
        <v>0</v>
      </c>
      <c r="AY65" s="730">
        <f>IF(OR($C$24=$AR65,$D$24=$AR65),Schweine_Werte!$E65*0.5,IF(OR($C$24&gt;$AR65,$D$24&lt;$AR65),0,Schweine_Werte!$E65))</f>
        <v>0</v>
      </c>
      <c r="AZ65" s="730">
        <f>IF(OR($C$36=$AR65,$D$36=$AR65),Schweine_Werte!$E65*0.5,IF(OR($C$36&gt;$AR65,$D$36&lt;$AR65),0,Schweine_Werte!$E65))</f>
        <v>0</v>
      </c>
      <c r="BA65" s="730">
        <f>IF(OR($C$48=$AR65,$D$48=$AR65),Schweine_Werte!$E65*0.5,IF(OR($C$48&gt;$AR65,$D$48&lt;$AR65),0,Schweine_Werte!$E65))</f>
        <v>0</v>
      </c>
      <c r="BB65" s="730">
        <f>IF(OR($C$60=$AR65,$D$60=$AR65),Schweine_Werte!$E65*0.5,IF(OR($C$60&gt;$AR65,$D$60&lt;$AR65),0,Schweine_Werte!$E65))</f>
        <v>0</v>
      </c>
      <c r="BC65" s="795">
        <f>IF(OR($C$12=$AR65,$D$12=$AR65),Schweine_Werte!$G65*0.5,IF(OR($C$12&gt;$AR65,$D$12&lt;$AR65),0,Schweine_Werte!$G65))</f>
        <v>0</v>
      </c>
      <c r="BD65" s="730">
        <f>IF(OR($C$24=$AR65,$D$24=$AR65),Schweine_Werte!$G65*0.5,IF(OR($C$24&gt;$AR65,$D$24&lt;$AR65),0,Schweine_Werte!$G65))</f>
        <v>0</v>
      </c>
      <c r="BE65" s="730">
        <f>IF(OR($C$36=$AR65,$D$36=$AR65),Schweine_Werte!$G65*0.5,IF(OR($C$36&gt;$AR65,$D$36&lt;$AR65),0,Schweine_Werte!$G65))</f>
        <v>0</v>
      </c>
      <c r="BF65" s="730">
        <f>IF(OR($C$48=$AR65,$D$48=$AR65),Schweine_Werte!$G65*0.5,IF(OR($C$48&gt;$AR65,$D$48&lt;$AR65),0,Schweine_Werte!$G65))</f>
        <v>0</v>
      </c>
      <c r="BG65" s="730">
        <f>IF(OR($C$60=$AR65,$D$60=$AR65),Schweine_Werte!$G65*0.5,IF(OR($C$60&gt;$AR65,$D$60&lt;$AR65),0,Schweine_Werte!$G65))</f>
        <v>0</v>
      </c>
      <c r="BH65" s="795">
        <f>IF(OR($C$12=$AR65,$D$12=$AR65),Schweine_Werte!$I65*0.5,IF(OR($C$12&gt;$AR65,$D$12&lt;$AR65),0,Schweine_Werte!$I65))</f>
        <v>0</v>
      </c>
      <c r="BI65" s="730">
        <f>IF(OR($C$24=$AR65,$D$24=$AR65),Schweine_Werte!$I65*0.5,IF(OR($C$24&gt;$AR65,$D$24&lt;$AR65),0,Schweine_Werte!$I65))</f>
        <v>0</v>
      </c>
      <c r="BJ65" s="730">
        <f>IF(OR($C$36=$AR65,$D$36=$AR65),Schweine_Werte!$I65*0.5,IF(OR($C$36&gt;$AR65,$D$36&lt;$AR65),0,Schweine_Werte!$I65))</f>
        <v>0</v>
      </c>
      <c r="BK65" s="730">
        <f>IF(OR($C$48=$AR65,$D$48=$AR65),Schweine_Werte!$I65*0.5,IF(OR($C$48&gt;$AR65,$D$48&lt;$AR65),0,Schweine_Werte!$I65))</f>
        <v>0</v>
      </c>
      <c r="BL65" s="730">
        <f>IF(OR($C$60=$AR65,$D$60=$AR65),Schweine_Werte!$I65*0.5,IF(OR($C$60&gt;$AR65,$D$60&lt;$AR65),0,Schweine_Werte!$I65))</f>
        <v>0</v>
      </c>
      <c r="BM65" s="795"/>
      <c r="BN65" s="730"/>
      <c r="BO65" s="730"/>
      <c r="BP65" s="730"/>
      <c r="BQ65" s="730"/>
      <c r="BR65" s="795">
        <f>IF(OR($C$74=$AR65,$D$74=$AR65),Schweine_Werte!$M65*0.5,IF(OR($C$74&gt;$AR65,$D$74&lt;$AR65),0,Schweine_Werte!$M65))</f>
        <v>0</v>
      </c>
      <c r="BS65" s="795">
        <f>IF(OR($C$83=$AR65,$D$83=$AR65),Schweine_Werte!$M65*0.5,IF(OR($C$83&gt;$AR65,$D$83&lt;$AR65),0,Schweine_Werte!$M65))</f>
        <v>0</v>
      </c>
      <c r="BT65" s="797">
        <f>IF(OR($C$92=$AR65,$D$92=$AR65),Schweine_Werte!$M65*0.5,IF(OR($C$92&gt;$AR65,$D$92&lt;$AR65),0,Schweine_Werte!$M65))</f>
        <v>0</v>
      </c>
      <c r="BU65" s="797">
        <f>IF(OR($C$101=$AR65,$D$101=$AR65),Schweine_Werte!$M65*0.5,IF(OR($C$101&gt;$AR65,$D$101&lt;$AR65),0,Schweine_Werte!$M65))</f>
        <v>0</v>
      </c>
      <c r="BV65" s="797">
        <f>IF(OR($C$110=$AR65,$D$110=$AR65),Schweine_Werte!$M65*0.5,IF(OR($C$110&gt;$AR65,$D$110&lt;$AR65),0,Schweine_Werte!$M65))</f>
        <v>0</v>
      </c>
      <c r="BW65" s="797">
        <f>IF(OR(8=$AR65,$E$127=$AR65),Schweine_Werte!$M65*0.5,IF(OR(8&gt;$AR65,$E$127&lt;$AR65),0,Schweine_Werte!$M65))</f>
        <v>1.106781668808736</v>
      </c>
      <c r="BX65" s="797">
        <f>IF(OR(8=$AR65,$E$145=$AR65),Schweine_Werte!$M65*0.5,IF(OR(8&gt;$AR65,$E$145&lt;$AR65),0,Schweine_Werte!$M65))</f>
        <v>1.106781668808736</v>
      </c>
      <c r="BY65" s="795">
        <f>IF(OR($C$74=$AR65,$D$74=$AR65),Schweine_Werte!$O65*0.5,IF(OR($C$74&gt;$AR65,$D$74&lt;$AR65),0,Schweine_Werte!$O65))</f>
        <v>0</v>
      </c>
      <c r="BZ65" s="795">
        <f>IF(OR($C$83=$AR65,$D$83=$AR65),Schweine_Werte!$O65*0.5,IF(OR($C$83&gt;$AR65,$D$83&lt;$AR65),0,Schweine_Werte!$O65))</f>
        <v>0</v>
      </c>
      <c r="CA65" s="797">
        <f>IF(OR($C$92=$AR65,$D$92=$AR65),Schweine_Werte!$O65*0.5,IF(OR($C$92&gt;$AR65,$D$92&lt;$AR65),0,Schweine_Werte!$O65))</f>
        <v>0</v>
      </c>
      <c r="CB65" s="797">
        <f>IF(OR($C$101=$AR65,$D$101=$AR65),Schweine_Werte!$O65*0.5,IF(OR($C$101&gt;$AR65,$D$101&lt;$AR65),0,Schweine_Werte!$O65))</f>
        <v>0</v>
      </c>
      <c r="CC65" s="797">
        <f>IF(OR($C$110=$AR65,$D$110=$AR65),Schweine_Werte!$O65*0.5,IF(OR($C$110&gt;$AR65,$D$110&lt;$AR65),0,Schweine_Werte!$O65))</f>
        <v>0</v>
      </c>
    </row>
    <row r="66" spans="1:81" x14ac:dyDescent="0.25">
      <c r="AR66" s="806">
        <v>70</v>
      </c>
      <c r="AS66" s="795">
        <f>IF(OR($C$12=$AR66,$D$12=$AR66),Schweine_Werte!$C66*0.5,IF(OR($C$12&gt;$AR66,$D$12&lt;$AR66),0,Schweine_Werte!$C66))</f>
        <v>0</v>
      </c>
      <c r="AT66" s="730">
        <f>IF(OR($C$24=$AR66,$D$24=$AR66),Schweine_Werte!$C66*0.5,IF(OR($C$24&gt;$AR66,$D$24&lt;$AR66),0,Schweine_Werte!$C66))</f>
        <v>0</v>
      </c>
      <c r="AU66" s="795">
        <f>IF(OR($C$36=$AR66,$D$36=$AR66),Schweine_Werte!$C66*0.5,IF(OR($C$36&gt;$AR66,$D$36&lt;$AR66),0,Schweine_Werte!$C66))</f>
        <v>0</v>
      </c>
      <c r="AV66" s="795">
        <f>IF(OR($C$48=$AR66,$D$48=$AR66),Schweine_Werte!$C66*0.5,IF(OR($C$48&gt;$AR66,$D$48&lt;$AR66),0,Schweine_Werte!$C66))</f>
        <v>0</v>
      </c>
      <c r="AW66" s="795">
        <f>IF(OR($C$60=$AR66,$D$60=$AR66),Schweine_Werte!$C66*0.5,IF(OR($C$60&gt;$AR66,$D$60&lt;$AR66),0,Schweine_Werte!$C66))</f>
        <v>0</v>
      </c>
      <c r="AX66" s="795">
        <f>IF(OR($C$12=$AR66,$D$12=$AR66),Schweine_Werte!$E66*0.5,IF(OR($C$12&gt;$AR66,$D$12&lt;$AR66),0,Schweine_Werte!$E66))</f>
        <v>0</v>
      </c>
      <c r="AY66" s="730">
        <f>IF(OR($C$24=$AR66,$D$24=$AR66),Schweine_Werte!$E66*0.5,IF(OR($C$24&gt;$AR66,$D$24&lt;$AR66),0,Schweine_Werte!$E66))</f>
        <v>0</v>
      </c>
      <c r="AZ66" s="730">
        <f>IF(OR($C$36=$AR66,$D$36=$AR66),Schweine_Werte!$E66*0.5,IF(OR($C$36&gt;$AR66,$D$36&lt;$AR66),0,Schweine_Werte!$E66))</f>
        <v>0</v>
      </c>
      <c r="BA66" s="730">
        <f>IF(OR($C$48=$AR66,$D$48=$AR66),Schweine_Werte!$E66*0.5,IF(OR($C$48&gt;$AR66,$D$48&lt;$AR66),0,Schweine_Werte!$E66))</f>
        <v>0</v>
      </c>
      <c r="BB66" s="730">
        <f>IF(OR($C$60=$AR66,$D$60=$AR66),Schweine_Werte!$E66*0.5,IF(OR($C$60&gt;$AR66,$D$60&lt;$AR66),0,Schweine_Werte!$E66))</f>
        <v>0</v>
      </c>
      <c r="BC66" s="795">
        <f>IF(OR($C$12=$AR66,$D$12=$AR66),Schweine_Werte!$G66*0.5,IF(OR($C$12&gt;$AR66,$D$12&lt;$AR66),0,Schweine_Werte!$G66))</f>
        <v>0</v>
      </c>
      <c r="BD66" s="730">
        <f>IF(OR($C$24=$AR66,$D$24=$AR66),Schweine_Werte!$G66*0.5,IF(OR($C$24&gt;$AR66,$D$24&lt;$AR66),0,Schweine_Werte!$G66))</f>
        <v>0</v>
      </c>
      <c r="BE66" s="730">
        <f>IF(OR($C$36=$AR66,$D$36=$AR66),Schweine_Werte!$G66*0.5,IF(OR($C$36&gt;$AR66,$D$36&lt;$AR66),0,Schweine_Werte!$G66))</f>
        <v>0</v>
      </c>
      <c r="BF66" s="730">
        <f>IF(OR($C$48=$AR66,$D$48=$AR66),Schweine_Werte!$G66*0.5,IF(OR($C$48&gt;$AR66,$D$48&lt;$AR66),0,Schweine_Werte!$G66))</f>
        <v>0</v>
      </c>
      <c r="BG66" s="730">
        <f>IF(OR($C$60=$AR66,$D$60=$AR66),Schweine_Werte!$G66*0.5,IF(OR($C$60&gt;$AR66,$D$60&lt;$AR66),0,Schweine_Werte!$G66))</f>
        <v>0</v>
      </c>
      <c r="BH66" s="795">
        <f>IF(OR($C$12=$AR66,$D$12=$AR66),Schweine_Werte!$I66*0.5,IF(OR($C$12&gt;$AR66,$D$12&lt;$AR66),0,Schweine_Werte!$I66))</f>
        <v>0</v>
      </c>
      <c r="BI66" s="730">
        <f>IF(OR($C$24=$AR66,$D$24=$AR66),Schweine_Werte!$I66*0.5,IF(OR($C$24&gt;$AR66,$D$24&lt;$AR66),0,Schweine_Werte!$I66))</f>
        <v>0</v>
      </c>
      <c r="BJ66" s="730">
        <f>IF(OR($C$36=$AR66,$D$36=$AR66),Schweine_Werte!$I66*0.5,IF(OR($C$36&gt;$AR66,$D$36&lt;$AR66),0,Schweine_Werte!$I66))</f>
        <v>0</v>
      </c>
      <c r="BK66" s="730">
        <f>IF(OR($C$48=$AR66,$D$48=$AR66),Schweine_Werte!$I66*0.5,IF(OR($C$48&gt;$AR66,$D$48&lt;$AR66),0,Schweine_Werte!$I66))</f>
        <v>0</v>
      </c>
      <c r="BL66" s="730">
        <f>IF(OR($C$60=$AR66,$D$60=$AR66),Schweine_Werte!$I66*0.5,IF(OR($C$60&gt;$AR66,$D$60&lt;$AR66),0,Schweine_Werte!$I66))</f>
        <v>0</v>
      </c>
      <c r="BM66" s="795"/>
      <c r="BN66" s="730"/>
      <c r="BO66" s="730"/>
      <c r="BP66" s="730"/>
      <c r="BQ66" s="730"/>
      <c r="BR66" s="795">
        <f>IF(OR($C$74=$AR66,$D$74=$AR66),Schweine_Werte!$M66*0.5,IF(OR($C$74&gt;$AR66,$D$74&lt;$AR66),0,Schweine_Werte!$M66))</f>
        <v>0</v>
      </c>
      <c r="BS66" s="795">
        <f>IF(OR($C$83=$AR66,$D$83=$AR66),Schweine_Werte!$M66*0.5,IF(OR($C$83&gt;$AR66,$D$83&lt;$AR66),0,Schweine_Werte!$M66))</f>
        <v>0</v>
      </c>
      <c r="BT66" s="797">
        <f>IF(OR($C$92=$AR66,$D$92=$AR66),Schweine_Werte!$M66*0.5,IF(OR($C$92&gt;$AR66,$D$92&lt;$AR66),0,Schweine_Werte!$M66))</f>
        <v>0</v>
      </c>
      <c r="BU66" s="797">
        <f>IF(OR($C$101=$AR66,$D$101=$AR66),Schweine_Werte!$M66*0.5,IF(OR($C$101&gt;$AR66,$D$101&lt;$AR66),0,Schweine_Werte!$M66))</f>
        <v>0</v>
      </c>
      <c r="BV66" s="797">
        <f>IF(OR($C$110=$AR66,$D$110=$AR66),Schweine_Werte!$M66*0.5,IF(OR($C$110&gt;$AR66,$D$110&lt;$AR66),0,Schweine_Werte!$M66))</f>
        <v>0</v>
      </c>
      <c r="BW66" s="797">
        <f>IF(OR(8=$AR66,$E$127=$AR66),Schweine_Werte!$M66*0.5,IF(OR(8&gt;$AR66,$E$127&lt;$AR66),0,Schweine_Werte!$M66))</f>
        <v>1.1057004077079438</v>
      </c>
      <c r="BX66" s="797">
        <f>IF(OR(8=$AR66,$E$145=$AR66),Schweine_Werte!$M66*0.5,IF(OR(8&gt;$AR66,$E$145&lt;$AR66),0,Schweine_Werte!$M66))</f>
        <v>1.1057004077079438</v>
      </c>
      <c r="BY66" s="795">
        <f>IF(OR($C$74=$AR66,$D$74=$AR66),Schweine_Werte!$O66*0.5,IF(OR($C$74&gt;$AR66,$D$74&lt;$AR66),0,Schweine_Werte!$O66))</f>
        <v>0</v>
      </c>
      <c r="BZ66" s="795">
        <f>IF(OR($C$83=$AR66,$D$83=$AR66),Schweine_Werte!$O66*0.5,IF(OR($C$83&gt;$AR66,$D$83&lt;$AR66),0,Schweine_Werte!$O66))</f>
        <v>0</v>
      </c>
      <c r="CA66" s="797">
        <f>IF(OR($C$92=$AR66,$D$92=$AR66),Schweine_Werte!$O66*0.5,IF(OR($C$92&gt;$AR66,$D$92&lt;$AR66),0,Schweine_Werte!$O66))</f>
        <v>0</v>
      </c>
      <c r="CB66" s="797">
        <f>IF(OR($C$101=$AR66,$D$101=$AR66),Schweine_Werte!$O66*0.5,IF(OR($C$101&gt;$AR66,$D$101&lt;$AR66),0,Schweine_Werte!$O66))</f>
        <v>0</v>
      </c>
      <c r="CC66" s="797">
        <f>IF(OR($C$110=$AR66,$D$110=$AR66),Schweine_Werte!$O66*0.5,IF(OR($C$110&gt;$AR66,$D$110&lt;$AR66),0,Schweine_Werte!$O66))</f>
        <v>0</v>
      </c>
    </row>
    <row r="67" spans="1:81" x14ac:dyDescent="0.25">
      <c r="AR67" s="806">
        <v>71</v>
      </c>
      <c r="AS67" s="795">
        <f>IF(OR($C$12=$AR67,$D$12=$AR67),Schweine_Werte!$C67*0.5,IF(OR($C$12&gt;$AR67,$D$12&lt;$AR67),0,Schweine_Werte!$C67))</f>
        <v>0</v>
      </c>
      <c r="AT67" s="730">
        <f>IF(OR($C$24=$AR67,$D$24=$AR67),Schweine_Werte!$C67*0.5,IF(OR($C$24&gt;$AR67,$D$24&lt;$AR67),0,Schweine_Werte!$C67))</f>
        <v>0</v>
      </c>
      <c r="AU67" s="795">
        <f>IF(OR($C$36=$AR67,$D$36=$AR67),Schweine_Werte!$C67*0.5,IF(OR($C$36&gt;$AR67,$D$36&lt;$AR67),0,Schweine_Werte!$C67))</f>
        <v>0</v>
      </c>
      <c r="AV67" s="795">
        <f>IF(OR($C$48=$AR67,$D$48=$AR67),Schweine_Werte!$C67*0.5,IF(OR($C$48&gt;$AR67,$D$48&lt;$AR67),0,Schweine_Werte!$C67))</f>
        <v>0</v>
      </c>
      <c r="AW67" s="795">
        <f>IF(OR($C$60=$AR67,$D$60=$AR67),Schweine_Werte!$C67*0.5,IF(OR($C$60&gt;$AR67,$D$60&lt;$AR67),0,Schweine_Werte!$C67))</f>
        <v>0</v>
      </c>
      <c r="AX67" s="795">
        <f>IF(OR($C$12=$AR67,$D$12=$AR67),Schweine_Werte!$E67*0.5,IF(OR($C$12&gt;$AR67,$D$12&lt;$AR67),0,Schweine_Werte!$E67))</f>
        <v>0</v>
      </c>
      <c r="AY67" s="730">
        <f>IF(OR($C$24=$AR67,$D$24=$AR67),Schweine_Werte!$E67*0.5,IF(OR($C$24&gt;$AR67,$D$24&lt;$AR67),0,Schweine_Werte!$E67))</f>
        <v>0</v>
      </c>
      <c r="AZ67" s="730">
        <f>IF(OR($C$36=$AR67,$D$36=$AR67),Schweine_Werte!$E67*0.5,IF(OR($C$36&gt;$AR67,$D$36&lt;$AR67),0,Schweine_Werte!$E67))</f>
        <v>0</v>
      </c>
      <c r="BA67" s="730">
        <f>IF(OR($C$48=$AR67,$D$48=$AR67),Schweine_Werte!$E67*0.5,IF(OR($C$48&gt;$AR67,$D$48&lt;$AR67),0,Schweine_Werte!$E67))</f>
        <v>0</v>
      </c>
      <c r="BB67" s="730">
        <f>IF(OR($C$60=$AR67,$D$60=$AR67),Schweine_Werte!$E67*0.5,IF(OR($C$60&gt;$AR67,$D$60&lt;$AR67),0,Schweine_Werte!$E67))</f>
        <v>0</v>
      </c>
      <c r="BC67" s="795">
        <f>IF(OR($C$12=$AR67,$D$12=$AR67),Schweine_Werte!$G67*0.5,IF(OR($C$12&gt;$AR67,$D$12&lt;$AR67),0,Schweine_Werte!$G67))</f>
        <v>0</v>
      </c>
      <c r="BD67" s="730">
        <f>IF(OR($C$24=$AR67,$D$24=$AR67),Schweine_Werte!$G67*0.5,IF(OR($C$24&gt;$AR67,$D$24&lt;$AR67),0,Schweine_Werte!$G67))</f>
        <v>0</v>
      </c>
      <c r="BE67" s="730">
        <f>IF(OR($C$36=$AR67,$D$36=$AR67),Schweine_Werte!$G67*0.5,IF(OR($C$36&gt;$AR67,$D$36&lt;$AR67),0,Schweine_Werte!$G67))</f>
        <v>0</v>
      </c>
      <c r="BF67" s="730">
        <f>IF(OR($C$48=$AR67,$D$48=$AR67),Schweine_Werte!$G67*0.5,IF(OR($C$48&gt;$AR67,$D$48&lt;$AR67),0,Schweine_Werte!$G67))</f>
        <v>0</v>
      </c>
      <c r="BG67" s="730">
        <f>IF(OR($C$60=$AR67,$D$60=$AR67),Schweine_Werte!$G67*0.5,IF(OR($C$60&gt;$AR67,$D$60&lt;$AR67),0,Schweine_Werte!$G67))</f>
        <v>0</v>
      </c>
      <c r="BH67" s="795">
        <f>IF(OR($C$12=$AR67,$D$12=$AR67),Schweine_Werte!$I67*0.5,IF(OR($C$12&gt;$AR67,$D$12&lt;$AR67),0,Schweine_Werte!$I67))</f>
        <v>0</v>
      </c>
      <c r="BI67" s="730">
        <f>IF(OR($C$24=$AR67,$D$24=$AR67),Schweine_Werte!$I67*0.5,IF(OR($C$24&gt;$AR67,$D$24&lt;$AR67),0,Schweine_Werte!$I67))</f>
        <v>0</v>
      </c>
      <c r="BJ67" s="730">
        <f>IF(OR($C$36=$AR67,$D$36=$AR67),Schweine_Werte!$I67*0.5,IF(OR($C$36&gt;$AR67,$D$36&lt;$AR67),0,Schweine_Werte!$I67))</f>
        <v>0</v>
      </c>
      <c r="BK67" s="730">
        <f>IF(OR($C$48=$AR67,$D$48=$AR67),Schweine_Werte!$I67*0.5,IF(OR($C$48&gt;$AR67,$D$48&lt;$AR67),0,Schweine_Werte!$I67))</f>
        <v>0</v>
      </c>
      <c r="BL67" s="730">
        <f>IF(OR($C$60=$AR67,$D$60=$AR67),Schweine_Werte!$I67*0.5,IF(OR($C$60&gt;$AR67,$D$60&lt;$AR67),0,Schweine_Werte!$I67))</f>
        <v>0</v>
      </c>
      <c r="BM67" s="795"/>
      <c r="BN67" s="730"/>
      <c r="BO67" s="730"/>
      <c r="BP67" s="730"/>
      <c r="BQ67" s="730"/>
      <c r="BR67" s="795">
        <f>IF(OR($C$74=$AR67,$D$74=$AR67),Schweine_Werte!$M67*0.5,IF(OR($C$74&gt;$AR67,$D$74&lt;$AR67),0,Schweine_Werte!$M67))</f>
        <v>0</v>
      </c>
      <c r="BS67" s="795">
        <f>IF(OR($C$83=$AR67,$D$83=$AR67),Schweine_Werte!$M67*0.5,IF(OR($C$83&gt;$AR67,$D$83&lt;$AR67),0,Schweine_Werte!$M67))</f>
        <v>0</v>
      </c>
      <c r="BT67" s="797">
        <f>IF(OR($C$92=$AR67,$D$92=$AR67),Schweine_Werte!$M67*0.5,IF(OR($C$92&gt;$AR67,$D$92&lt;$AR67),0,Schweine_Werte!$M67))</f>
        <v>0</v>
      </c>
      <c r="BU67" s="797">
        <f>IF(OR($C$101=$AR67,$D$101=$AR67),Schweine_Werte!$M67*0.5,IF(OR($C$101&gt;$AR67,$D$101&lt;$AR67),0,Schweine_Werte!$M67))</f>
        <v>0</v>
      </c>
      <c r="BV67" s="797">
        <f>IF(OR($C$110=$AR67,$D$110=$AR67),Schweine_Werte!$M67*0.5,IF(OR($C$110&gt;$AR67,$D$110&lt;$AR67),0,Schweine_Werte!$M67))</f>
        <v>0</v>
      </c>
      <c r="BW67" s="797">
        <f>IF(OR(8=$AR67,$E$127=$AR67),Schweine_Werte!$M67*0.5,IF(OR(8&gt;$AR67,$E$127&lt;$AR67),0,Schweine_Werte!$M67))</f>
        <v>1.1049837293732905</v>
      </c>
      <c r="BX67" s="797">
        <f>IF(OR(8=$AR67,$E$145=$AR67),Schweine_Werte!$M67*0.5,IF(OR(8&gt;$AR67,$E$145&lt;$AR67),0,Schweine_Werte!$M67))</f>
        <v>1.1049837293732905</v>
      </c>
      <c r="BY67" s="795">
        <f>IF(OR($C$74=$AR67,$D$74=$AR67),Schweine_Werte!$O67*0.5,IF(OR($C$74&gt;$AR67,$D$74&lt;$AR67),0,Schweine_Werte!$O67))</f>
        <v>0</v>
      </c>
      <c r="BZ67" s="795">
        <f>IF(OR($C$83=$AR67,$D$83=$AR67),Schweine_Werte!$O67*0.5,IF(OR($C$83&gt;$AR67,$D$83&lt;$AR67),0,Schweine_Werte!$O67))</f>
        <v>0</v>
      </c>
      <c r="CA67" s="797">
        <f>IF(OR($C$92=$AR67,$D$92=$AR67),Schweine_Werte!$O67*0.5,IF(OR($C$92&gt;$AR67,$D$92&lt;$AR67),0,Schweine_Werte!$O67))</f>
        <v>0</v>
      </c>
      <c r="CB67" s="797">
        <f>IF(OR($C$101=$AR67,$D$101=$AR67),Schweine_Werte!$O67*0.5,IF(OR($C$101&gt;$AR67,$D$101&lt;$AR67),0,Schweine_Werte!$O67))</f>
        <v>0</v>
      </c>
      <c r="CC67" s="797">
        <f>IF(OR($C$110=$AR67,$D$110=$AR67),Schweine_Werte!$O67*0.5,IF(OR($C$110&gt;$AR67,$D$110&lt;$AR67),0,Schweine_Werte!$O67))</f>
        <v>0</v>
      </c>
    </row>
    <row r="68" spans="1:81" x14ac:dyDescent="0.25">
      <c r="Q68" s="1620" t="s">
        <v>7781</v>
      </c>
      <c r="R68" s="1620"/>
      <c r="S68" s="1620"/>
      <c r="T68" s="1620" t="s">
        <v>7782</v>
      </c>
      <c r="U68" s="1620"/>
      <c r="V68" s="1620"/>
      <c r="W68" s="1041" t="s">
        <v>7674</v>
      </c>
      <c r="X68" s="1041"/>
      <c r="Y68" s="1041"/>
      <c r="AR68" s="806">
        <v>72</v>
      </c>
      <c r="AS68" s="795">
        <f>IF(OR($C$12=$AR68,$D$12=$AR68),Schweine_Werte!$C68*0.5,IF(OR($C$12&gt;$AR68,$D$12&lt;$AR68),0,Schweine_Werte!$C68))</f>
        <v>0</v>
      </c>
      <c r="AT68" s="730">
        <f>IF(OR($C$24=$AR68,$D$24=$AR68),Schweine_Werte!$C68*0.5,IF(OR($C$24&gt;$AR68,$D$24&lt;$AR68),0,Schweine_Werte!$C68))</f>
        <v>0</v>
      </c>
      <c r="AU68" s="795">
        <f>IF(OR($C$36=$AR68,$D$36=$AR68),Schweine_Werte!$C68*0.5,IF(OR($C$36&gt;$AR68,$D$36&lt;$AR68),0,Schweine_Werte!$C68))</f>
        <v>0</v>
      </c>
      <c r="AV68" s="795">
        <f>IF(OR($C$48=$AR68,$D$48=$AR68),Schweine_Werte!$C68*0.5,IF(OR($C$48&gt;$AR68,$D$48&lt;$AR68),0,Schweine_Werte!$C68))</f>
        <v>0</v>
      </c>
      <c r="AW68" s="795">
        <f>IF(OR($C$60=$AR68,$D$60=$AR68),Schweine_Werte!$C68*0.5,IF(OR($C$60&gt;$AR68,$D$60&lt;$AR68),0,Schweine_Werte!$C68))</f>
        <v>0</v>
      </c>
      <c r="AX68" s="795">
        <f>IF(OR($C$12=$AR68,$D$12=$AR68),Schweine_Werte!$E68*0.5,IF(OR($C$12&gt;$AR68,$D$12&lt;$AR68),0,Schweine_Werte!$E68))</f>
        <v>0</v>
      </c>
      <c r="AY68" s="730">
        <f>IF(OR($C$24=$AR68,$D$24=$AR68),Schweine_Werte!$E68*0.5,IF(OR($C$24&gt;$AR68,$D$24&lt;$AR68),0,Schweine_Werte!$E68))</f>
        <v>0</v>
      </c>
      <c r="AZ68" s="730">
        <f>IF(OR($C$36=$AR68,$D$36=$AR68),Schweine_Werte!$E68*0.5,IF(OR($C$36&gt;$AR68,$D$36&lt;$AR68),0,Schweine_Werte!$E68))</f>
        <v>0</v>
      </c>
      <c r="BA68" s="730">
        <f>IF(OR($C$48=$AR68,$D$48=$AR68),Schweine_Werte!$E68*0.5,IF(OR($C$48&gt;$AR68,$D$48&lt;$AR68),0,Schweine_Werte!$E68))</f>
        <v>0</v>
      </c>
      <c r="BB68" s="730">
        <f>IF(OR($C$60=$AR68,$D$60=$AR68),Schweine_Werte!$E68*0.5,IF(OR($C$60&gt;$AR68,$D$60&lt;$AR68),0,Schweine_Werte!$E68))</f>
        <v>0</v>
      </c>
      <c r="BC68" s="795">
        <f>IF(OR($C$12=$AR68,$D$12=$AR68),Schweine_Werte!$G68*0.5,IF(OR($C$12&gt;$AR68,$D$12&lt;$AR68),0,Schweine_Werte!$G68))</f>
        <v>0</v>
      </c>
      <c r="BD68" s="730">
        <f>IF(OR($C$24=$AR68,$D$24=$AR68),Schweine_Werte!$G68*0.5,IF(OR($C$24&gt;$AR68,$D$24&lt;$AR68),0,Schweine_Werte!$G68))</f>
        <v>0</v>
      </c>
      <c r="BE68" s="730">
        <f>IF(OR($C$36=$AR68,$D$36=$AR68),Schweine_Werte!$G68*0.5,IF(OR($C$36&gt;$AR68,$D$36&lt;$AR68),0,Schweine_Werte!$G68))</f>
        <v>0</v>
      </c>
      <c r="BF68" s="730">
        <f>IF(OR($C$48=$AR68,$D$48=$AR68),Schweine_Werte!$G68*0.5,IF(OR($C$48&gt;$AR68,$D$48&lt;$AR68),0,Schweine_Werte!$G68))</f>
        <v>0</v>
      </c>
      <c r="BG68" s="730">
        <f>IF(OR($C$60=$AR68,$D$60=$AR68),Schweine_Werte!$G68*0.5,IF(OR($C$60&gt;$AR68,$D$60&lt;$AR68),0,Schweine_Werte!$G68))</f>
        <v>0</v>
      </c>
      <c r="BH68" s="795">
        <f>IF(OR($C$12=$AR68,$D$12=$AR68),Schweine_Werte!$I68*0.5,IF(OR($C$12&gt;$AR68,$D$12&lt;$AR68),0,Schweine_Werte!$I68))</f>
        <v>0</v>
      </c>
      <c r="BI68" s="730">
        <f>IF(OR($C$24=$AR68,$D$24=$AR68),Schweine_Werte!$I68*0.5,IF(OR($C$24&gt;$AR68,$D$24&lt;$AR68),0,Schweine_Werte!$I68))</f>
        <v>0</v>
      </c>
      <c r="BJ68" s="730">
        <f>IF(OR($C$36=$AR68,$D$36=$AR68),Schweine_Werte!$I68*0.5,IF(OR($C$36&gt;$AR68,$D$36&lt;$AR68),0,Schweine_Werte!$I68))</f>
        <v>0</v>
      </c>
      <c r="BK68" s="730">
        <f>IF(OR($C$48=$AR68,$D$48=$AR68),Schweine_Werte!$I68*0.5,IF(OR($C$48&gt;$AR68,$D$48&lt;$AR68),0,Schweine_Werte!$I68))</f>
        <v>0</v>
      </c>
      <c r="BL68" s="730">
        <f>IF(OR($C$60=$AR68,$D$60=$AR68),Schweine_Werte!$I68*0.5,IF(OR($C$60&gt;$AR68,$D$60&lt;$AR68),0,Schweine_Werte!$I68))</f>
        <v>0</v>
      </c>
      <c r="BM68" s="795"/>
      <c r="BN68" s="730"/>
      <c r="BO68" s="730"/>
      <c r="BP68" s="730"/>
      <c r="BQ68" s="730"/>
      <c r="BR68" s="795">
        <f>IF(OR($C$74=$AR68,$D$74=$AR68),Schweine_Werte!$M68*0.5,IF(OR($C$74&gt;$AR68,$D$74&lt;$AR68),0,Schweine_Werte!$M68))</f>
        <v>0</v>
      </c>
      <c r="BS68" s="795">
        <f>IF(OR($C$83=$AR68,$D$83=$AR68),Schweine_Werte!$M68*0.5,IF(OR($C$83&gt;$AR68,$D$83&lt;$AR68),0,Schweine_Werte!$M68))</f>
        <v>0</v>
      </c>
      <c r="BT68" s="797">
        <f>IF(OR($C$92=$AR68,$D$92=$AR68),Schweine_Werte!$M68*0.5,IF(OR($C$92&gt;$AR68,$D$92&lt;$AR68),0,Schweine_Werte!$M68))</f>
        <v>0</v>
      </c>
      <c r="BU68" s="797">
        <f>IF(OR($C$101=$AR68,$D$101=$AR68),Schweine_Werte!$M68*0.5,IF(OR($C$101&gt;$AR68,$D$101&lt;$AR68),0,Schweine_Werte!$M68))</f>
        <v>0</v>
      </c>
      <c r="BV68" s="797">
        <f>IF(OR($C$110=$AR68,$D$110=$AR68),Schweine_Werte!$M68*0.5,IF(OR($C$110&gt;$AR68,$D$110&lt;$AR68),0,Schweine_Werte!$M68))</f>
        <v>0</v>
      </c>
      <c r="BW68" s="797">
        <f>IF(OR(8=$AR68,$E$127=$AR68),Schweine_Werte!$M68*0.5,IF(OR(8&gt;$AR68,$E$127&lt;$AR68),0,Schweine_Werte!$M68))</f>
        <v>1.104630248375454</v>
      </c>
      <c r="BX68" s="797">
        <f>IF(OR(8=$AR68,$E$145=$AR68),Schweine_Werte!$M68*0.5,IF(OR(8&gt;$AR68,$E$145&lt;$AR68),0,Schweine_Werte!$M68))</f>
        <v>1.104630248375454</v>
      </c>
      <c r="BY68" s="795">
        <f>IF(OR($C$74=$AR68,$D$74=$AR68),Schweine_Werte!$O68*0.5,IF(OR($C$74&gt;$AR68,$D$74&lt;$AR68),0,Schweine_Werte!$O68))</f>
        <v>0</v>
      </c>
      <c r="BZ68" s="795">
        <f>IF(OR($C$83=$AR68,$D$83=$AR68),Schweine_Werte!$O68*0.5,IF(OR($C$83&gt;$AR68,$D$83&lt;$AR68),0,Schweine_Werte!$O68))</f>
        <v>0</v>
      </c>
      <c r="CA68" s="797">
        <f>IF(OR($C$92=$AR68,$D$92=$AR68),Schweine_Werte!$O68*0.5,IF(OR($C$92&gt;$AR68,$D$92&lt;$AR68),0,Schweine_Werte!$O68))</f>
        <v>0</v>
      </c>
      <c r="CB68" s="797">
        <f>IF(OR($C$101=$AR68,$D$101=$AR68),Schweine_Werte!$O68*0.5,IF(OR($C$101&gt;$AR68,$D$101&lt;$AR68),0,Schweine_Werte!$O68))</f>
        <v>0</v>
      </c>
      <c r="CC68" s="797">
        <f>IF(OR($C$110=$AR68,$D$110=$AR68),Schweine_Werte!$O68*0.5,IF(OR($C$110&gt;$AR68,$D$110&lt;$AR68),0,Schweine_Werte!$O68))</f>
        <v>0</v>
      </c>
    </row>
    <row r="69" spans="1:81" x14ac:dyDescent="0.25">
      <c r="B69" t="s">
        <v>7724</v>
      </c>
      <c r="E69" t="s">
        <v>7700</v>
      </c>
      <c r="F69" t="s">
        <v>196</v>
      </c>
      <c r="G69" t="s">
        <v>7701</v>
      </c>
      <c r="H69" t="s">
        <v>7702</v>
      </c>
      <c r="I69" t="s">
        <v>7703</v>
      </c>
      <c r="J69" t="s">
        <v>596</v>
      </c>
      <c r="K69" t="s">
        <v>7704</v>
      </c>
      <c r="L69" t="s">
        <v>7705</v>
      </c>
      <c r="M69" t="s">
        <v>7706</v>
      </c>
      <c r="N69" t="s">
        <v>7707</v>
      </c>
      <c r="O69" t="s">
        <v>7708</v>
      </c>
      <c r="P69" t="s">
        <v>7709</v>
      </c>
      <c r="Q69" t="s">
        <v>39</v>
      </c>
      <c r="R69" t="s">
        <v>40</v>
      </c>
      <c r="S69" t="s">
        <v>41</v>
      </c>
      <c r="T69" t="s">
        <v>39</v>
      </c>
      <c r="U69" t="s">
        <v>40</v>
      </c>
      <c r="V69" t="s">
        <v>41</v>
      </c>
      <c r="W69" t="s">
        <v>7687</v>
      </c>
      <c r="X69" t="s">
        <v>7688</v>
      </c>
      <c r="Y69" t="s">
        <v>7689</v>
      </c>
      <c r="AR69" s="806">
        <v>73</v>
      </c>
      <c r="AS69" s="795">
        <f>IF(OR($C$12=$AR69,$D$12=$AR69),Schweine_Werte!$C69*0.5,IF(OR($C$12&gt;$AR69,$D$12&lt;$AR69),0,Schweine_Werte!$C69))</f>
        <v>0</v>
      </c>
      <c r="AT69" s="730">
        <f>IF(OR($C$24=$AR69,$D$24=$AR69),Schweine_Werte!$C69*0.5,IF(OR($C$24&gt;$AR69,$D$24&lt;$AR69),0,Schweine_Werte!$C69))</f>
        <v>0</v>
      </c>
      <c r="AU69" s="795">
        <f>IF(OR($C$36=$AR69,$D$36=$AR69),Schweine_Werte!$C69*0.5,IF(OR($C$36&gt;$AR69,$D$36&lt;$AR69),0,Schweine_Werte!$C69))</f>
        <v>0</v>
      </c>
      <c r="AV69" s="795">
        <f>IF(OR($C$48=$AR69,$D$48=$AR69),Schweine_Werte!$C69*0.5,IF(OR($C$48&gt;$AR69,$D$48&lt;$AR69),0,Schweine_Werte!$C69))</f>
        <v>0</v>
      </c>
      <c r="AW69" s="795">
        <f>IF(OR($C$60=$AR69,$D$60=$AR69),Schweine_Werte!$C69*0.5,IF(OR($C$60&gt;$AR69,$D$60&lt;$AR69),0,Schweine_Werte!$C69))</f>
        <v>0</v>
      </c>
      <c r="AX69" s="795">
        <f>IF(OR($C$12=$AR69,$D$12=$AR69),Schweine_Werte!$E69*0.5,IF(OR($C$12&gt;$AR69,$D$12&lt;$AR69),0,Schweine_Werte!$E69))</f>
        <v>0</v>
      </c>
      <c r="AY69" s="730">
        <f>IF(OR($C$24=$AR69,$D$24=$AR69),Schweine_Werte!$E69*0.5,IF(OR($C$24&gt;$AR69,$D$24&lt;$AR69),0,Schweine_Werte!$E69))</f>
        <v>0</v>
      </c>
      <c r="AZ69" s="730">
        <f>IF(OR($C$36=$AR69,$D$36=$AR69),Schweine_Werte!$E69*0.5,IF(OR($C$36&gt;$AR69,$D$36&lt;$AR69),0,Schweine_Werte!$E69))</f>
        <v>0</v>
      </c>
      <c r="BA69" s="730">
        <f>IF(OR($C$48=$AR69,$D$48=$AR69),Schweine_Werte!$E69*0.5,IF(OR($C$48&gt;$AR69,$D$48&lt;$AR69),0,Schweine_Werte!$E69))</f>
        <v>0</v>
      </c>
      <c r="BB69" s="730">
        <f>IF(OR($C$60=$AR69,$D$60=$AR69),Schweine_Werte!$E69*0.5,IF(OR($C$60&gt;$AR69,$D$60&lt;$AR69),0,Schweine_Werte!$E69))</f>
        <v>0</v>
      </c>
      <c r="BC69" s="795">
        <f>IF(OR($C$12=$AR69,$D$12=$AR69),Schweine_Werte!$G69*0.5,IF(OR($C$12&gt;$AR69,$D$12&lt;$AR69),0,Schweine_Werte!$G69))</f>
        <v>0</v>
      </c>
      <c r="BD69" s="730">
        <f>IF(OR($C$24=$AR69,$D$24=$AR69),Schweine_Werte!$G69*0.5,IF(OR($C$24&gt;$AR69,$D$24&lt;$AR69),0,Schweine_Werte!$G69))</f>
        <v>0</v>
      </c>
      <c r="BE69" s="730">
        <f>IF(OR($C$36=$AR69,$D$36=$AR69),Schweine_Werte!$G69*0.5,IF(OR($C$36&gt;$AR69,$D$36&lt;$AR69),0,Schweine_Werte!$G69))</f>
        <v>0</v>
      </c>
      <c r="BF69" s="730">
        <f>IF(OR($C$48=$AR69,$D$48=$AR69),Schweine_Werte!$G69*0.5,IF(OR($C$48&gt;$AR69,$D$48&lt;$AR69),0,Schweine_Werte!$G69))</f>
        <v>0</v>
      </c>
      <c r="BG69" s="730">
        <f>IF(OR($C$60=$AR69,$D$60=$AR69),Schweine_Werte!$G69*0.5,IF(OR($C$60&gt;$AR69,$D$60&lt;$AR69),0,Schweine_Werte!$G69))</f>
        <v>0</v>
      </c>
      <c r="BH69" s="795">
        <f>IF(OR($C$12=$AR69,$D$12=$AR69),Schweine_Werte!$I69*0.5,IF(OR($C$12&gt;$AR69,$D$12&lt;$AR69),0,Schweine_Werte!$I69))</f>
        <v>0</v>
      </c>
      <c r="BI69" s="730">
        <f>IF(OR($C$24=$AR69,$D$24=$AR69),Schweine_Werte!$I69*0.5,IF(OR($C$24&gt;$AR69,$D$24&lt;$AR69),0,Schweine_Werte!$I69))</f>
        <v>0</v>
      </c>
      <c r="BJ69" s="730">
        <f>IF(OR($C$36=$AR69,$D$36=$AR69),Schweine_Werte!$I69*0.5,IF(OR($C$36&gt;$AR69,$D$36&lt;$AR69),0,Schweine_Werte!$I69))</f>
        <v>0</v>
      </c>
      <c r="BK69" s="730">
        <f>IF(OR($C$48=$AR69,$D$48=$AR69),Schweine_Werte!$I69*0.5,IF(OR($C$48&gt;$AR69,$D$48&lt;$AR69),0,Schweine_Werte!$I69))</f>
        <v>0</v>
      </c>
      <c r="BL69" s="730">
        <f>IF(OR($C$60=$AR69,$D$60=$AR69),Schweine_Werte!$I69*0.5,IF(OR($C$60&gt;$AR69,$D$60&lt;$AR69),0,Schweine_Werte!$I69))</f>
        <v>0</v>
      </c>
      <c r="BM69" s="795"/>
      <c r="BN69" s="730"/>
      <c r="BO69" s="730"/>
      <c r="BP69" s="730"/>
      <c r="BQ69" s="730"/>
      <c r="BR69" s="795">
        <f>IF(OR($C$74=$AR69,$D$74=$AR69),Schweine_Werte!$M69*0.5,IF(OR($C$74&gt;$AR69,$D$74&lt;$AR69),0,Schweine_Werte!$M69))</f>
        <v>0</v>
      </c>
      <c r="BS69" s="795">
        <f>IF(OR($C$83=$AR69,$D$83=$AR69),Schweine_Werte!$M69*0.5,IF(OR($C$83&gt;$AR69,$D$83&lt;$AR69),0,Schweine_Werte!$M69))</f>
        <v>0</v>
      </c>
      <c r="BT69" s="797">
        <f>IF(OR($C$92=$AR69,$D$92=$AR69),Schweine_Werte!$M69*0.5,IF(OR($C$92&gt;$AR69,$D$92&lt;$AR69),0,Schweine_Werte!$M69))</f>
        <v>0</v>
      </c>
      <c r="BU69" s="797">
        <f>IF(OR($C$101=$AR69,$D$101=$AR69),Schweine_Werte!$M69*0.5,IF(OR($C$101&gt;$AR69,$D$101&lt;$AR69),0,Schweine_Werte!$M69))</f>
        <v>0</v>
      </c>
      <c r="BV69" s="797">
        <f>IF(OR($C$110=$AR69,$D$110=$AR69),Schweine_Werte!$M69*0.5,IF(OR($C$110&gt;$AR69,$D$110&lt;$AR69),0,Schweine_Werte!$M69))</f>
        <v>0</v>
      </c>
      <c r="BW69" s="797">
        <f>IF(OR(8=$AR69,$E$127=$AR69),Schweine_Werte!$M69*0.5,IF(OR(8&gt;$AR69,$E$127&lt;$AR69),0,Schweine_Werte!$M69))</f>
        <v>1.1046392823633366</v>
      </c>
      <c r="BX69" s="797">
        <f>IF(OR(8=$AR69,$E$145=$AR69),Schweine_Werte!$M69*0.5,IF(OR(8&gt;$AR69,$E$145&lt;$AR69),0,Schweine_Werte!$M69))</f>
        <v>1.1046392823633366</v>
      </c>
      <c r="BY69" s="795">
        <f>IF(OR($C$74=$AR69,$D$74=$AR69),Schweine_Werte!$O69*0.5,IF(OR($C$74&gt;$AR69,$D$74&lt;$AR69),0,Schweine_Werte!$O69))</f>
        <v>0</v>
      </c>
      <c r="BZ69" s="795">
        <f>IF(OR($C$83=$AR69,$D$83=$AR69),Schweine_Werte!$O69*0.5,IF(OR($C$83&gt;$AR69,$D$83&lt;$AR69),0,Schweine_Werte!$O69))</f>
        <v>0</v>
      </c>
      <c r="CA69" s="797">
        <f>IF(OR($C$92=$AR69,$D$92=$AR69),Schweine_Werte!$O69*0.5,IF(OR($C$92&gt;$AR69,$D$92&lt;$AR69),0,Schweine_Werte!$O69))</f>
        <v>0</v>
      </c>
      <c r="CB69" s="797">
        <f>IF(OR($C$101=$AR69,$D$101=$AR69),Schweine_Werte!$O69*0.5,IF(OR($C$101&gt;$AR69,$D$101&lt;$AR69),0,Schweine_Werte!$O69))</f>
        <v>0</v>
      </c>
      <c r="CC69" s="797">
        <f>IF(OR($C$110=$AR69,$D$110=$AR69),Schweine_Werte!$O69*0.5,IF(OR($C$110&gt;$AR69,$D$110&lt;$AR69),0,Schweine_Werte!$O69))</f>
        <v>0</v>
      </c>
    </row>
    <row r="70" spans="1:81" x14ac:dyDescent="0.25">
      <c r="B70">
        <v>450</v>
      </c>
      <c r="D70" s="730"/>
      <c r="E70" t="e">
        <f>($D74-$C74)*1000/SUM($BR$4:$BR$31)</f>
        <v>#VALUE!</v>
      </c>
      <c r="F70" s="730" t="e">
        <f>SUMPRODUCT($BR$4:$BR$31,Schweine_Werte!$V$4:$V$31)/SUM($BR$4:$BR$31)</f>
        <v>#DIV/0!</v>
      </c>
      <c r="G70" s="730" t="e">
        <f>IF($B74=$A$8,SUMPRODUCT($BR$4:$BR$31,Schweine_Werte!HE$4:HE$31)/SUM($BR$4:$BR$31),IF($B74=$A$7,SUMPRODUCT($BR$4:$BR$31,Schweine_Werte!GQ$4:GQ$31)/SUM($BR$4:$BR$31),IF($B74=$A$6,SUMPRODUCT($BR$4:$BR$31,Schweine_Werte!GC$4:GC$31)/SUM($BR$4:$BR$31),SUMPRODUCT($BR$4:$BR$31,Schweine_Werte!FO$4:FO$31)/SUM($BR$4:$BR$31))))</f>
        <v>#DIV/0!</v>
      </c>
      <c r="H70" s="730" t="e">
        <f>IF($B74=$A$8,SUMPRODUCT($BR$4:$BR$31,Schweine_Werte!HF$4:HF$31)/SUM($BR$4:$BR$31),IF($B74=$A$7,SUMPRODUCT($BR$4:$BR$31,Schweine_Werte!GR$4:GR$31)/SUM($BR$4:$BR$31),IF($B74=$A$6,SUMPRODUCT($BR$4:$BR$31,Schweine_Werte!GD$4:GD$31)/SUM($BR$4:$BR$31),SUMPRODUCT($BR$4:$BR$31,Schweine_Werte!FP$4:FP$31)/SUM($BR$4:$BR$31))))</f>
        <v>#DIV/0!</v>
      </c>
      <c r="I70" s="730" t="e">
        <f>IF($B74=$A$8,SUMPRODUCT($BR$4:$BR$31,Schweine_Werte!HG$4:HG$31)/SUM($BR$4:$BR$31),IF($B74=$A$7,SUMPRODUCT($BR$4:$BR$31,Schweine_Werte!GS$4:GS$31)/SUM($BR$4:$BR$31),IF($B74=$A$6,SUMPRODUCT($BR$4:$BR$31,Schweine_Werte!GE$4:GE$31)/SUM($BR$4:$BR$31),SUMPRODUCT($BR$4:$BR$31,Schweine_Werte!FQ$4:FQ$31)/SUM($BR$4:$BR$31))))</f>
        <v>#DIV/0!</v>
      </c>
      <c r="J70" s="730" t="e">
        <f>SUMPRODUCT($BR$4:$BR$31,Schweine_Werte!$AD$4:$AD$31)/SUM($BR$4:$BR$31)</f>
        <v>#DIV/0!</v>
      </c>
      <c r="K70" s="730" t="e">
        <f>SUMPRODUCT($BR$4:$BR$31,Schweine_Werte!$AL$4:$AL$31)/SUM($BR$4:$BR$31)</f>
        <v>#DIV/0!</v>
      </c>
      <c r="L70" s="730" t="e">
        <f>T70*$F70*365/1000+$J70-$K70</f>
        <v>#DIV/0!</v>
      </c>
      <c r="M70" s="730" t="e">
        <f>U70*$F70*365/1000+$J70-$K70/2</f>
        <v>#DIV/0!</v>
      </c>
      <c r="N70" s="730" t="e">
        <f>V70*$F70*365/1000+$J70</f>
        <v>#DIV/0!</v>
      </c>
      <c r="O70" s="730">
        <f>IF($C74&lt;28,SUM($BR$4:$BR$23)+IF($D74&gt;28,$BR$24*0.5,$BR$24),0)</f>
        <v>0</v>
      </c>
      <c r="P70" s="730">
        <f>IF($D74&gt;28,SUM($BR$25:$BR$31)+IF($C74&lt;28,$BR$24*0.5,$BR$24),0)</f>
        <v>0</v>
      </c>
      <c r="Q70" s="730" t="e">
        <f t="shared" ref="Q70:S71" si="40">+T70*$F70</f>
        <v>#DIV/0!</v>
      </c>
      <c r="R70" s="730" t="e">
        <f t="shared" si="40"/>
        <v>#DIV/0!</v>
      </c>
      <c r="S70" s="730" t="e">
        <f t="shared" si="40"/>
        <v>#DIV/0!</v>
      </c>
      <c r="T70" s="730" t="e">
        <f>+($O70*Schweine_Werte!$HT$15+$P70*Schweine_Werte!$HU$15)/SUM($O70:$P70)</f>
        <v>#DIV/0!</v>
      </c>
      <c r="U70" s="730" t="e">
        <f>+($O70*Schweine_Werte!$HV$15+$P70*Schweine_Werte!$HW$15)/SUM($O70:$P70)</f>
        <v>#DIV/0!</v>
      </c>
      <c r="V70" s="730" t="e">
        <f>+($O70*Schweine_Werte!$HX$15+$P70*Schweine_Werte!$HY$15)/SUM($O70:$P70)</f>
        <v>#DIV/0!</v>
      </c>
      <c r="W70" s="785" t="e">
        <f>($J70*0.055+T70*0.365*0.86*$F70-$K70*0.018)/L70*100</f>
        <v>#DIV/0!</v>
      </c>
      <c r="X70" s="785" t="e">
        <f>($J70*0.055+U70*0.365*0.86*$F70-$K70*0.018/2)/M70*100</f>
        <v>#DIV/0!</v>
      </c>
      <c r="Y70" s="730" t="e">
        <f>($J70*0.055+V70*0.365*0.86*$F70)/N70*100</f>
        <v>#DIV/0!</v>
      </c>
      <c r="Z70" s="730" t="e">
        <f>IF($B74=$A$8,SUMPRODUCT($BR$4:$BR$31,Schweine_Werte!$HH$4:$HH$31,Schweine_Werte!$HI$4:$HI$31)/SUMPRODUCT($BR$4:$BR$31,Schweine_Werte!$HH$4:$HH$31),IF($B74=$A$7,SUMPRODUCT($BR$4:$BR$31,Schweine_Werte!$GT$4:$GT$31,Schweine_Werte!$GU$4:$GU$31)/SUMPRODUCT($BR$4:$BR$31,Schweine_Werte!$GT$4:$GT$31),IF($B74=$A$6,SUMPRODUCT($BR$4:$BR$31,Schweine_Werte!$GF$4:$GF$31,Schweine_Werte!$GG$4:$GG$31)/SUMPRODUCT($BR$4:$BR$31,Schweine_Werte!$GF$4:$GF$31),SUMPRODUCT($BR$4:$BR$31,Schweine_Werte!$FR$4:$FR$31,Schweine_Werte!$FS$4:$FS$31)/SUMPRODUCT($BR$4:$BR$31,Schweine_Werte!$FR$4:$FR$31))))</f>
        <v>#DIV/0!</v>
      </c>
      <c r="AA70" s="730"/>
      <c r="AB70" s="730">
        <f>IF($B74=$A$8,SUMIF(Schweine_Werte!$AO$4:$AO$31,$C74,Schweine_Werte!$HI$4:$HI$31),IF($B74=$A$7,SUMIF(Schweine_Werte!$AO$4:$AO$31,$C74,Schweine_Werte!$GU$4:$GU$31),IF($B74=$A$6,SUMIF(Schweine_Werte!$AO$4:$AO$31,$C74,Schweine_Werte!$GG$4:$GG$31),SUMIF(Schweine_Werte!$AO$4:$AO$31,$C74,Schweine_Werte!$FS$4:$FS$31))))</f>
        <v>0</v>
      </c>
      <c r="AC70" s="730"/>
      <c r="AD70" s="730">
        <f>IF($B74=$A$8,SUMIF(Schweine_Werte!$AO$4:$AO$31,$D74,Schweine_Werte!$HI$4:$HI$31),IF($B74=$A$7,SUMIF(Schweine_Werte!$AO$4:$AO$31,$D74,Schweine_Werte!$GU$4:$GU$31),IF($B74=$A$6,SUMIF(Schweine_Werte!$AO$4:$AO$31,$D74,Schweine_Werte!$GG$4:$GG$31),SUMIF(Schweine_Werte!$AO$4:$AO$31,$D74,Schweine_Werte!$FS$4:$FS$31))))</f>
        <v>0</v>
      </c>
      <c r="AE70" s="730"/>
      <c r="AF70" s="730"/>
      <c r="AG70" s="730" t="e">
        <f>IF($B74=$A$8,SUMPRODUCT($BR$4:$BR$31,Schweine_Werte!$HH$4:$HH$31)/SUM($BR$4:$BR$31),IF($B74=$A$7,SUMPRODUCT($BR$4:$BR$31,Schweine_Werte!$GT$4:$GT$31)/SUM($BR$4:$BR$31),IF($B74=$A$6,SUMPRODUCT($BR$4:$BR$31,Schweine_Werte!$GF$4:$GF$31)/SUM($BR$4:$BR$31),SUMPRODUCT($BR$4:$BR$31,Schweine_Werte!$FR$4:$FR$31)/SUM($BR$4:$BR$31))))</f>
        <v>#DIV/0!</v>
      </c>
      <c r="AH70" s="730"/>
      <c r="AI70" s="730"/>
      <c r="AJ70" s="730" t="e">
        <f>IF($B74=$A$8,SUMPRODUCT($BR$4:$BR$31,Schweine_Werte!$HH$4:$HH$31,Schweine_Werte!$HJ$4:$HJ$31)/SUMPRODUCT($BR$4:$BR$31,Schweine_Werte!$HH$4:$HH$31),IF($B74=$A$7,SUMPRODUCT($BR$4:$BR$31,Schweine_Werte!$GT$4:$GT$31,Schweine_Werte!$GV$4:$GV$31)/SUMPRODUCT($BR$4:$BR$31,Schweine_Werte!$GT$4:$GT$31),IF($B74=$A$6,SUMPRODUCT($BR$4:$BR$31,Schweine_Werte!$GF$4:$GF$31,Schweine_Werte!$GH$4:$GH$31)/SUMPRODUCT($BR$4:$BR$31,Schweine_Werte!$GF$4:$GF$31),SUMPRODUCT($BR$4:$BR$31,Schweine_Werte!$FR$4:$FR$31,Schweine_Werte!$FT$4:$FT$31)/SUMPRODUCT($BR$4:$BR$31,Schweine_Werte!$FR$4:$FR$31))))</f>
        <v>#DIV/0!</v>
      </c>
      <c r="AK70" s="730"/>
      <c r="AL70" s="730">
        <f>IF($B74=$A$8,SUMIF(Schweine_Werte!$AO$4:$AO$31,$C74,Schweine_Werte!$HJ$4:$HJ$31),IF($B74=$A$7,SUMIF(Schweine_Werte!$AO$4:$AO$31,$C74,Schweine_Werte!$GV$4:$GV$31),IF($B74=$A$6,SUMIF(Schweine_Werte!$AO$4:$AO$31,$C74,Schweine_Werte!$GH$4:$GH$31),SUMIF(Schweine_Werte!$AO$4:$AO$31,$C74,Schweine_Werte!$FT$4:$FT$31))))</f>
        <v>0</v>
      </c>
      <c r="AM70" s="730"/>
      <c r="AN70" s="730">
        <f>IF($B74=$A$8,SUMIF(Schweine_Werte!$AO$4:$AO$31,$D74,Schweine_Werte!$HJ$4:$HJ$31),IF($B74=$A$7,SUMIF(Schweine_Werte!$AO$4:$AO$31,$D74,Schweine_Werte!$GV$4:$GV$31),IF($B74=$A$6,SUMIF(Schweine_Werte!$AO$4:$AO$31,$D74,Schweine_Werte!$GH$4:$GH$31),SUMIF(Schweine_Werte!$AO$4:$AO$31,$D74,Schweine_Werte!$FT$4:$FT$31))))</f>
        <v>0</v>
      </c>
      <c r="AO70" s="730"/>
      <c r="AR70" s="806">
        <v>74</v>
      </c>
      <c r="AS70" s="795">
        <f>IF(OR($C$12=$AR70,$D$12=$AR70),Schweine_Werte!$C70*0.5,IF(OR($C$12&gt;$AR70,$D$12&lt;$AR70),0,Schweine_Werte!$C70))</f>
        <v>0</v>
      </c>
      <c r="AT70" s="730">
        <f>IF(OR($C$24=$AR70,$D$24=$AR70),Schweine_Werte!$C70*0.5,IF(OR($C$24&gt;$AR70,$D$24&lt;$AR70),0,Schweine_Werte!$C70))</f>
        <v>0</v>
      </c>
      <c r="AU70" s="795">
        <f>IF(OR($C$36=$AR70,$D$36=$AR70),Schweine_Werte!$C70*0.5,IF(OR($C$36&gt;$AR70,$D$36&lt;$AR70),0,Schweine_Werte!$C70))</f>
        <v>0</v>
      </c>
      <c r="AV70" s="795">
        <f>IF(OR($C$48=$AR70,$D$48=$AR70),Schweine_Werte!$C70*0.5,IF(OR($C$48&gt;$AR70,$D$48&lt;$AR70),0,Schweine_Werte!$C70))</f>
        <v>0</v>
      </c>
      <c r="AW70" s="795">
        <f>IF(OR($C$60=$AR70,$D$60=$AR70),Schweine_Werte!$C70*0.5,IF(OR($C$60&gt;$AR70,$D$60&lt;$AR70),0,Schweine_Werte!$C70))</f>
        <v>0</v>
      </c>
      <c r="AX70" s="795">
        <f>IF(OR($C$12=$AR70,$D$12=$AR70),Schweine_Werte!$E70*0.5,IF(OR($C$12&gt;$AR70,$D$12&lt;$AR70),0,Schweine_Werte!$E70))</f>
        <v>0</v>
      </c>
      <c r="AY70" s="730">
        <f>IF(OR($C$24=$AR70,$D$24=$AR70),Schweine_Werte!$E70*0.5,IF(OR($C$24&gt;$AR70,$D$24&lt;$AR70),0,Schweine_Werte!$E70))</f>
        <v>0</v>
      </c>
      <c r="AZ70" s="730">
        <f>IF(OR($C$36=$AR70,$D$36=$AR70),Schweine_Werte!$E70*0.5,IF(OR($C$36&gt;$AR70,$D$36&lt;$AR70),0,Schweine_Werte!$E70))</f>
        <v>0</v>
      </c>
      <c r="BA70" s="730">
        <f>IF(OR($C$48=$AR70,$D$48=$AR70),Schweine_Werte!$E70*0.5,IF(OR($C$48&gt;$AR70,$D$48&lt;$AR70),0,Schweine_Werte!$E70))</f>
        <v>0</v>
      </c>
      <c r="BB70" s="730">
        <f>IF(OR($C$60=$AR70,$D$60=$AR70),Schweine_Werte!$E70*0.5,IF(OR($C$60&gt;$AR70,$D$60&lt;$AR70),0,Schweine_Werte!$E70))</f>
        <v>0</v>
      </c>
      <c r="BC70" s="795">
        <f>IF(OR($C$12=$AR70,$D$12=$AR70),Schweine_Werte!$G70*0.5,IF(OR($C$12&gt;$AR70,$D$12&lt;$AR70),0,Schweine_Werte!$G70))</f>
        <v>0</v>
      </c>
      <c r="BD70" s="730">
        <f>IF(OR($C$24=$AR70,$D$24=$AR70),Schweine_Werte!$G70*0.5,IF(OR($C$24&gt;$AR70,$D$24&lt;$AR70),0,Schweine_Werte!$G70))</f>
        <v>0</v>
      </c>
      <c r="BE70" s="730">
        <f>IF(OR($C$36=$AR70,$D$36=$AR70),Schweine_Werte!$G70*0.5,IF(OR($C$36&gt;$AR70,$D$36&lt;$AR70),0,Schweine_Werte!$G70))</f>
        <v>0</v>
      </c>
      <c r="BF70" s="730">
        <f>IF(OR($C$48=$AR70,$D$48=$AR70),Schweine_Werte!$G70*0.5,IF(OR($C$48&gt;$AR70,$D$48&lt;$AR70),0,Schweine_Werte!$G70))</f>
        <v>0</v>
      </c>
      <c r="BG70" s="730">
        <f>IF(OR($C$60=$AR70,$D$60=$AR70),Schweine_Werte!$G70*0.5,IF(OR($C$60&gt;$AR70,$D$60&lt;$AR70),0,Schweine_Werte!$G70))</f>
        <v>0</v>
      </c>
      <c r="BH70" s="795">
        <f>IF(OR($C$12=$AR70,$D$12=$AR70),Schweine_Werte!$I70*0.5,IF(OR($C$12&gt;$AR70,$D$12&lt;$AR70),0,Schweine_Werte!$I70))</f>
        <v>0</v>
      </c>
      <c r="BI70" s="730">
        <f>IF(OR($C$24=$AR70,$D$24=$AR70),Schweine_Werte!$I70*0.5,IF(OR($C$24&gt;$AR70,$D$24&lt;$AR70),0,Schweine_Werte!$I70))</f>
        <v>0</v>
      </c>
      <c r="BJ70" s="730">
        <f>IF(OR($C$36=$AR70,$D$36=$AR70),Schweine_Werte!$I70*0.5,IF(OR($C$36&gt;$AR70,$D$36&lt;$AR70),0,Schweine_Werte!$I70))</f>
        <v>0</v>
      </c>
      <c r="BK70" s="730">
        <f>IF(OR($C$48=$AR70,$D$48=$AR70),Schweine_Werte!$I70*0.5,IF(OR($C$48&gt;$AR70,$D$48&lt;$AR70),0,Schweine_Werte!$I70))</f>
        <v>0</v>
      </c>
      <c r="BL70" s="730">
        <f>IF(OR($C$60=$AR70,$D$60=$AR70),Schweine_Werte!$I70*0.5,IF(OR($C$60&gt;$AR70,$D$60&lt;$AR70),0,Schweine_Werte!$I70))</f>
        <v>0</v>
      </c>
      <c r="BM70" s="795"/>
      <c r="BN70" s="730"/>
      <c r="BO70" s="730"/>
      <c r="BP70" s="730"/>
      <c r="BQ70" s="730"/>
      <c r="BR70" s="795">
        <f>IF(OR($C$74=$AR70,$D$74=$AR70),Schweine_Werte!$M70*0.5,IF(OR($C$74&gt;$AR70,$D$74&lt;$AR70),0,Schweine_Werte!$M70))</f>
        <v>0</v>
      </c>
      <c r="BS70" s="795">
        <f>IF(OR($C$83=$AR70,$D$83=$AR70),Schweine_Werte!$M70*0.5,IF(OR($C$83&gt;$AR70,$D$83&lt;$AR70),0,Schweine_Werte!$M70))</f>
        <v>0</v>
      </c>
      <c r="BT70" s="797">
        <f>IF(OR($C$92=$AR70,$D$92=$AR70),Schweine_Werte!$M70*0.5,IF(OR($C$92&gt;$AR70,$D$92&lt;$AR70),0,Schweine_Werte!$M70))</f>
        <v>0</v>
      </c>
      <c r="BU70" s="797">
        <f>IF(OR($C$101=$AR70,$D$101=$AR70),Schweine_Werte!$M70*0.5,IF(OR($C$101&gt;$AR70,$D$101&lt;$AR70),0,Schweine_Werte!$M70))</f>
        <v>0</v>
      </c>
      <c r="BV70" s="797">
        <f>IF(OR($C$110=$AR70,$D$110=$AR70),Schweine_Werte!$M70*0.5,IF(OR($C$110&gt;$AR70,$D$110&lt;$AR70),0,Schweine_Werte!$M70))</f>
        <v>0</v>
      </c>
      <c r="BW70" s="797">
        <f>IF(OR(8=$AR70,$E$127=$AR70),Schweine_Werte!$M70*0.5,IF(OR(8&gt;$AR70,$E$127&lt;$AR70),0,Schweine_Werte!$M70))</f>
        <v>1.1050108487679347</v>
      </c>
      <c r="BX70" s="797">
        <f>IF(OR(8=$AR70,$E$145=$AR70),Schweine_Werte!$M70*0.5,IF(OR(8&gt;$AR70,$E$145&lt;$AR70),0,Schweine_Werte!$M70))</f>
        <v>1.1050108487679347</v>
      </c>
      <c r="BY70" s="795">
        <f>IF(OR($C$74=$AR70,$D$74=$AR70),Schweine_Werte!$O70*0.5,IF(OR($C$74&gt;$AR70,$D$74&lt;$AR70),0,Schweine_Werte!$O70))</f>
        <v>0</v>
      </c>
      <c r="BZ70" s="795">
        <f>IF(OR($C$83=$AR70,$D$83=$AR70),Schweine_Werte!$O70*0.5,IF(OR($C$83&gt;$AR70,$D$83&lt;$AR70),0,Schweine_Werte!$O70))</f>
        <v>0</v>
      </c>
      <c r="CA70" s="797">
        <f>IF(OR($C$92=$AR70,$D$92=$AR70),Schweine_Werte!$O70*0.5,IF(OR($C$92&gt;$AR70,$D$92&lt;$AR70),0,Schweine_Werte!$O70))</f>
        <v>0</v>
      </c>
      <c r="CB70" s="797">
        <f>IF(OR($C$101=$AR70,$D$101=$AR70),Schweine_Werte!$O70*0.5,IF(OR($C$101&gt;$AR70,$D$101&lt;$AR70),0,Schweine_Werte!$O70))</f>
        <v>0</v>
      </c>
      <c r="CC70" s="797">
        <f>IF(OR($C$110=$AR70,$D$110=$AR70),Schweine_Werte!$O70*0.5,IF(OR($C$110&gt;$AR70,$D$110&lt;$AR70),0,Schweine_Werte!$O70))</f>
        <v>0</v>
      </c>
    </row>
    <row r="71" spans="1:81" x14ac:dyDescent="0.25">
      <c r="B71">
        <v>500</v>
      </c>
      <c r="D71" s="730"/>
      <c r="E71" t="e">
        <f>($D74-$C74)*1000/SUM($BY$4:$BY$31)</f>
        <v>#VALUE!</v>
      </c>
      <c r="F71" s="730" t="e">
        <f>SUMPRODUCT($BY$4:$BY$31,Schweine_Werte!$W$4:$W$31)/SUM($BY$4:$BY$31)</f>
        <v>#DIV/0!</v>
      </c>
      <c r="G71" s="730" t="e">
        <f>IF($B74=$A$8,SUMPRODUCT($BY$4:$BY$31,Schweine_Werte!HK$4:HK$31)/SUM($BY$4:$BY$31),IF($B74=$A$7,SUMPRODUCT($BY$4:$BY$31,Schweine_Werte!GW$4:GW$31)/SUM($BY$4:$BY$31),IF($B74=$A$6,SUMPRODUCT($BY$4:$BY$31,Schweine_Werte!GI$4:GI$31)/SUM($BY$4:$BY$31),SUMPRODUCT($BY$4:$BY$31,Schweine_Werte!FU$4:FU$31)/SUM($BY$4:$BY$31))))</f>
        <v>#DIV/0!</v>
      </c>
      <c r="H71" s="730" t="e">
        <f>IF($B74=$A$8,SUMPRODUCT($BY$4:$BY$31,Schweine_Werte!HL$4:HL$31)/SUM($BY$4:$BY$31),IF($B74=$A$7,SUMPRODUCT($BY$4:$BY$31,Schweine_Werte!GX$4:GX$31)/SUM($BY$4:$BY$31),IF($B74=$A$6,SUMPRODUCT($BY$4:$BY$31,Schweine_Werte!GJ$4:GJ$31)/SUM($BY$4:$BY$31),SUMPRODUCT($BY$4:$BY$31,Schweine_Werte!FV$4:FV$31)/SUM($BY$4:$BY$31))))</f>
        <v>#DIV/0!</v>
      </c>
      <c r="I71" s="730" t="e">
        <f>IF($B74=$A$8,SUMPRODUCT($BY$4:$BY$31,Schweine_Werte!HM$4:HM$31)/SUM($BY$4:$BY$31),IF($B74=$A$7,SUMPRODUCT($BY$4:$BY$31,Schweine_Werte!GY$4:GY$31)/SUM($BY$4:$BY$31),IF($B74=$A$6,SUMPRODUCT($BY$4:$BY$31,Schweine_Werte!GK$4:GK$31)/SUM($BY$4:$BY$31),SUMPRODUCT($BY$4:$BY$31,Schweine_Werte!FW$4:FW$31)/SUM($BY$4:$BY$31))))</f>
        <v>#DIV/0!</v>
      </c>
      <c r="J71" s="730" t="e">
        <f>SUMPRODUCT($BY$4:$BY$31,Schweine_Werte!$AE$4:$AE$31)/SUM($BY$4:$BY$31)</f>
        <v>#DIV/0!</v>
      </c>
      <c r="K71" s="730" t="e">
        <f>SUMPRODUCT($BY$4:$BY$31,Schweine_Werte!$AM$4:$AM$31)/SUM($BY$4:$BY$31)</f>
        <v>#DIV/0!</v>
      </c>
      <c r="L71" s="730" t="e">
        <f>T71*$F71*365/1000+$J71-$K71</f>
        <v>#DIV/0!</v>
      </c>
      <c r="M71" s="730" t="e">
        <f>U71*$F71*365/1000+$J71-$K71/2</f>
        <v>#DIV/0!</v>
      </c>
      <c r="N71" s="730" t="e">
        <f>V71*$F71*365/1000+$J71</f>
        <v>#DIV/0!</v>
      </c>
      <c r="O71" s="730">
        <f>IF($C74&lt;28,SUM($BY$4:$BY$23)+IF($D74&gt;28,$BY$24*0.5,$BY$24),0)</f>
        <v>0</v>
      </c>
      <c r="P71" s="730">
        <f>IF($D74&gt;28,SUM($BY$25:$BY$31)+IF($C74&lt;28,$BY$24*0.5,$BY$24),0)</f>
        <v>0</v>
      </c>
      <c r="Q71" s="730" t="e">
        <f t="shared" si="40"/>
        <v>#DIV/0!</v>
      </c>
      <c r="R71" s="730" t="e">
        <f t="shared" si="40"/>
        <v>#DIV/0!</v>
      </c>
      <c r="S71" s="730" t="e">
        <f t="shared" si="40"/>
        <v>#DIV/0!</v>
      </c>
      <c r="T71" s="730" t="e">
        <f>+($O71*Schweine_Werte!$HT$16+$P71*Schweine_Werte!$HU$16)/SUM($O71:$P71)</f>
        <v>#DIV/0!</v>
      </c>
      <c r="U71" s="730" t="e">
        <f>+($O71*Schweine_Werte!$HV$16+$P71*Schweine_Werte!$HW$16)/SUM($O71:$P71)</f>
        <v>#DIV/0!</v>
      </c>
      <c r="V71" s="730" t="e">
        <f>+($O71*Schweine_Werte!$HX$16+$P71*Schweine_Werte!$HY$16)/SUM($O71:$P71)</f>
        <v>#DIV/0!</v>
      </c>
      <c r="W71" s="730" t="e">
        <f>($J71*0.055+T71*0.365*0.86*$F71-$K71*0.018)/L71*100</f>
        <v>#DIV/0!</v>
      </c>
      <c r="X71" s="730" t="e">
        <f>($J71*0.055+U71*0.365*0.86*$F71-$K71*0.018/2)/M71*100</f>
        <v>#DIV/0!</v>
      </c>
      <c r="Y71" s="730" t="e">
        <f>($J71*0.055+V71*0.365*0.86*$F71)/N71*100</f>
        <v>#DIV/0!</v>
      </c>
      <c r="Z71" s="730" t="e">
        <f>IF($B74=$A$8,SUMPRODUCT($BY$4:$BY$31,Schweine_Werte!$HN$4:$HN$31,Schweine_Werte!$HO$4:$HO$31)/SUMPRODUCT($BY$4:$BY$31,Schweine_Werte!$HN$4:$HN$31),IF($B74=$A$7,SUMPRODUCT($BY$4:$BY$31,Schweine_Werte!$GZ$4:$GZ$31,Schweine_Werte!$HA$4:$HA$31)/SUMPRODUCT($BY$4:$BY$31,Schweine_Werte!$GZ$4:$GZ$31),IF($B74=$A$6,SUMPRODUCT($BY$4:$BY$31,Schweine_Werte!$GL$4:$GL$31,Schweine_Werte!$GM$4:$GM$31)/SUMPRODUCT($BY$4:$BY$31,Schweine_Werte!$GL$4:$GL$31),SUMPRODUCT($BY$4:$BY$31,Schweine_Werte!$FX$4:$FX$31,Schweine_Werte!$FY$4:$FY$31)/SUMPRODUCT($BY$4:$BY$31,Schweine_Werte!$FX$4:$FX$31))))</f>
        <v>#DIV/0!</v>
      </c>
      <c r="AA71" s="730"/>
      <c r="AB71" s="730">
        <f>IF($B74=$A$8,SUMIF(Schweine_Werte!$AO$4:$AO$31,$C74,Schweine_Werte!$HO$4:$HO$31),IF($B74=$A$7,SUMIF(Schweine_Werte!$AO$4:$AO$31,$C74,Schweine_Werte!$HA$4:$HA$31),IF($B74=$A$6,SUMIF(Schweine_Werte!$AO$4:$AO$31,$C74,Schweine_Werte!$GM$4:$GM$31),SUMIF(Schweine_Werte!$AO$4:$AO$31,$C74,Schweine_Werte!$FY$4:$FY$31))))</f>
        <v>0</v>
      </c>
      <c r="AC71" s="730"/>
      <c r="AD71" s="730">
        <f>IF($B74=$A$8,SUMIF(Schweine_Werte!$AO$4:$AO$31,$D74,Schweine_Werte!$HO$4:$HO$31),IF($B74=$A$7,SUMIF(Schweine_Werte!$AO$4:$AO$31,$D74,Schweine_Werte!$HA$4:$HA$31),IF($B74=$A$6,SUMIF(Schweine_Werte!$AO$4:$AO$31,$D74,Schweine_Werte!$GM$4:$GM$31),SUMIF(Schweine_Werte!$AO$4:$AO$31,$D74,Schweine_Werte!$FY$4:$FY$31))))</f>
        <v>0</v>
      </c>
      <c r="AE71" s="730"/>
      <c r="AF71" s="730"/>
      <c r="AG71" s="730" t="e">
        <f>IF($B74=$A$8,SUMPRODUCT($BY$4:$BY$31,Schweine_Werte!$HN$4:$HN$31)/SUM($BY$4:$BY$31),IF($B74=$A$7,SUMPRODUCT($BY$4:$BY$31,Schweine_Werte!$GZ$4:$GZ$31)/SUM($BY$4:$BY$31),IF($B74=$A$6,SUMPRODUCT($BY$4:$BY$31,Schweine_Werte!$GL$4:$GL$31)/SUM($BY$4:$BY$31),SUMPRODUCT($BY$4:$BY$31,Schweine_Werte!$FX$4:$FX$31)/SUM($BY$4:$BY$31))))</f>
        <v>#DIV/0!</v>
      </c>
      <c r="AH71" s="730"/>
      <c r="AI71" s="730"/>
      <c r="AJ71" s="730" t="e">
        <f>IF($B74=$A$8,SUMPRODUCT($BY$4:$BY$31,Schweine_Werte!$HN$4:$HN$31,Schweine_Werte!$HP$4:$HP$31)/SUMPRODUCT($BY$4:$BY$31,Schweine_Werte!$HN$4:$HN$31),IF($B74=$A$7,SUMPRODUCT($BY$4:$BY$31,Schweine_Werte!$GZ$4:$GZ$31,Schweine_Werte!$HB$4:$HB$31)/SUMPRODUCT($BY$4:$BY$31,Schweine_Werte!$GZ$4:$GZ$31),IF($B74=$A$6,SUMPRODUCT($BY$4:$BY$31,Schweine_Werte!$GL$4:$GL$31,Schweine_Werte!$GN$4:$GN$31)/SUMPRODUCT($BY$4:$BY$31,Schweine_Werte!$GL$4:$GL$31),SUMPRODUCT($BY$4:$BY$31,Schweine_Werte!$FX$4:$FX$31,Schweine_Werte!$FZ$4:$FZ$31)/SUMPRODUCT($BY$4:$BY$31,Schweine_Werte!$FX$4:$FX$31))))</f>
        <v>#DIV/0!</v>
      </c>
      <c r="AK71" s="730"/>
      <c r="AL71" s="730">
        <f>IF($B74=$A$8,SUMIF(Schweine_Werte!$AO$4:$AO$31,$C74,Schweine_Werte!$HP$4:$HP$31),IF($B74=$A$7,SUMIF(Schweine_Werte!$AO$4:$AO$31,$C74,Schweine_Werte!$HB$4:$HB$31),IF($B74=$A$6,SUMIF(Schweine_Werte!$AO$4:$AO$31,$C74,Schweine_Werte!$GN$4:$GN$31),SUMIF(Schweine_Werte!$AO$4:$AO$31,$C74,Schweine_Werte!$FZ$4:$FZ$31))))</f>
        <v>0</v>
      </c>
      <c r="AM71" s="730"/>
      <c r="AN71" s="730">
        <f>IF($B74=$A$8,SUMIF(Schweine_Werte!$AO$4:$AO$31,$D74,Schweine_Werte!$HP$4:$HP$31),IF($B74=$A$7,SUMIF(Schweine_Werte!$AO$4:$AO$31,$D74,Schweine_Werte!$HB$4:$HB$31),IF($B74=$A$6,SUMIF(Schweine_Werte!$AO$4:$AO$31,$D74,Schweine_Werte!$GN$4:$GN$31),SUMIF(Schweine_Werte!$AO$4:$AO$31,$D74,Schweine_Werte!$FZ$4:$FZ$31))))</f>
        <v>0</v>
      </c>
      <c r="AO71" s="730"/>
      <c r="AR71" s="806">
        <v>75</v>
      </c>
      <c r="AS71" s="795">
        <f>IF(OR($C$12=$AR71,$D$12=$AR71),Schweine_Werte!$C71*0.5,IF(OR($C$12&gt;$AR71,$D$12&lt;$AR71),0,Schweine_Werte!$C71))</f>
        <v>0</v>
      </c>
      <c r="AT71" s="730">
        <f>IF(OR($C$24=$AR71,$D$24=$AR71),Schweine_Werte!$C71*0.5,IF(OR($C$24&gt;$AR71,$D$24&lt;$AR71),0,Schweine_Werte!$C71))</f>
        <v>0</v>
      </c>
      <c r="AU71" s="795">
        <f>IF(OR($C$36=$AR71,$D$36=$AR71),Schweine_Werte!$C71*0.5,IF(OR($C$36&gt;$AR71,$D$36&lt;$AR71),0,Schweine_Werte!$C71))</f>
        <v>0</v>
      </c>
      <c r="AV71" s="795">
        <f>IF(OR($C$48=$AR71,$D$48=$AR71),Schweine_Werte!$C71*0.5,IF(OR($C$48&gt;$AR71,$D$48&lt;$AR71),0,Schweine_Werte!$C71))</f>
        <v>0</v>
      </c>
      <c r="AW71" s="795">
        <f>IF(OR($C$60=$AR71,$D$60=$AR71),Schweine_Werte!$C71*0.5,IF(OR($C$60&gt;$AR71,$D$60&lt;$AR71),0,Schweine_Werte!$C71))</f>
        <v>0</v>
      </c>
      <c r="AX71" s="795">
        <f>IF(OR($C$12=$AR71,$D$12=$AR71),Schweine_Werte!$E71*0.5,IF(OR($C$12&gt;$AR71,$D$12&lt;$AR71),0,Schweine_Werte!$E71))</f>
        <v>0</v>
      </c>
      <c r="AY71" s="730">
        <f>IF(OR($C$24=$AR71,$D$24=$AR71),Schweine_Werte!$E71*0.5,IF(OR($C$24&gt;$AR71,$D$24&lt;$AR71),0,Schweine_Werte!$E71))</f>
        <v>0</v>
      </c>
      <c r="AZ71" s="730">
        <f>IF(OR($C$36=$AR71,$D$36=$AR71),Schweine_Werte!$E71*0.5,IF(OR($C$36&gt;$AR71,$D$36&lt;$AR71),0,Schweine_Werte!$E71))</f>
        <v>0</v>
      </c>
      <c r="BA71" s="730">
        <f>IF(OR($C$48=$AR71,$D$48=$AR71),Schweine_Werte!$E71*0.5,IF(OR($C$48&gt;$AR71,$D$48&lt;$AR71),0,Schweine_Werte!$E71))</f>
        <v>0</v>
      </c>
      <c r="BB71" s="730">
        <f>IF(OR($C$60=$AR71,$D$60=$AR71),Schweine_Werte!$E71*0.5,IF(OR($C$60&gt;$AR71,$D$60&lt;$AR71),0,Schweine_Werte!$E71))</f>
        <v>0</v>
      </c>
      <c r="BC71" s="795">
        <f>IF(OR($C$12=$AR71,$D$12=$AR71),Schweine_Werte!$G71*0.5,IF(OR($C$12&gt;$AR71,$D$12&lt;$AR71),0,Schweine_Werte!$G71))</f>
        <v>0</v>
      </c>
      <c r="BD71" s="730">
        <f>IF(OR($C$24=$AR71,$D$24=$AR71),Schweine_Werte!$G71*0.5,IF(OR($C$24&gt;$AR71,$D$24&lt;$AR71),0,Schweine_Werte!$G71))</f>
        <v>0</v>
      </c>
      <c r="BE71" s="730">
        <f>IF(OR($C$36=$AR71,$D$36=$AR71),Schweine_Werte!$G71*0.5,IF(OR($C$36&gt;$AR71,$D$36&lt;$AR71),0,Schweine_Werte!$G71))</f>
        <v>0</v>
      </c>
      <c r="BF71" s="730">
        <f>IF(OR($C$48=$AR71,$D$48=$AR71),Schweine_Werte!$G71*0.5,IF(OR($C$48&gt;$AR71,$D$48&lt;$AR71),0,Schweine_Werte!$G71))</f>
        <v>0</v>
      </c>
      <c r="BG71" s="730">
        <f>IF(OR($C$60=$AR71,$D$60=$AR71),Schweine_Werte!$G71*0.5,IF(OR($C$60&gt;$AR71,$D$60&lt;$AR71),0,Schweine_Werte!$G71))</f>
        <v>0</v>
      </c>
      <c r="BH71" s="795">
        <f>IF(OR($C$12=$AR71,$D$12=$AR71),Schweine_Werte!$I71*0.5,IF(OR($C$12&gt;$AR71,$D$12&lt;$AR71),0,Schweine_Werte!$I71))</f>
        <v>0</v>
      </c>
      <c r="BI71" s="730">
        <f>IF(OR($C$24=$AR71,$D$24=$AR71),Schweine_Werte!$I71*0.5,IF(OR($C$24&gt;$AR71,$D$24&lt;$AR71),0,Schweine_Werte!$I71))</f>
        <v>0</v>
      </c>
      <c r="BJ71" s="730">
        <f>IF(OR($C$36=$AR71,$D$36=$AR71),Schweine_Werte!$I71*0.5,IF(OR($C$36&gt;$AR71,$D$36&lt;$AR71),0,Schweine_Werte!$I71))</f>
        <v>0</v>
      </c>
      <c r="BK71" s="730">
        <f>IF(OR($C$48=$AR71,$D$48=$AR71),Schweine_Werte!$I71*0.5,IF(OR($C$48&gt;$AR71,$D$48&lt;$AR71),0,Schweine_Werte!$I71))</f>
        <v>0</v>
      </c>
      <c r="BL71" s="730">
        <f>IF(OR($C$60=$AR71,$D$60=$AR71),Schweine_Werte!$I71*0.5,IF(OR($C$60&gt;$AR71,$D$60&lt;$AR71),0,Schweine_Werte!$I71))</f>
        <v>0</v>
      </c>
      <c r="BM71" s="795"/>
      <c r="BN71" s="730"/>
      <c r="BO71" s="730"/>
      <c r="BP71" s="730"/>
      <c r="BQ71" s="730"/>
      <c r="BR71" s="795">
        <f>IF(OR($C$74=$AR71,$D$74=$AR71),Schweine_Werte!$M71*0.5,IF(OR($C$74&gt;$AR71,$D$74&lt;$AR71),0,Schweine_Werte!$M71))</f>
        <v>0</v>
      </c>
      <c r="BS71" s="795">
        <f>IF(OR($C$83=$AR71,$D$83=$AR71),Schweine_Werte!$M71*0.5,IF(OR($C$83&gt;$AR71,$D$83&lt;$AR71),0,Schweine_Werte!$M71))</f>
        <v>0</v>
      </c>
      <c r="BT71" s="797">
        <f>IF(OR($C$92=$AR71,$D$92=$AR71),Schweine_Werte!$M71*0.5,IF(OR($C$92&gt;$AR71,$D$92&lt;$AR71),0,Schweine_Werte!$M71))</f>
        <v>0</v>
      </c>
      <c r="BU71" s="797">
        <f>IF(OR($C$101=$AR71,$D$101=$AR71),Schweine_Werte!$M71*0.5,IF(OR($C$101&gt;$AR71,$D$101&lt;$AR71),0,Schweine_Werte!$M71))</f>
        <v>0</v>
      </c>
      <c r="BV71" s="797">
        <f>IF(OR($C$110=$AR71,$D$110=$AR71),Schweine_Werte!$M71*0.5,IF(OR($C$110&gt;$AR71,$D$110&lt;$AR71),0,Schweine_Werte!$M71))</f>
        <v>0</v>
      </c>
      <c r="BW71" s="797">
        <f>IF(OR(8=$AR71,$E$127=$AR71),Schweine_Werte!$M71*0.5,IF(OR(8&gt;$AR71,$E$127&lt;$AR71),0,Schweine_Werte!$M71))</f>
        <v>1.1057456648864845</v>
      </c>
      <c r="BX71" s="797">
        <f>IF(OR(8=$AR71,$E$145=$AR71),Schweine_Werte!$M71*0.5,IF(OR(8&gt;$AR71,$E$145&lt;$AR71),0,Schweine_Werte!$M71))</f>
        <v>1.1057456648864845</v>
      </c>
      <c r="BY71" s="795">
        <f>IF(OR($C$74=$AR71,$D$74=$AR71),Schweine_Werte!$O71*0.5,IF(OR($C$74&gt;$AR71,$D$74&lt;$AR71),0,Schweine_Werte!$O71))</f>
        <v>0</v>
      </c>
      <c r="BZ71" s="795">
        <f>IF(OR($C$83=$AR71,$D$83=$AR71),Schweine_Werte!$O71*0.5,IF(OR($C$83&gt;$AR71,$D$83&lt;$AR71),0,Schweine_Werte!$O71))</f>
        <v>0</v>
      </c>
      <c r="CA71" s="797">
        <f>IF(OR($C$92=$AR71,$D$92=$AR71),Schweine_Werte!$O71*0.5,IF(OR($C$92&gt;$AR71,$D$92&lt;$AR71),0,Schweine_Werte!$O71))</f>
        <v>0</v>
      </c>
      <c r="CB71" s="797">
        <f>IF(OR($C$101=$AR71,$D$101=$AR71),Schweine_Werte!$O71*0.5,IF(OR($C$101&gt;$AR71,$D$101&lt;$AR71),0,Schweine_Werte!$O71))</f>
        <v>0</v>
      </c>
      <c r="CC71" s="797">
        <f>IF(OR($C$110=$AR71,$D$110=$AR71),Schweine_Werte!$O71*0.5,IF(OR($C$110&gt;$AR71,$D$110&lt;$AR71),0,Schweine_Werte!$O71))</f>
        <v>0</v>
      </c>
    </row>
    <row r="72" spans="1:81" ht="15.6" x14ac:dyDescent="0.3">
      <c r="F72" s="357"/>
      <c r="G72" s="1626" t="s">
        <v>7713</v>
      </c>
      <c r="H72" s="1627"/>
      <c r="I72" s="1628"/>
      <c r="J72" s="1039" t="s">
        <v>596</v>
      </c>
      <c r="K72" s="1039" t="s">
        <v>226</v>
      </c>
      <c r="L72" s="1621" t="s">
        <v>7714</v>
      </c>
      <c r="M72" s="1622"/>
      <c r="N72" s="1623"/>
      <c r="O72" s="1621" t="s">
        <v>7715</v>
      </c>
      <c r="P72" s="1623"/>
      <c r="Q72" s="1621" t="s">
        <v>7770</v>
      </c>
      <c r="R72" s="1622"/>
      <c r="S72" s="1623"/>
      <c r="T72" s="1621" t="s">
        <v>7716</v>
      </c>
      <c r="U72" s="1622"/>
      <c r="V72" s="1623"/>
      <c r="W72" s="1621" t="s">
        <v>7798</v>
      </c>
      <c r="X72" s="1622"/>
      <c r="Y72" s="1623"/>
      <c r="Z72" s="1632" t="s">
        <v>7799</v>
      </c>
      <c r="AA72" s="1633"/>
      <c r="AB72" s="1632" t="s">
        <v>7800</v>
      </c>
      <c r="AC72" s="1633"/>
      <c r="AD72" s="1632" t="s">
        <v>7801</v>
      </c>
      <c r="AE72" s="1633"/>
      <c r="AF72" s="1040" t="s">
        <v>7910</v>
      </c>
      <c r="AG72" s="1624" t="s">
        <v>7804</v>
      </c>
      <c r="AH72" s="1625"/>
      <c r="AI72" s="1148" t="s">
        <v>7911</v>
      </c>
      <c r="AJ72" s="1632" t="s">
        <v>7799</v>
      </c>
      <c r="AK72" s="1633"/>
      <c r="AL72" s="1632" t="s">
        <v>7800</v>
      </c>
      <c r="AM72" s="1633"/>
      <c r="AN72" s="1632" t="s">
        <v>7801</v>
      </c>
      <c r="AO72" s="1633"/>
      <c r="AR72" s="806">
        <v>76</v>
      </c>
      <c r="AS72" s="795">
        <f>IF(OR($C$12=$AR72,$D$12=$AR72),Schweine_Werte!$C72*0.5,IF(OR($C$12&gt;$AR72,$D$12&lt;$AR72),0,Schweine_Werte!$C72))</f>
        <v>0</v>
      </c>
      <c r="AT72" s="730">
        <f>IF(OR($C$24=$AR72,$D$24=$AR72),Schweine_Werte!$C72*0.5,IF(OR($C$24&gt;$AR72,$D$24&lt;$AR72),0,Schweine_Werte!$C72))</f>
        <v>0</v>
      </c>
      <c r="AU72" s="795">
        <f>IF(OR($C$36=$AR72,$D$36=$AR72),Schweine_Werte!$C72*0.5,IF(OR($C$36&gt;$AR72,$D$36&lt;$AR72),0,Schweine_Werte!$C72))</f>
        <v>0</v>
      </c>
      <c r="AV72" s="795">
        <f>IF(OR($C$48=$AR72,$D$48=$AR72),Schweine_Werte!$C72*0.5,IF(OR($C$48&gt;$AR72,$D$48&lt;$AR72),0,Schweine_Werte!$C72))</f>
        <v>0</v>
      </c>
      <c r="AW72" s="795">
        <f>IF(OR($C$60=$AR72,$D$60=$AR72),Schweine_Werte!$C72*0.5,IF(OR($C$60&gt;$AR72,$D$60&lt;$AR72),0,Schweine_Werte!$C72))</f>
        <v>0</v>
      </c>
      <c r="AX72" s="795">
        <f>IF(OR($C$12=$AR72,$D$12=$AR72),Schweine_Werte!$E72*0.5,IF(OR($C$12&gt;$AR72,$D$12&lt;$AR72),0,Schweine_Werte!$E72))</f>
        <v>0</v>
      </c>
      <c r="AY72" s="730">
        <f>IF(OR($C$24=$AR72,$D$24=$AR72),Schweine_Werte!$E72*0.5,IF(OR($C$24&gt;$AR72,$D$24&lt;$AR72),0,Schweine_Werte!$E72))</f>
        <v>0</v>
      </c>
      <c r="AZ72" s="730">
        <f>IF(OR($C$36=$AR72,$D$36=$AR72),Schweine_Werte!$E72*0.5,IF(OR($C$36&gt;$AR72,$D$36&lt;$AR72),0,Schweine_Werte!$E72))</f>
        <v>0</v>
      </c>
      <c r="BA72" s="730">
        <f>IF(OR($C$48=$AR72,$D$48=$AR72),Schweine_Werte!$E72*0.5,IF(OR($C$48&gt;$AR72,$D$48&lt;$AR72),0,Schweine_Werte!$E72))</f>
        <v>0</v>
      </c>
      <c r="BB72" s="730">
        <f>IF(OR($C$60=$AR72,$D$60=$AR72),Schweine_Werte!$E72*0.5,IF(OR($C$60&gt;$AR72,$D$60&lt;$AR72),0,Schweine_Werte!$E72))</f>
        <v>0</v>
      </c>
      <c r="BC72" s="795">
        <f>IF(OR($C$12=$AR72,$D$12=$AR72),Schweine_Werte!$G72*0.5,IF(OR($C$12&gt;$AR72,$D$12&lt;$AR72),0,Schweine_Werte!$G72))</f>
        <v>0</v>
      </c>
      <c r="BD72" s="730">
        <f>IF(OR($C$24=$AR72,$D$24=$AR72),Schweine_Werte!$G72*0.5,IF(OR($C$24&gt;$AR72,$D$24&lt;$AR72),0,Schweine_Werte!$G72))</f>
        <v>0</v>
      </c>
      <c r="BE72" s="730">
        <f>IF(OR($C$36=$AR72,$D$36=$AR72),Schweine_Werte!$G72*0.5,IF(OR($C$36&gt;$AR72,$D$36&lt;$AR72),0,Schweine_Werte!$G72))</f>
        <v>0</v>
      </c>
      <c r="BF72" s="730">
        <f>IF(OR($C$48=$AR72,$D$48=$AR72),Schweine_Werte!$G72*0.5,IF(OR($C$48&gt;$AR72,$D$48&lt;$AR72),0,Schweine_Werte!$G72))</f>
        <v>0</v>
      </c>
      <c r="BG72" s="730">
        <f>IF(OR($C$60=$AR72,$D$60=$AR72),Schweine_Werte!$G72*0.5,IF(OR($C$60&gt;$AR72,$D$60&lt;$AR72),0,Schweine_Werte!$G72))</f>
        <v>0</v>
      </c>
      <c r="BH72" s="795">
        <f>IF(OR($C$12=$AR72,$D$12=$AR72),Schweine_Werte!$I72*0.5,IF(OR($C$12&gt;$AR72,$D$12&lt;$AR72),0,Schweine_Werte!$I72))</f>
        <v>0</v>
      </c>
      <c r="BI72" s="730">
        <f>IF(OR($C$24=$AR72,$D$24=$AR72),Schweine_Werte!$I72*0.5,IF(OR($C$24&gt;$AR72,$D$24&lt;$AR72),0,Schweine_Werte!$I72))</f>
        <v>0</v>
      </c>
      <c r="BJ72" s="730">
        <f>IF(OR($C$36=$AR72,$D$36=$AR72),Schweine_Werte!$I72*0.5,IF(OR($C$36&gt;$AR72,$D$36&lt;$AR72),0,Schweine_Werte!$I72))</f>
        <v>0</v>
      </c>
      <c r="BK72" s="730">
        <f>IF(OR($C$48=$AR72,$D$48=$AR72),Schweine_Werte!$I72*0.5,IF(OR($C$48&gt;$AR72,$D$48&lt;$AR72),0,Schweine_Werte!$I72))</f>
        <v>0</v>
      </c>
      <c r="BL72" s="730">
        <f>IF(OR($C$60=$AR72,$D$60=$AR72),Schweine_Werte!$I72*0.5,IF(OR($C$60&gt;$AR72,$D$60&lt;$AR72),0,Schweine_Werte!$I72))</f>
        <v>0</v>
      </c>
      <c r="BM72" s="795"/>
      <c r="BN72" s="730"/>
      <c r="BO72" s="730"/>
      <c r="BP72" s="730"/>
      <c r="BQ72" s="730"/>
      <c r="BR72" s="795">
        <f>IF(OR($C$74=$AR72,$D$74=$AR72),Schweine_Werte!$M72*0.5,IF(OR($C$74&gt;$AR72,$D$74&lt;$AR72),0,Schweine_Werte!$M72))</f>
        <v>0</v>
      </c>
      <c r="BS72" s="795">
        <f>IF(OR($C$83=$AR72,$D$83=$AR72),Schweine_Werte!$M72*0.5,IF(OR($C$83&gt;$AR72,$D$83&lt;$AR72),0,Schweine_Werte!$M72))</f>
        <v>0</v>
      </c>
      <c r="BT72" s="797">
        <f>IF(OR($C$92=$AR72,$D$92=$AR72),Schweine_Werte!$M72*0.5,IF(OR($C$92&gt;$AR72,$D$92&lt;$AR72),0,Schweine_Werte!$M72))</f>
        <v>0</v>
      </c>
      <c r="BU72" s="797">
        <f>IF(OR($C$101=$AR72,$D$101=$AR72),Schweine_Werte!$M72*0.5,IF(OR($C$101&gt;$AR72,$D$101&lt;$AR72),0,Schweine_Werte!$M72))</f>
        <v>0</v>
      </c>
      <c r="BV72" s="797">
        <f>IF(OR($C$110=$AR72,$D$110=$AR72),Schweine_Werte!$M72*0.5,IF(OR($C$110&gt;$AR72,$D$110&lt;$AR72),0,Schweine_Werte!$M72))</f>
        <v>0</v>
      </c>
      <c r="BW72" s="797">
        <f>IF(OR(8=$AR72,$E$127=$AR72),Schweine_Werte!$M72*0.5,IF(OR(8&gt;$AR72,$E$127&lt;$AR72),0,Schweine_Werte!$M72))</f>
        <v>1.1068451513476441</v>
      </c>
      <c r="BX72" s="797">
        <f>IF(OR(8=$AR72,$E$145=$AR72),Schweine_Werte!$M72*0.5,IF(OR(8&gt;$AR72,$E$145&lt;$AR72),0,Schweine_Werte!$M72))</f>
        <v>1.1068451513476441</v>
      </c>
      <c r="BY72" s="795">
        <f>IF(OR($C$74=$AR72,$D$74=$AR72),Schweine_Werte!$O72*0.5,IF(OR($C$74&gt;$AR72,$D$74&lt;$AR72),0,Schweine_Werte!$O72))</f>
        <v>0</v>
      </c>
      <c r="BZ72" s="795">
        <f>IF(OR($C$83=$AR72,$D$83=$AR72),Schweine_Werte!$O72*0.5,IF(OR($C$83&gt;$AR72,$D$83&lt;$AR72),0,Schweine_Werte!$O72))</f>
        <v>0</v>
      </c>
      <c r="CA72" s="797">
        <f>IF(OR($C$92=$AR72,$D$92=$AR72),Schweine_Werte!$O72*0.5,IF(OR($C$92&gt;$AR72,$D$92&lt;$AR72),0,Schweine_Werte!$O72))</f>
        <v>0</v>
      </c>
      <c r="CB72" s="797">
        <f>IF(OR($C$101=$AR72,$D$101=$AR72),Schweine_Werte!$O72*0.5,IF(OR($C$101&gt;$AR72,$D$101&lt;$AR72),0,Schweine_Werte!$O72))</f>
        <v>0</v>
      </c>
      <c r="CC72" s="797">
        <f>IF(OR($C$110=$AR72,$D$110=$AR72),Schweine_Werte!$O72*0.5,IF(OR($C$110&gt;$AR72,$D$110&lt;$AR72),0,Schweine_Werte!$O72))</f>
        <v>0</v>
      </c>
    </row>
    <row r="73" spans="1:81" ht="18" x14ac:dyDescent="0.25">
      <c r="B73" s="800" t="s">
        <v>7717</v>
      </c>
      <c r="C73" s="801" t="s">
        <v>7657</v>
      </c>
      <c r="D73" s="801" t="s">
        <v>7718</v>
      </c>
      <c r="E73" s="801" t="s">
        <v>7659</v>
      </c>
      <c r="F73" s="747" t="s">
        <v>196</v>
      </c>
      <c r="G73" s="675" t="s">
        <v>4</v>
      </c>
      <c r="H73" s="675" t="s">
        <v>7719</v>
      </c>
      <c r="I73" s="675" t="s">
        <v>7720</v>
      </c>
      <c r="J73" s="676" t="s">
        <v>7721</v>
      </c>
      <c r="K73" s="676" t="s">
        <v>7721</v>
      </c>
      <c r="L73" s="677" t="s">
        <v>39</v>
      </c>
      <c r="M73" s="677" t="s">
        <v>7722</v>
      </c>
      <c r="N73" s="677" t="s">
        <v>41</v>
      </c>
      <c r="O73" s="678" t="s">
        <v>0</v>
      </c>
      <c r="P73" s="678" t="s">
        <v>8</v>
      </c>
      <c r="Q73" s="677" t="s">
        <v>39</v>
      </c>
      <c r="R73" s="677" t="s">
        <v>40</v>
      </c>
      <c r="S73" s="677" t="s">
        <v>41</v>
      </c>
      <c r="T73" s="677" t="s">
        <v>39</v>
      </c>
      <c r="U73" s="677" t="s">
        <v>40</v>
      </c>
      <c r="V73" s="677" t="s">
        <v>41</v>
      </c>
      <c r="W73" s="676" t="s">
        <v>7696</v>
      </c>
      <c r="X73" s="676" t="s">
        <v>7697</v>
      </c>
      <c r="Y73" s="676" t="s">
        <v>7698</v>
      </c>
      <c r="Z73" s="802" t="s">
        <v>7802</v>
      </c>
      <c r="AA73" s="802" t="s">
        <v>7803</v>
      </c>
      <c r="AB73" s="802" t="s">
        <v>7802</v>
      </c>
      <c r="AC73" s="802" t="s">
        <v>7803</v>
      </c>
      <c r="AD73" s="802" t="s">
        <v>7802</v>
      </c>
      <c r="AE73" s="802" t="s">
        <v>7803</v>
      </c>
      <c r="AF73" s="802" t="s">
        <v>7912</v>
      </c>
      <c r="AG73" s="1049" t="s">
        <v>7913</v>
      </c>
      <c r="AH73" s="802" t="s">
        <v>7914</v>
      </c>
      <c r="AI73" s="802"/>
      <c r="AJ73" s="802" t="s">
        <v>7778</v>
      </c>
      <c r="AK73" s="802" t="s">
        <v>7805</v>
      </c>
      <c r="AL73" s="802" t="s">
        <v>7806</v>
      </c>
      <c r="AM73" s="802" t="s">
        <v>7807</v>
      </c>
      <c r="AN73" s="802" t="s">
        <v>7806</v>
      </c>
      <c r="AO73" s="802" t="s">
        <v>7808</v>
      </c>
      <c r="AR73" s="806">
        <v>77</v>
      </c>
      <c r="AS73" s="795">
        <f>IF(OR($C$12=$AR73,$D$12=$AR73),Schweine_Werte!$C73*0.5,IF(OR($C$12&gt;$AR73,$D$12&lt;$AR73),0,Schweine_Werte!$C73))</f>
        <v>0</v>
      </c>
      <c r="AT73" s="730">
        <f>IF(OR($C$24=$AR73,$D$24=$AR73),Schweine_Werte!$C73*0.5,IF(OR($C$24&gt;$AR73,$D$24&lt;$AR73),0,Schweine_Werte!$C73))</f>
        <v>0</v>
      </c>
      <c r="AU73" s="795">
        <f>IF(OR($C$36=$AR73,$D$36=$AR73),Schweine_Werte!$C73*0.5,IF(OR($C$36&gt;$AR73,$D$36&lt;$AR73),0,Schweine_Werte!$C73))</f>
        <v>0</v>
      </c>
      <c r="AV73" s="795">
        <f>IF(OR($C$48=$AR73,$D$48=$AR73),Schweine_Werte!$C73*0.5,IF(OR($C$48&gt;$AR73,$D$48&lt;$AR73),0,Schweine_Werte!$C73))</f>
        <v>0</v>
      </c>
      <c r="AW73" s="795">
        <f>IF(OR($C$60=$AR73,$D$60=$AR73),Schweine_Werte!$C73*0.5,IF(OR($C$60&gt;$AR73,$D$60&lt;$AR73),0,Schweine_Werte!$C73))</f>
        <v>0</v>
      </c>
      <c r="AX73" s="795">
        <f>IF(OR($C$12=$AR73,$D$12=$AR73),Schweine_Werte!$E73*0.5,IF(OR($C$12&gt;$AR73,$D$12&lt;$AR73),0,Schweine_Werte!$E73))</f>
        <v>0</v>
      </c>
      <c r="AY73" s="730">
        <f>IF(OR($C$24=$AR73,$D$24=$AR73),Schweine_Werte!$E73*0.5,IF(OR($C$24&gt;$AR73,$D$24&lt;$AR73),0,Schweine_Werte!$E73))</f>
        <v>0</v>
      </c>
      <c r="AZ73" s="730">
        <f>IF(OR($C$36=$AR73,$D$36=$AR73),Schweine_Werte!$E73*0.5,IF(OR($C$36&gt;$AR73,$D$36&lt;$AR73),0,Schweine_Werte!$E73))</f>
        <v>0</v>
      </c>
      <c r="BA73" s="730">
        <f>IF(OR($C$48=$AR73,$D$48=$AR73),Schweine_Werte!$E73*0.5,IF(OR($C$48&gt;$AR73,$D$48&lt;$AR73),0,Schweine_Werte!$E73))</f>
        <v>0</v>
      </c>
      <c r="BB73" s="730">
        <f>IF(OR($C$60=$AR73,$D$60=$AR73),Schweine_Werte!$E73*0.5,IF(OR($C$60&gt;$AR73,$D$60&lt;$AR73),0,Schweine_Werte!$E73))</f>
        <v>0</v>
      </c>
      <c r="BC73" s="795">
        <f>IF(OR($C$12=$AR73,$D$12=$AR73),Schweine_Werte!$G73*0.5,IF(OR($C$12&gt;$AR73,$D$12&lt;$AR73),0,Schweine_Werte!$G73))</f>
        <v>0</v>
      </c>
      <c r="BD73" s="730">
        <f>IF(OR($C$24=$AR73,$D$24=$AR73),Schweine_Werte!$G73*0.5,IF(OR($C$24&gt;$AR73,$D$24&lt;$AR73),0,Schweine_Werte!$G73))</f>
        <v>0</v>
      </c>
      <c r="BE73" s="730">
        <f>IF(OR($C$36=$AR73,$D$36=$AR73),Schweine_Werte!$G73*0.5,IF(OR($C$36&gt;$AR73,$D$36&lt;$AR73),0,Schweine_Werte!$G73))</f>
        <v>0</v>
      </c>
      <c r="BF73" s="730">
        <f>IF(OR($C$48=$AR73,$D$48=$AR73),Schweine_Werte!$G73*0.5,IF(OR($C$48&gt;$AR73,$D$48&lt;$AR73),0,Schweine_Werte!$G73))</f>
        <v>0</v>
      </c>
      <c r="BG73" s="730">
        <f>IF(OR($C$60=$AR73,$D$60=$AR73),Schweine_Werte!$G73*0.5,IF(OR($C$60&gt;$AR73,$D$60&lt;$AR73),0,Schweine_Werte!$G73))</f>
        <v>0</v>
      </c>
      <c r="BH73" s="795">
        <f>IF(OR($C$12=$AR73,$D$12=$AR73),Schweine_Werte!$I73*0.5,IF(OR($C$12&gt;$AR73,$D$12&lt;$AR73),0,Schweine_Werte!$I73))</f>
        <v>0</v>
      </c>
      <c r="BI73" s="730">
        <f>IF(OR($C$24=$AR73,$D$24=$AR73),Schweine_Werte!$I73*0.5,IF(OR($C$24&gt;$AR73,$D$24&lt;$AR73),0,Schweine_Werte!$I73))</f>
        <v>0</v>
      </c>
      <c r="BJ73" s="730">
        <f>IF(OR($C$36=$AR73,$D$36=$AR73),Schweine_Werte!$I73*0.5,IF(OR($C$36&gt;$AR73,$D$36&lt;$AR73),0,Schweine_Werte!$I73))</f>
        <v>0</v>
      </c>
      <c r="BK73" s="730">
        <f>IF(OR($C$48=$AR73,$D$48=$AR73),Schweine_Werte!$I73*0.5,IF(OR($C$48&gt;$AR73,$D$48&lt;$AR73),0,Schweine_Werte!$I73))</f>
        <v>0</v>
      </c>
      <c r="BL73" s="730">
        <f>IF(OR($C$60=$AR73,$D$60=$AR73),Schweine_Werte!$I73*0.5,IF(OR($C$60&gt;$AR73,$D$60&lt;$AR73),0,Schweine_Werte!$I73))</f>
        <v>0</v>
      </c>
      <c r="BM73" s="795"/>
      <c r="BN73" s="730"/>
      <c r="BO73" s="730"/>
      <c r="BP73" s="730"/>
      <c r="BQ73" s="730"/>
      <c r="BR73" s="795">
        <f>IF(OR($C$74=$AR73,$D$74=$AR73),Schweine_Werte!$M73*0.5,IF(OR($C$74&gt;$AR73,$D$74&lt;$AR73),0,Schweine_Werte!$M73))</f>
        <v>0</v>
      </c>
      <c r="BS73" s="795">
        <f>IF(OR($C$83=$AR73,$D$83=$AR73),Schweine_Werte!$M73*0.5,IF(OR($C$83&gt;$AR73,$D$83&lt;$AR73),0,Schweine_Werte!$M73))</f>
        <v>0</v>
      </c>
      <c r="BT73" s="797">
        <f>IF(OR($C$92=$AR73,$D$92=$AR73),Schweine_Werte!$M73*0.5,IF(OR($C$92&gt;$AR73,$D$92&lt;$AR73),0,Schweine_Werte!$M73))</f>
        <v>0</v>
      </c>
      <c r="BU73" s="797">
        <f>IF(OR($C$101=$AR73,$D$101=$AR73),Schweine_Werte!$M73*0.5,IF(OR($C$101&gt;$AR73,$D$101&lt;$AR73),0,Schweine_Werte!$M73))</f>
        <v>0</v>
      </c>
      <c r="BV73" s="797">
        <f>IF(OR($C$110=$AR73,$D$110=$AR73),Schweine_Werte!$M73*0.5,IF(OR($C$110&gt;$AR73,$D$110&lt;$AR73),0,Schweine_Werte!$M73))</f>
        <v>0</v>
      </c>
      <c r="BW73" s="797">
        <f>IF(OR(8=$AR73,$E$127=$AR73),Schweine_Werte!$M73*0.5,IF(OR(8&gt;$AR73,$E$127&lt;$AR73),0,Schweine_Werte!$M73))</f>
        <v>1.1083114389889972</v>
      </c>
      <c r="BX73" s="797">
        <f>IF(OR(8=$AR73,$E$145=$AR73),Schweine_Werte!$M73*0.5,IF(OR(8&gt;$AR73,$E$145&lt;$AR73),0,Schweine_Werte!$M73))</f>
        <v>1.1083114389889972</v>
      </c>
      <c r="BY73" s="795">
        <f>IF(OR($C$74=$AR73,$D$74=$AR73),Schweine_Werte!$O73*0.5,IF(OR($C$74&gt;$AR73,$D$74&lt;$AR73),0,Schweine_Werte!$O73))</f>
        <v>0</v>
      </c>
      <c r="BZ73" s="795">
        <f>IF(OR($C$83=$AR73,$D$83=$AR73),Schweine_Werte!$O73*0.5,IF(OR($C$83&gt;$AR73,$D$83&lt;$AR73),0,Schweine_Werte!$O73))</f>
        <v>0</v>
      </c>
      <c r="CA73" s="797">
        <f>IF(OR($C$92=$AR73,$D$92=$AR73),Schweine_Werte!$O73*0.5,IF(OR($C$92&gt;$AR73,$D$92&lt;$AR73),0,Schweine_Werte!$O73))</f>
        <v>0</v>
      </c>
      <c r="CB73" s="797">
        <f>IF(OR($C$101=$AR73,$D$101=$AR73),Schweine_Werte!$O73*0.5,IF(OR($C$101&gt;$AR73,$D$101&lt;$AR73),0,Schweine_Werte!$O73))</f>
        <v>0</v>
      </c>
      <c r="CC73" s="797">
        <f>IF(OR($C$110=$AR73,$D$110=$AR73),Schweine_Werte!$O73*0.5,IF(OR($C$110&gt;$AR73,$D$110&lt;$AR73),0,Schweine_Werte!$O73))</f>
        <v>0</v>
      </c>
    </row>
    <row r="74" spans="1:81" ht="15.6" x14ac:dyDescent="0.3">
      <c r="A74" t="s">
        <v>7791</v>
      </c>
      <c r="B74" s="816" t="str">
        <f>IF('Abweichende Werte'!X5=1,'Abweichende Werte'!F5,"")</f>
        <v/>
      </c>
      <c r="C74" s="679" t="str">
        <f>IF('Abweichende Werte'!X5=1,'Abweichende Werte'!J5,"")</f>
        <v/>
      </c>
      <c r="D74" s="680" t="str">
        <f>IF('Abweichende Werte'!X5=1,'Abweichende Werte'!M5,"")</f>
        <v/>
      </c>
      <c r="E74" s="680" t="str">
        <f>IF('Abweichende Werte'!X5=1,'Abweichende Werte'!P5,"")</f>
        <v/>
      </c>
      <c r="F74" s="803" t="e">
        <f>IF($E74&lt;=$E70,F70,IF(AND($E74&gt;$E70,$E74&lt;=$E71),F70+(F71-F70)/($E71-$E70)*($E74-$E70),IF($E74&gt;$E71,F71)))</f>
        <v>#VALUE!</v>
      </c>
      <c r="G74" s="803" t="e">
        <f t="shared" ref="G74:N74" si="41">IF($E74&lt;=$E70,G70,IF(AND($E74&gt;$E70,$E74&lt;=$E71),G70+(G71-G70)/($E71-$E70)*($E74-$E70),IF($E74&gt;$E71,G71)))</f>
        <v>#VALUE!</v>
      </c>
      <c r="H74" s="803" t="e">
        <f t="shared" si="41"/>
        <v>#VALUE!</v>
      </c>
      <c r="I74" s="803" t="e">
        <f t="shared" si="41"/>
        <v>#VALUE!</v>
      </c>
      <c r="J74" s="803" t="e">
        <f t="shared" si="41"/>
        <v>#VALUE!</v>
      </c>
      <c r="K74" s="803" t="e">
        <f t="shared" si="41"/>
        <v>#VALUE!</v>
      </c>
      <c r="L74" s="803" t="e">
        <f t="shared" si="41"/>
        <v>#VALUE!</v>
      </c>
      <c r="M74" s="803" t="e">
        <f t="shared" si="41"/>
        <v>#VALUE!</v>
      </c>
      <c r="N74" s="803" t="e">
        <f t="shared" si="41"/>
        <v>#VALUE!</v>
      </c>
      <c r="O74" s="804">
        <v>5.5</v>
      </c>
      <c r="P74" s="804">
        <v>1.8</v>
      </c>
      <c r="Q74" s="803" t="e">
        <f t="shared" ref="Q74:Z74" si="42">IF($E74&lt;=$E70,Q70,IF(AND($E74&gt;$E70,$E74&lt;=$E71),Q70+(Q71-Q70)/($E71-$E70)*($E74-$E70),IF($E74&gt;$E71,Q71)))</f>
        <v>#VALUE!</v>
      </c>
      <c r="R74" s="803" t="e">
        <f t="shared" si="42"/>
        <v>#VALUE!</v>
      </c>
      <c r="S74" s="803" t="e">
        <f t="shared" si="42"/>
        <v>#VALUE!</v>
      </c>
      <c r="T74" s="803" t="e">
        <f t="shared" si="42"/>
        <v>#VALUE!</v>
      </c>
      <c r="U74" s="803" t="e">
        <f t="shared" si="42"/>
        <v>#VALUE!</v>
      </c>
      <c r="V74" s="803" t="e">
        <f t="shared" si="42"/>
        <v>#VALUE!</v>
      </c>
      <c r="W74" s="803" t="e">
        <f t="shared" si="42"/>
        <v>#VALUE!</v>
      </c>
      <c r="X74" s="803" t="e">
        <f t="shared" si="42"/>
        <v>#VALUE!</v>
      </c>
      <c r="Y74" s="803" t="e">
        <f t="shared" si="42"/>
        <v>#VALUE!</v>
      </c>
      <c r="Z74" s="803" t="e">
        <f t="shared" si="42"/>
        <v>#VALUE!</v>
      </c>
      <c r="AA74" s="805" t="e">
        <f>+Z74*6.25</f>
        <v>#VALUE!</v>
      </c>
      <c r="AB74" s="803" t="e">
        <f>IF($E74&lt;=$E70,AB70,IF(AND($E74&gt;$E70,$E74&lt;=$E71),AB70+(AB71-AB70)/($E71-$E70)*($E74-$E70),IF($E74&gt;$E71,AB71)))</f>
        <v>#VALUE!</v>
      </c>
      <c r="AC74" s="805" t="e">
        <f>+AB74*6.25</f>
        <v>#VALUE!</v>
      </c>
      <c r="AD74" s="803" t="e">
        <f>IF($E74&lt;=$E70,AD70,IF(AND($E74&gt;$E70,$E74&lt;=$E71),AD70+(AD71-AD70)/($E71-$E70)*($E74-$E70),IF($E74&gt;$E71,AD71)))</f>
        <v>#VALUE!</v>
      </c>
      <c r="AE74" s="805" t="e">
        <f>+AD74*6.25</f>
        <v>#VALUE!</v>
      </c>
      <c r="AF74" s="805" t="e">
        <f>365/((D74-C74)/E74*1000)</f>
        <v>#VALUE!</v>
      </c>
      <c r="AG74" s="803" t="e">
        <f>IF($E74&lt;=$E70,AG70,IF(AND($E74&gt;$E70,$E74&lt;=$E71),AG70+(AG71-AG70)/($E71-$E70)*($E74-$E70),IF($E74&gt;$E71,AG71)))</f>
        <v>#VALUE!</v>
      </c>
      <c r="AH74" s="805" t="e">
        <f>+AG74/AF74</f>
        <v>#VALUE!</v>
      </c>
      <c r="AI74" s="805" t="e">
        <f>+CONCATENATE(ROUND(AH74/(D74-C74),1)," : 1")</f>
        <v>#VALUE!</v>
      </c>
      <c r="AJ74" s="803" t="e">
        <f>IF($E74&lt;=$E70,AJ70,IF(AND($E74&gt;$E70,$E74&lt;=$E71),AJ70+(AJ71-AJ70)/($E71-$E70)*($E74-$E70),IF($E74&gt;$E71,AJ71)))</f>
        <v>#VALUE!</v>
      </c>
      <c r="AK74" s="805" t="e">
        <f>+AJ74/2.291</f>
        <v>#VALUE!</v>
      </c>
      <c r="AL74" s="803" t="e">
        <f>IF($E74&lt;=$E70,AL70,IF(AND($E74&gt;$E70,$E74&lt;=$E71),AL70+(AL71-AL70)/($E71-$E70)*($E74-$E70),IF($E74&gt;$E71,AL71)))</f>
        <v>#VALUE!</v>
      </c>
      <c r="AM74" s="805" t="e">
        <f>+AL74/2.291</f>
        <v>#VALUE!</v>
      </c>
      <c r="AN74" s="803" t="e">
        <f>IF($E74&lt;=$E70,AN70,IF(AND($E74&gt;$E70,$E74&lt;=$E71),AN70+(AN71-AN70)/($E71-$E70)*($E74-$E70),IF($E74&gt;$E71,AN71)))</f>
        <v>#VALUE!</v>
      </c>
      <c r="AO74" s="805" t="e">
        <f>+AN74/2.291</f>
        <v>#VALUE!</v>
      </c>
      <c r="AR74" s="806">
        <v>78</v>
      </c>
      <c r="AS74" s="795">
        <f>IF(OR($C$12=$AR74,$D$12=$AR74),Schweine_Werte!$C74*0.5,IF(OR($C$12&gt;$AR74,$D$12&lt;$AR74),0,Schweine_Werte!$C74))</f>
        <v>0</v>
      </c>
      <c r="AT74" s="730">
        <f>IF(OR($C$24=$AR74,$D$24=$AR74),Schweine_Werte!$C74*0.5,IF(OR($C$24&gt;$AR74,$D$24&lt;$AR74),0,Schweine_Werte!$C74))</f>
        <v>0</v>
      </c>
      <c r="AU74" s="795">
        <f>IF(OR($C$36=$AR74,$D$36=$AR74),Schweine_Werte!$C74*0.5,IF(OR($C$36&gt;$AR74,$D$36&lt;$AR74),0,Schweine_Werte!$C74))</f>
        <v>0</v>
      </c>
      <c r="AV74" s="795">
        <f>IF(OR($C$48=$AR74,$D$48=$AR74),Schweine_Werte!$C74*0.5,IF(OR($C$48&gt;$AR74,$D$48&lt;$AR74),0,Schweine_Werte!$C74))</f>
        <v>0</v>
      </c>
      <c r="AW74" s="795">
        <f>IF(OR($C$60=$AR74,$D$60=$AR74),Schweine_Werte!$C74*0.5,IF(OR($C$60&gt;$AR74,$D$60&lt;$AR74),0,Schweine_Werte!$C74))</f>
        <v>0</v>
      </c>
      <c r="AX74" s="795">
        <f>IF(OR($C$12=$AR74,$D$12=$AR74),Schweine_Werte!$E74*0.5,IF(OR($C$12&gt;$AR74,$D$12&lt;$AR74),0,Schweine_Werte!$E74))</f>
        <v>0</v>
      </c>
      <c r="AY74" s="730">
        <f>IF(OR($C$24=$AR74,$D$24=$AR74),Schweine_Werte!$E74*0.5,IF(OR($C$24&gt;$AR74,$D$24&lt;$AR74),0,Schweine_Werte!$E74))</f>
        <v>0</v>
      </c>
      <c r="AZ74" s="730">
        <f>IF(OR($C$36=$AR74,$D$36=$AR74),Schweine_Werte!$E74*0.5,IF(OR($C$36&gt;$AR74,$D$36&lt;$AR74),0,Schweine_Werte!$E74))</f>
        <v>0</v>
      </c>
      <c r="BA74" s="730">
        <f>IF(OR($C$48=$AR74,$D$48=$AR74),Schweine_Werte!$E74*0.5,IF(OR($C$48&gt;$AR74,$D$48&lt;$AR74),0,Schweine_Werte!$E74))</f>
        <v>0</v>
      </c>
      <c r="BB74" s="730">
        <f>IF(OR($C$60=$AR74,$D$60=$AR74),Schweine_Werte!$E74*0.5,IF(OR($C$60&gt;$AR74,$D$60&lt;$AR74),0,Schweine_Werte!$E74))</f>
        <v>0</v>
      </c>
      <c r="BC74" s="795">
        <f>IF(OR($C$12=$AR74,$D$12=$AR74),Schweine_Werte!$G74*0.5,IF(OR($C$12&gt;$AR74,$D$12&lt;$AR74),0,Schweine_Werte!$G74))</f>
        <v>0</v>
      </c>
      <c r="BD74" s="730">
        <f>IF(OR($C$24=$AR74,$D$24=$AR74),Schweine_Werte!$G74*0.5,IF(OR($C$24&gt;$AR74,$D$24&lt;$AR74),0,Schweine_Werte!$G74))</f>
        <v>0</v>
      </c>
      <c r="BE74" s="730">
        <f>IF(OR($C$36=$AR74,$D$36=$AR74),Schweine_Werte!$G74*0.5,IF(OR($C$36&gt;$AR74,$D$36&lt;$AR74),0,Schweine_Werte!$G74))</f>
        <v>0</v>
      </c>
      <c r="BF74" s="730">
        <f>IF(OR($C$48=$AR74,$D$48=$AR74),Schweine_Werte!$G74*0.5,IF(OR($C$48&gt;$AR74,$D$48&lt;$AR74),0,Schweine_Werte!$G74))</f>
        <v>0</v>
      </c>
      <c r="BG74" s="730">
        <f>IF(OR($C$60=$AR74,$D$60=$AR74),Schweine_Werte!$G74*0.5,IF(OR($C$60&gt;$AR74,$D$60&lt;$AR74),0,Schweine_Werte!$G74))</f>
        <v>0</v>
      </c>
      <c r="BH74" s="795">
        <f>IF(OR($C$12=$AR74,$D$12=$AR74),Schweine_Werte!$I74*0.5,IF(OR($C$12&gt;$AR74,$D$12&lt;$AR74),0,Schweine_Werte!$I74))</f>
        <v>0</v>
      </c>
      <c r="BI74" s="730">
        <f>IF(OR($C$24=$AR74,$D$24=$AR74),Schweine_Werte!$I74*0.5,IF(OR($C$24&gt;$AR74,$D$24&lt;$AR74),0,Schweine_Werte!$I74))</f>
        <v>0</v>
      </c>
      <c r="BJ74" s="730">
        <f>IF(OR($C$36=$AR74,$D$36=$AR74),Schweine_Werte!$I74*0.5,IF(OR($C$36&gt;$AR74,$D$36&lt;$AR74),0,Schweine_Werte!$I74))</f>
        <v>0</v>
      </c>
      <c r="BK74" s="730">
        <f>IF(OR($C$48=$AR74,$D$48=$AR74),Schweine_Werte!$I74*0.5,IF(OR($C$48&gt;$AR74,$D$48&lt;$AR74),0,Schweine_Werte!$I74))</f>
        <v>0</v>
      </c>
      <c r="BL74" s="730">
        <f>IF(OR($C$60=$AR74,$D$60=$AR74),Schweine_Werte!$I74*0.5,IF(OR($C$60&gt;$AR74,$D$60&lt;$AR74),0,Schweine_Werte!$I74))</f>
        <v>0</v>
      </c>
      <c r="BM74" s="795"/>
      <c r="BN74" s="730"/>
      <c r="BO74" s="730"/>
      <c r="BP74" s="730"/>
      <c r="BQ74" s="730"/>
      <c r="BR74" s="795">
        <f>IF(OR($C$74=$AR74,$D$74=$AR74),Schweine_Werte!$M74*0.5,IF(OR($C$74&gt;$AR74,$D$74&lt;$AR74),0,Schweine_Werte!$M74))</f>
        <v>0</v>
      </c>
      <c r="BS74" s="795">
        <f>IF(OR($C$83=$AR74,$D$83=$AR74),Schweine_Werte!$M74*0.5,IF(OR($C$83&gt;$AR74,$D$83&lt;$AR74),0,Schweine_Werte!$M74))</f>
        <v>0</v>
      </c>
      <c r="BT74" s="797">
        <f>IF(OR($C$92=$AR74,$D$92=$AR74),Schweine_Werte!$M74*0.5,IF(OR($C$92&gt;$AR74,$D$92&lt;$AR74),0,Schweine_Werte!$M74))</f>
        <v>0</v>
      </c>
      <c r="BU74" s="797">
        <f>IF(OR($C$101=$AR74,$D$101=$AR74),Schweine_Werte!$M74*0.5,IF(OR($C$101&gt;$AR74,$D$101&lt;$AR74),0,Schweine_Werte!$M74))</f>
        <v>0</v>
      </c>
      <c r="BV74" s="797">
        <f>IF(OR($C$110=$AR74,$D$110=$AR74),Schweine_Werte!$M74*0.5,IF(OR($C$110&gt;$AR74,$D$110&lt;$AR74),0,Schweine_Werte!$M74))</f>
        <v>0</v>
      </c>
      <c r="BW74" s="797">
        <f>IF(OR(8=$AR74,$E$127=$AR74),Schweine_Werte!$M74*0.5,IF(OR(8&gt;$AR74,$E$127&lt;$AR74),0,Schweine_Werte!$M74))</f>
        <v>1.1101473792091585</v>
      </c>
      <c r="BX74" s="797">
        <f>IF(OR(8=$AR74,$E$145=$AR74),Schweine_Werte!$M74*0.5,IF(OR(8&gt;$AR74,$E$145&lt;$AR74),0,Schweine_Werte!$M74))</f>
        <v>1.1101473792091585</v>
      </c>
      <c r="BY74" s="795">
        <f>IF(OR($C$74=$AR74,$D$74=$AR74),Schweine_Werte!$O74*0.5,IF(OR($C$74&gt;$AR74,$D$74&lt;$AR74),0,Schweine_Werte!$O74))</f>
        <v>0</v>
      </c>
      <c r="BZ74" s="795">
        <f>IF(OR($C$83=$AR74,$D$83=$AR74),Schweine_Werte!$O74*0.5,IF(OR($C$83&gt;$AR74,$D$83&lt;$AR74),0,Schweine_Werte!$O74))</f>
        <v>0</v>
      </c>
      <c r="CA74" s="797">
        <f>IF(OR($C$92=$AR74,$D$92=$AR74),Schweine_Werte!$O74*0.5,IF(OR($C$92&gt;$AR74,$D$92&lt;$AR74),0,Schweine_Werte!$O74))</f>
        <v>0</v>
      </c>
      <c r="CB74" s="797">
        <f>IF(OR($C$101=$AR74,$D$101=$AR74),Schweine_Werte!$O74*0.5,IF(OR($C$101&gt;$AR74,$D$101&lt;$AR74),0,Schweine_Werte!$O74))</f>
        <v>0</v>
      </c>
      <c r="CC74" s="797">
        <f>IF(OR($C$110=$AR74,$D$110=$AR74),Schweine_Werte!$O74*0.5,IF(OR($C$110&gt;$AR74,$D$110&lt;$AR74),0,Schweine_Werte!$O74))</f>
        <v>0</v>
      </c>
    </row>
    <row r="75" spans="1:81" ht="14.4" x14ac:dyDescent="0.25">
      <c r="B75" s="705"/>
      <c r="C75" s="1634" t="s">
        <v>7726</v>
      </c>
      <c r="D75" s="1634"/>
      <c r="E75" s="730"/>
      <c r="F75" s="730"/>
      <c r="G75" s="730"/>
      <c r="AR75" s="806">
        <v>79</v>
      </c>
      <c r="AS75" s="795">
        <f>IF(OR($C$12=$AR75,$D$12=$AR75),Schweine_Werte!$C75*0.5,IF(OR($C$12&gt;$AR75,$D$12&lt;$AR75),0,Schweine_Werte!$C75))</f>
        <v>0</v>
      </c>
      <c r="AT75" s="730">
        <f>IF(OR($C$24=$AR75,$D$24=$AR75),Schweine_Werte!$C75*0.5,IF(OR($C$24&gt;$AR75,$D$24&lt;$AR75),0,Schweine_Werte!$C75))</f>
        <v>0</v>
      </c>
      <c r="AU75" s="795">
        <f>IF(OR($C$36=$AR75,$D$36=$AR75),Schweine_Werte!$C75*0.5,IF(OR($C$36&gt;$AR75,$D$36&lt;$AR75),0,Schweine_Werte!$C75))</f>
        <v>0</v>
      </c>
      <c r="AV75" s="795">
        <f>IF(OR($C$48=$AR75,$D$48=$AR75),Schweine_Werte!$C75*0.5,IF(OR($C$48&gt;$AR75,$D$48&lt;$AR75),0,Schweine_Werte!$C75))</f>
        <v>0</v>
      </c>
      <c r="AW75" s="795">
        <f>IF(OR($C$60=$AR75,$D$60=$AR75),Schweine_Werte!$C75*0.5,IF(OR($C$60&gt;$AR75,$D$60&lt;$AR75),0,Schweine_Werte!$C75))</f>
        <v>0</v>
      </c>
      <c r="AX75" s="795">
        <f>IF(OR($C$12=$AR75,$D$12=$AR75),Schweine_Werte!$E75*0.5,IF(OR($C$12&gt;$AR75,$D$12&lt;$AR75),0,Schweine_Werte!$E75))</f>
        <v>0</v>
      </c>
      <c r="AY75" s="730">
        <f>IF(OR($C$24=$AR75,$D$24=$AR75),Schweine_Werte!$E75*0.5,IF(OR($C$24&gt;$AR75,$D$24&lt;$AR75),0,Schweine_Werte!$E75))</f>
        <v>0</v>
      </c>
      <c r="AZ75" s="730">
        <f>IF(OR($C$36=$AR75,$D$36=$AR75),Schweine_Werte!$E75*0.5,IF(OR($C$36&gt;$AR75,$D$36&lt;$AR75),0,Schweine_Werte!$E75))</f>
        <v>0</v>
      </c>
      <c r="BA75" s="730">
        <f>IF(OR($C$48=$AR75,$D$48=$AR75),Schweine_Werte!$E75*0.5,IF(OR($C$48&gt;$AR75,$D$48&lt;$AR75),0,Schweine_Werte!$E75))</f>
        <v>0</v>
      </c>
      <c r="BB75" s="730">
        <f>IF(OR($C$60=$AR75,$D$60=$AR75),Schweine_Werte!$E75*0.5,IF(OR($C$60&gt;$AR75,$D$60&lt;$AR75),0,Schweine_Werte!$E75))</f>
        <v>0</v>
      </c>
      <c r="BC75" s="795">
        <f>IF(OR($C$12=$AR75,$D$12=$AR75),Schweine_Werte!$G75*0.5,IF(OR($C$12&gt;$AR75,$D$12&lt;$AR75),0,Schweine_Werte!$G75))</f>
        <v>0</v>
      </c>
      <c r="BD75" s="730">
        <f>IF(OR($C$24=$AR75,$D$24=$AR75),Schweine_Werte!$G75*0.5,IF(OR($C$24&gt;$AR75,$D$24&lt;$AR75),0,Schweine_Werte!$G75))</f>
        <v>0</v>
      </c>
      <c r="BE75" s="730">
        <f>IF(OR($C$36=$AR75,$D$36=$AR75),Schweine_Werte!$G75*0.5,IF(OR($C$36&gt;$AR75,$D$36&lt;$AR75),0,Schweine_Werte!$G75))</f>
        <v>0</v>
      </c>
      <c r="BF75" s="730">
        <f>IF(OR($C$48=$AR75,$D$48=$AR75),Schweine_Werte!$G75*0.5,IF(OR($C$48&gt;$AR75,$D$48&lt;$AR75),0,Schweine_Werte!$G75))</f>
        <v>0</v>
      </c>
      <c r="BG75" s="730">
        <f>IF(OR($C$60=$AR75,$D$60=$AR75),Schweine_Werte!$G75*0.5,IF(OR($C$60&gt;$AR75,$D$60&lt;$AR75),0,Schweine_Werte!$G75))</f>
        <v>0</v>
      </c>
      <c r="BH75" s="795">
        <f>IF(OR($C$12=$AR75,$D$12=$AR75),Schweine_Werte!$I75*0.5,IF(OR($C$12&gt;$AR75,$D$12&lt;$AR75),0,Schweine_Werte!$I75))</f>
        <v>0</v>
      </c>
      <c r="BI75" s="730">
        <f>IF(OR($C$24=$AR75,$D$24=$AR75),Schweine_Werte!$I75*0.5,IF(OR($C$24&gt;$AR75,$D$24&lt;$AR75),0,Schweine_Werte!$I75))</f>
        <v>0</v>
      </c>
      <c r="BJ75" s="730">
        <f>IF(OR($C$36=$AR75,$D$36=$AR75),Schweine_Werte!$I75*0.5,IF(OR($C$36&gt;$AR75,$D$36&lt;$AR75),0,Schweine_Werte!$I75))</f>
        <v>0</v>
      </c>
      <c r="BK75" s="730">
        <f>IF(OR($C$48=$AR75,$D$48=$AR75),Schweine_Werte!$I75*0.5,IF(OR($C$48&gt;$AR75,$D$48&lt;$AR75),0,Schweine_Werte!$I75))</f>
        <v>0</v>
      </c>
      <c r="BL75" s="730">
        <f>IF(OR($C$60=$AR75,$D$60=$AR75),Schweine_Werte!$I75*0.5,IF(OR($C$60&gt;$AR75,$D$60&lt;$AR75),0,Schweine_Werte!$I75))</f>
        <v>0</v>
      </c>
      <c r="BM75" s="795"/>
      <c r="BN75" s="730"/>
      <c r="BO75" s="730"/>
      <c r="BP75" s="730"/>
      <c r="BQ75" s="730"/>
      <c r="BR75" s="795">
        <f>IF(OR($C$74=$AR75,$D$74=$AR75),Schweine_Werte!$M75*0.5,IF(OR($C$74&gt;$AR75,$D$74&lt;$AR75),0,Schweine_Werte!$M75))</f>
        <v>0</v>
      </c>
      <c r="BS75" s="795">
        <f>IF(OR($C$83=$AR75,$D$83=$AR75),Schweine_Werte!$M75*0.5,IF(OR($C$83&gt;$AR75,$D$83&lt;$AR75),0,Schweine_Werte!$M75))</f>
        <v>0</v>
      </c>
      <c r="BT75" s="797">
        <f>IF(OR($C$92=$AR75,$D$92=$AR75),Schweine_Werte!$M75*0.5,IF(OR($C$92&gt;$AR75,$D$92&lt;$AR75),0,Schweine_Werte!$M75))</f>
        <v>0</v>
      </c>
      <c r="BU75" s="797">
        <f>IF(OR($C$101=$AR75,$D$101=$AR75),Schweine_Werte!$M75*0.5,IF(OR($C$101&gt;$AR75,$D$101&lt;$AR75),0,Schweine_Werte!$M75))</f>
        <v>0</v>
      </c>
      <c r="BV75" s="797">
        <f>IF(OR($C$110=$AR75,$D$110=$AR75),Schweine_Werte!$M75*0.5,IF(OR($C$110&gt;$AR75,$D$110&lt;$AR75),0,Schweine_Werte!$M75))</f>
        <v>0</v>
      </c>
      <c r="BW75" s="797">
        <f>IF(OR(8=$AR75,$E$127=$AR75),Schweine_Werte!$M75*0.5,IF(OR(8&gt;$AR75,$E$127&lt;$AR75),0,Schweine_Werte!$M75))</f>
        <v>1.1123565578886376</v>
      </c>
      <c r="BX75" s="797">
        <f>IF(OR(8=$AR75,$E$145=$AR75),Schweine_Werte!$M75*0.5,IF(OR(8&gt;$AR75,$E$145&lt;$AR75),0,Schweine_Werte!$M75))</f>
        <v>1.1123565578886376</v>
      </c>
      <c r="BY75" s="795">
        <f>IF(OR($C$74=$AR75,$D$74=$AR75),Schweine_Werte!$O75*0.5,IF(OR($C$74&gt;$AR75,$D$74&lt;$AR75),0,Schweine_Werte!$O75))</f>
        <v>0</v>
      </c>
      <c r="BZ75" s="795">
        <f>IF(OR($C$83=$AR75,$D$83=$AR75),Schweine_Werte!$O75*0.5,IF(OR($C$83&gt;$AR75,$D$83&lt;$AR75),0,Schweine_Werte!$O75))</f>
        <v>0</v>
      </c>
      <c r="CA75" s="797">
        <f>IF(OR($C$92=$AR75,$D$92=$AR75),Schweine_Werte!$O75*0.5,IF(OR($C$92&gt;$AR75,$D$92&lt;$AR75),0,Schweine_Werte!$O75))</f>
        <v>0</v>
      </c>
      <c r="CB75" s="797">
        <f>IF(OR($C$101=$AR75,$D$101=$AR75),Schweine_Werte!$O75*0.5,IF(OR($C$101&gt;$AR75,$D$101&lt;$AR75),0,Schweine_Werte!$O75))</f>
        <v>0</v>
      </c>
      <c r="CC75" s="797">
        <f>IF(OR($C$110=$AR75,$D$110=$AR75),Schweine_Werte!$O75*0.5,IF(OR($C$110&gt;$AR75,$D$110&lt;$AR75),0,Schweine_Werte!$O75))</f>
        <v>0</v>
      </c>
    </row>
    <row r="76" spans="1:81" x14ac:dyDescent="0.25">
      <c r="AR76" s="806">
        <v>80</v>
      </c>
      <c r="AS76" s="795">
        <f>IF(OR($C$12=$AR76,$D$12=$AR76),Schweine_Werte!$C76*0.5,IF(OR($C$12&gt;$AR76,$D$12&lt;$AR76),0,Schweine_Werte!$C76))</f>
        <v>0</v>
      </c>
      <c r="AT76" s="730">
        <f>IF(OR($C$24=$AR76,$D$24=$AR76),Schweine_Werte!$C76*0.5,IF(OR($C$24&gt;$AR76,$D$24&lt;$AR76),0,Schweine_Werte!$C76))</f>
        <v>0</v>
      </c>
      <c r="AU76" s="795">
        <f>IF(OR($C$36=$AR76,$D$36=$AR76),Schweine_Werte!$C76*0.5,IF(OR($C$36&gt;$AR76,$D$36&lt;$AR76),0,Schweine_Werte!$C76))</f>
        <v>0</v>
      </c>
      <c r="AV76" s="795">
        <f>IF(OR($C$48=$AR76,$D$48=$AR76),Schweine_Werte!$C76*0.5,IF(OR($C$48&gt;$AR76,$D$48&lt;$AR76),0,Schweine_Werte!$C76))</f>
        <v>0</v>
      </c>
      <c r="AW76" s="795">
        <f>IF(OR($C$60=$AR76,$D$60=$AR76),Schweine_Werte!$C76*0.5,IF(OR($C$60&gt;$AR76,$D$60&lt;$AR76),0,Schweine_Werte!$C76))</f>
        <v>0</v>
      </c>
      <c r="AX76" s="795">
        <f>IF(OR($C$12=$AR76,$D$12=$AR76),Schweine_Werte!$E76*0.5,IF(OR($C$12&gt;$AR76,$D$12&lt;$AR76),0,Schweine_Werte!$E76))</f>
        <v>0</v>
      </c>
      <c r="AY76" s="730">
        <f>IF(OR($C$24=$AR76,$D$24=$AR76),Schweine_Werte!$E76*0.5,IF(OR($C$24&gt;$AR76,$D$24&lt;$AR76),0,Schweine_Werte!$E76))</f>
        <v>0</v>
      </c>
      <c r="AZ76" s="730">
        <f>IF(OR($C$36=$AR76,$D$36=$AR76),Schweine_Werte!$E76*0.5,IF(OR($C$36&gt;$AR76,$D$36&lt;$AR76),0,Schweine_Werte!$E76))</f>
        <v>0</v>
      </c>
      <c r="BA76" s="730">
        <f>IF(OR($C$48=$AR76,$D$48=$AR76),Schweine_Werte!$E76*0.5,IF(OR($C$48&gt;$AR76,$D$48&lt;$AR76),0,Schweine_Werte!$E76))</f>
        <v>0</v>
      </c>
      <c r="BB76" s="730">
        <f>IF(OR($C$60=$AR76,$D$60=$AR76),Schweine_Werte!$E76*0.5,IF(OR($C$60&gt;$AR76,$D$60&lt;$AR76),0,Schweine_Werte!$E76))</f>
        <v>0</v>
      </c>
      <c r="BC76" s="795">
        <f>IF(OR($C$12=$AR76,$D$12=$AR76),Schweine_Werte!$G76*0.5,IF(OR($C$12&gt;$AR76,$D$12&lt;$AR76),0,Schweine_Werte!$G76))</f>
        <v>0</v>
      </c>
      <c r="BD76" s="730">
        <f>IF(OR($C$24=$AR76,$D$24=$AR76),Schweine_Werte!$G76*0.5,IF(OR($C$24&gt;$AR76,$D$24&lt;$AR76),0,Schweine_Werte!$G76))</f>
        <v>0</v>
      </c>
      <c r="BE76" s="730">
        <f>IF(OR($C$36=$AR76,$D$36=$AR76),Schweine_Werte!$G76*0.5,IF(OR($C$36&gt;$AR76,$D$36&lt;$AR76),0,Schweine_Werte!$G76))</f>
        <v>0</v>
      </c>
      <c r="BF76" s="730">
        <f>IF(OR($C$48=$AR76,$D$48=$AR76),Schweine_Werte!$G76*0.5,IF(OR($C$48&gt;$AR76,$D$48&lt;$AR76),0,Schweine_Werte!$G76))</f>
        <v>0</v>
      </c>
      <c r="BG76" s="730">
        <f>IF(OR($C$60=$AR76,$D$60=$AR76),Schweine_Werte!$G76*0.5,IF(OR($C$60&gt;$AR76,$D$60&lt;$AR76),0,Schweine_Werte!$G76))</f>
        <v>0</v>
      </c>
      <c r="BH76" s="795">
        <f>IF(OR($C$12=$AR76,$D$12=$AR76),Schweine_Werte!$I76*0.5,IF(OR($C$12&gt;$AR76,$D$12&lt;$AR76),0,Schweine_Werte!$I76))</f>
        <v>0</v>
      </c>
      <c r="BI76" s="730">
        <f>IF(OR($C$24=$AR76,$D$24=$AR76),Schweine_Werte!$I76*0.5,IF(OR($C$24&gt;$AR76,$D$24&lt;$AR76),0,Schweine_Werte!$I76))</f>
        <v>0</v>
      </c>
      <c r="BJ76" s="730">
        <f>IF(OR($C$36=$AR76,$D$36=$AR76),Schweine_Werte!$I76*0.5,IF(OR($C$36&gt;$AR76,$D$36&lt;$AR76),0,Schweine_Werte!$I76))</f>
        <v>0</v>
      </c>
      <c r="BK76" s="730">
        <f>IF(OR($C$48=$AR76,$D$48=$AR76),Schweine_Werte!$I76*0.5,IF(OR($C$48&gt;$AR76,$D$48&lt;$AR76),0,Schweine_Werte!$I76))</f>
        <v>0</v>
      </c>
      <c r="BL76" s="730">
        <f>IF(OR($C$60=$AR76,$D$60=$AR76),Schweine_Werte!$I76*0.5,IF(OR($C$60&gt;$AR76,$D$60&lt;$AR76),0,Schweine_Werte!$I76))</f>
        <v>0</v>
      </c>
      <c r="BM76" s="795"/>
      <c r="BN76" s="730"/>
      <c r="BO76" s="730"/>
      <c r="BP76" s="730"/>
      <c r="BQ76" s="730"/>
      <c r="BR76" s="795">
        <f>IF(OR($C$74=$AR76,$D$74=$AR76),Schweine_Werte!$M76*0.5,IF(OR($C$74&gt;$AR76,$D$74&lt;$AR76),0,Schweine_Werte!$M76))</f>
        <v>0</v>
      </c>
      <c r="BS76" s="795">
        <f>IF(OR($C$83=$AR76,$D$83=$AR76),Schweine_Werte!$M76*0.5,IF(OR($C$83&gt;$AR76,$D$83&lt;$AR76),0,Schweine_Werte!$M76))</f>
        <v>0</v>
      </c>
      <c r="BT76" s="797">
        <f>IF(OR($C$92=$AR76,$D$92=$AR76),Schweine_Werte!$M76*0.5,IF(OR($C$92&gt;$AR76,$D$92&lt;$AR76),0,Schweine_Werte!$M76))</f>
        <v>0</v>
      </c>
      <c r="BU76" s="797">
        <f>IF(OR($C$101=$AR76,$D$101=$AR76),Schweine_Werte!$M76*0.5,IF(OR($C$101&gt;$AR76,$D$101&lt;$AR76),0,Schweine_Werte!$M76))</f>
        <v>0</v>
      </c>
      <c r="BV76" s="797">
        <f>IF(OR($C$110=$AR76,$D$110=$AR76),Schweine_Werte!$M76*0.5,IF(OR($C$110&gt;$AR76,$D$110&lt;$AR76),0,Schweine_Werte!$M76))</f>
        <v>0</v>
      </c>
      <c r="BW76" s="797">
        <f>IF(OR(8=$AR76,$E$127=$AR76),Schweine_Werte!$M76*0.5,IF(OR(8&gt;$AR76,$E$127&lt;$AR76),0,Schweine_Werte!$M76))</f>
        <v>1.1149433130069055</v>
      </c>
      <c r="BX76" s="797">
        <f>IF(OR(8=$AR76,$E$145=$AR76),Schweine_Werte!$M76*0.5,IF(OR(8&gt;$AR76,$E$145&lt;$AR76),0,Schweine_Werte!$M76))</f>
        <v>1.1149433130069055</v>
      </c>
      <c r="BY76" s="795">
        <f>IF(OR($C$74=$AR76,$D$74=$AR76),Schweine_Werte!$O76*0.5,IF(OR($C$74&gt;$AR76,$D$74&lt;$AR76),0,Schweine_Werte!$O76))</f>
        <v>0</v>
      </c>
      <c r="BZ76" s="795">
        <f>IF(OR($C$83=$AR76,$D$83=$AR76),Schweine_Werte!$O76*0.5,IF(OR($C$83&gt;$AR76,$D$83&lt;$AR76),0,Schweine_Werte!$O76))</f>
        <v>0</v>
      </c>
      <c r="CA76" s="797">
        <f>IF(OR($C$92=$AR76,$D$92=$AR76),Schweine_Werte!$O76*0.5,IF(OR($C$92&gt;$AR76,$D$92&lt;$AR76),0,Schweine_Werte!$O76))</f>
        <v>0</v>
      </c>
      <c r="CB76" s="797">
        <f>IF(OR($C$101=$AR76,$D$101=$AR76),Schweine_Werte!$O76*0.5,IF(OR($C$101&gt;$AR76,$D$101&lt;$AR76),0,Schweine_Werte!$O76))</f>
        <v>0</v>
      </c>
      <c r="CC76" s="797">
        <f>IF(OR($C$110=$AR76,$D$110=$AR76),Schweine_Werte!$O76*0.5,IF(OR($C$110&gt;$AR76,$D$110&lt;$AR76),0,Schweine_Werte!$O76))</f>
        <v>0</v>
      </c>
    </row>
    <row r="77" spans="1:81" x14ac:dyDescent="0.25">
      <c r="Q77" s="1620" t="s">
        <v>7781</v>
      </c>
      <c r="R77" s="1620"/>
      <c r="S77" s="1620"/>
      <c r="T77" s="1620" t="s">
        <v>7782</v>
      </c>
      <c r="U77" s="1620"/>
      <c r="V77" s="1620"/>
      <c r="W77" s="1041" t="s">
        <v>7674</v>
      </c>
      <c r="X77" s="1041"/>
      <c r="Y77" s="1041"/>
      <c r="AR77" s="806">
        <v>81</v>
      </c>
      <c r="AS77" s="795">
        <f>IF(OR($C$12=$AR77,$D$12=$AR77),Schweine_Werte!$C77*0.5,IF(OR($C$12&gt;$AR77,$D$12&lt;$AR77),0,Schweine_Werte!$C77))</f>
        <v>0</v>
      </c>
      <c r="AT77" s="730">
        <f>IF(OR($C$24=$AR77,$D$24=$AR77),Schweine_Werte!$C77*0.5,IF(OR($C$24&gt;$AR77,$D$24&lt;$AR77),0,Schweine_Werte!$C77))</f>
        <v>0</v>
      </c>
      <c r="AU77" s="795">
        <f>IF(OR($C$36=$AR77,$D$36=$AR77),Schweine_Werte!$C77*0.5,IF(OR($C$36&gt;$AR77,$D$36&lt;$AR77),0,Schweine_Werte!$C77))</f>
        <v>0</v>
      </c>
      <c r="AV77" s="795">
        <f>IF(OR($C$48=$AR77,$D$48=$AR77),Schweine_Werte!$C77*0.5,IF(OR($C$48&gt;$AR77,$D$48&lt;$AR77),0,Schweine_Werte!$C77))</f>
        <v>0</v>
      </c>
      <c r="AW77" s="795">
        <f>IF(OR($C$60=$AR77,$D$60=$AR77),Schweine_Werte!$C77*0.5,IF(OR($C$60&gt;$AR77,$D$60&lt;$AR77),0,Schweine_Werte!$C77))</f>
        <v>0</v>
      </c>
      <c r="AX77" s="795">
        <f>IF(OR($C$12=$AR77,$D$12=$AR77),Schweine_Werte!$E77*0.5,IF(OR($C$12&gt;$AR77,$D$12&lt;$AR77),0,Schweine_Werte!$E77))</f>
        <v>0</v>
      </c>
      <c r="AY77" s="730">
        <f>IF(OR($C$24=$AR77,$D$24=$AR77),Schweine_Werte!$E77*0.5,IF(OR($C$24&gt;$AR77,$D$24&lt;$AR77),0,Schweine_Werte!$E77))</f>
        <v>0</v>
      </c>
      <c r="AZ77" s="730">
        <f>IF(OR($C$36=$AR77,$D$36=$AR77),Schweine_Werte!$E77*0.5,IF(OR($C$36&gt;$AR77,$D$36&lt;$AR77),0,Schweine_Werte!$E77))</f>
        <v>0</v>
      </c>
      <c r="BA77" s="730">
        <f>IF(OR($C$48=$AR77,$D$48=$AR77),Schweine_Werte!$E77*0.5,IF(OR($C$48&gt;$AR77,$D$48&lt;$AR77),0,Schweine_Werte!$E77))</f>
        <v>0</v>
      </c>
      <c r="BB77" s="730">
        <f>IF(OR($C$60=$AR77,$D$60=$AR77),Schweine_Werte!$E77*0.5,IF(OR($C$60&gt;$AR77,$D$60&lt;$AR77),0,Schweine_Werte!$E77))</f>
        <v>0</v>
      </c>
      <c r="BC77" s="795">
        <f>IF(OR($C$12=$AR77,$D$12=$AR77),Schweine_Werte!$G77*0.5,IF(OR($C$12&gt;$AR77,$D$12&lt;$AR77),0,Schweine_Werte!$G77))</f>
        <v>0</v>
      </c>
      <c r="BD77" s="730">
        <f>IF(OR($C$24=$AR77,$D$24=$AR77),Schweine_Werte!$G77*0.5,IF(OR($C$24&gt;$AR77,$D$24&lt;$AR77),0,Schweine_Werte!$G77))</f>
        <v>0</v>
      </c>
      <c r="BE77" s="730">
        <f>IF(OR($C$36=$AR77,$D$36=$AR77),Schweine_Werte!$G77*0.5,IF(OR($C$36&gt;$AR77,$D$36&lt;$AR77),0,Schweine_Werte!$G77))</f>
        <v>0</v>
      </c>
      <c r="BF77" s="730">
        <f>IF(OR($C$48=$AR77,$D$48=$AR77),Schweine_Werte!$G77*0.5,IF(OR($C$48&gt;$AR77,$D$48&lt;$AR77),0,Schweine_Werte!$G77))</f>
        <v>0</v>
      </c>
      <c r="BG77" s="730">
        <f>IF(OR($C$60=$AR77,$D$60=$AR77),Schweine_Werte!$G77*0.5,IF(OR($C$60&gt;$AR77,$D$60&lt;$AR77),0,Schweine_Werte!$G77))</f>
        <v>0</v>
      </c>
      <c r="BH77" s="795">
        <f>IF(OR($C$12=$AR77,$D$12=$AR77),Schweine_Werte!$I77*0.5,IF(OR($C$12&gt;$AR77,$D$12&lt;$AR77),0,Schweine_Werte!$I77))</f>
        <v>0</v>
      </c>
      <c r="BI77" s="730">
        <f>IF(OR($C$24=$AR77,$D$24=$AR77),Schweine_Werte!$I77*0.5,IF(OR($C$24&gt;$AR77,$D$24&lt;$AR77),0,Schweine_Werte!$I77))</f>
        <v>0</v>
      </c>
      <c r="BJ77" s="730">
        <f>IF(OR($C$36=$AR77,$D$36=$AR77),Schweine_Werte!$I77*0.5,IF(OR($C$36&gt;$AR77,$D$36&lt;$AR77),0,Schweine_Werte!$I77))</f>
        <v>0</v>
      </c>
      <c r="BK77" s="730">
        <f>IF(OR($C$48=$AR77,$D$48=$AR77),Schweine_Werte!$I77*0.5,IF(OR($C$48&gt;$AR77,$D$48&lt;$AR77),0,Schweine_Werte!$I77))</f>
        <v>0</v>
      </c>
      <c r="BL77" s="730">
        <f>IF(OR($C$60=$AR77,$D$60=$AR77),Schweine_Werte!$I77*0.5,IF(OR($C$60&gt;$AR77,$D$60&lt;$AR77),0,Schweine_Werte!$I77))</f>
        <v>0</v>
      </c>
      <c r="BM77" s="795"/>
      <c r="BN77" s="730"/>
      <c r="BO77" s="730"/>
      <c r="BP77" s="730"/>
      <c r="BQ77" s="730"/>
      <c r="BR77" s="795">
        <f>IF(OR($C$74=$AR77,$D$74=$AR77),Schweine_Werte!$M77*0.5,IF(OR($C$74&gt;$AR77,$D$74&lt;$AR77),0,Schweine_Werte!$M77))</f>
        <v>0</v>
      </c>
      <c r="BS77" s="795">
        <f>IF(OR($C$83=$AR77,$D$83=$AR77),Schweine_Werte!$M77*0.5,IF(OR($C$83&gt;$AR77,$D$83&lt;$AR77),0,Schweine_Werte!$M77))</f>
        <v>0</v>
      </c>
      <c r="BT77" s="797">
        <f>IF(OR($C$92=$AR77,$D$92=$AR77),Schweine_Werte!$M77*0.5,IF(OR($C$92&gt;$AR77,$D$92&lt;$AR77),0,Schweine_Werte!$M77))</f>
        <v>0</v>
      </c>
      <c r="BU77" s="797">
        <f>IF(OR($C$101=$AR77,$D$101=$AR77),Schweine_Werte!$M77*0.5,IF(OR($C$101&gt;$AR77,$D$101&lt;$AR77),0,Schweine_Werte!$M77))</f>
        <v>0</v>
      </c>
      <c r="BV77" s="797">
        <f>IF(OR($C$110=$AR77,$D$110=$AR77),Schweine_Werte!$M77*0.5,IF(OR($C$110&gt;$AR77,$D$110&lt;$AR77),0,Schweine_Werte!$M77))</f>
        <v>0</v>
      </c>
      <c r="BW77" s="797">
        <f>IF(OR(8=$AR77,$E$127=$AR77),Schweine_Werte!$M77*0.5,IF(OR(8&gt;$AR77,$E$127&lt;$AR77),0,Schweine_Werte!$M77))</f>
        <v>1.1179127561182562</v>
      </c>
      <c r="BX77" s="797">
        <f>IF(OR(8=$AR77,$E$145=$AR77),Schweine_Werte!$M77*0.5,IF(OR(8&gt;$AR77,$E$145&lt;$AR77),0,Schweine_Werte!$M77))</f>
        <v>1.1179127561182562</v>
      </c>
      <c r="BY77" s="795">
        <f>IF(OR($C$74=$AR77,$D$74=$AR77),Schweine_Werte!$O77*0.5,IF(OR($C$74&gt;$AR77,$D$74&lt;$AR77),0,Schweine_Werte!$O77))</f>
        <v>0</v>
      </c>
      <c r="BZ77" s="795">
        <f>IF(OR($C$83=$AR77,$D$83=$AR77),Schweine_Werte!$O77*0.5,IF(OR($C$83&gt;$AR77,$D$83&lt;$AR77),0,Schweine_Werte!$O77))</f>
        <v>0</v>
      </c>
      <c r="CA77" s="797">
        <f>IF(OR($C$92=$AR77,$D$92=$AR77),Schweine_Werte!$O77*0.5,IF(OR($C$92&gt;$AR77,$D$92&lt;$AR77),0,Schweine_Werte!$O77))</f>
        <v>0</v>
      </c>
      <c r="CB77" s="797">
        <f>IF(OR($C$101=$AR77,$D$101=$AR77),Schweine_Werte!$O77*0.5,IF(OR($C$101&gt;$AR77,$D$101&lt;$AR77),0,Schweine_Werte!$O77))</f>
        <v>0</v>
      </c>
      <c r="CC77" s="797">
        <f>IF(OR($C$110=$AR77,$D$110=$AR77),Schweine_Werte!$O77*0.5,IF(OR($C$110&gt;$AR77,$D$110&lt;$AR77),0,Schweine_Werte!$O77))</f>
        <v>0</v>
      </c>
    </row>
    <row r="78" spans="1:81" x14ac:dyDescent="0.25">
      <c r="B78" t="s">
        <v>7724</v>
      </c>
      <c r="E78" t="s">
        <v>7700</v>
      </c>
      <c r="F78" t="s">
        <v>196</v>
      </c>
      <c r="G78" t="s">
        <v>7701</v>
      </c>
      <c r="H78" t="s">
        <v>7702</v>
      </c>
      <c r="I78" t="s">
        <v>7703</v>
      </c>
      <c r="J78" t="s">
        <v>596</v>
      </c>
      <c r="K78" t="s">
        <v>7704</v>
      </c>
      <c r="L78" t="s">
        <v>7705</v>
      </c>
      <c r="M78" t="s">
        <v>7706</v>
      </c>
      <c r="N78" t="s">
        <v>7707</v>
      </c>
      <c r="O78" t="s">
        <v>7708</v>
      </c>
      <c r="P78" t="s">
        <v>7709</v>
      </c>
      <c r="Q78" t="s">
        <v>39</v>
      </c>
      <c r="R78" t="s">
        <v>40</v>
      </c>
      <c r="S78" t="s">
        <v>41</v>
      </c>
      <c r="T78" t="s">
        <v>39</v>
      </c>
      <c r="U78" t="s">
        <v>40</v>
      </c>
      <c r="V78" t="s">
        <v>41</v>
      </c>
      <c r="W78" t="s">
        <v>7687</v>
      </c>
      <c r="X78" t="s">
        <v>7688</v>
      </c>
      <c r="Y78" t="s">
        <v>7689</v>
      </c>
      <c r="AR78" s="806">
        <v>82</v>
      </c>
      <c r="AS78" s="795">
        <f>IF(OR($C$12=$AR78,$D$12=$AR78),Schweine_Werte!$C78*0.5,IF(OR($C$12&gt;$AR78,$D$12&lt;$AR78),0,Schweine_Werte!$C78))</f>
        <v>0</v>
      </c>
      <c r="AT78" s="730">
        <f>IF(OR($C$24=$AR78,$D$24=$AR78),Schweine_Werte!$C78*0.5,IF(OR($C$24&gt;$AR78,$D$24&lt;$AR78),0,Schweine_Werte!$C78))</f>
        <v>0</v>
      </c>
      <c r="AU78" s="795">
        <f>IF(OR($C$36=$AR78,$D$36=$AR78),Schweine_Werte!$C78*0.5,IF(OR($C$36&gt;$AR78,$D$36&lt;$AR78),0,Schweine_Werte!$C78))</f>
        <v>0</v>
      </c>
      <c r="AV78" s="795">
        <f>IF(OR($C$48=$AR78,$D$48=$AR78),Schweine_Werte!$C78*0.5,IF(OR($C$48&gt;$AR78,$D$48&lt;$AR78),0,Schweine_Werte!$C78))</f>
        <v>0</v>
      </c>
      <c r="AW78" s="795">
        <f>IF(OR($C$60=$AR78,$D$60=$AR78),Schweine_Werte!$C78*0.5,IF(OR($C$60&gt;$AR78,$D$60&lt;$AR78),0,Schweine_Werte!$C78))</f>
        <v>0</v>
      </c>
      <c r="AX78" s="795">
        <f>IF(OR($C$12=$AR78,$D$12=$AR78),Schweine_Werte!$E78*0.5,IF(OR($C$12&gt;$AR78,$D$12&lt;$AR78),0,Schweine_Werte!$E78))</f>
        <v>0</v>
      </c>
      <c r="AY78" s="730">
        <f>IF(OR($C$24=$AR78,$D$24=$AR78),Schweine_Werte!$E78*0.5,IF(OR($C$24&gt;$AR78,$D$24&lt;$AR78),0,Schweine_Werte!$E78))</f>
        <v>0</v>
      </c>
      <c r="AZ78" s="730">
        <f>IF(OR($C$36=$AR78,$D$36=$AR78),Schweine_Werte!$E78*0.5,IF(OR($C$36&gt;$AR78,$D$36&lt;$AR78),0,Schweine_Werte!$E78))</f>
        <v>0</v>
      </c>
      <c r="BA78" s="730">
        <f>IF(OR($C$48=$AR78,$D$48=$AR78),Schweine_Werte!$E78*0.5,IF(OR($C$48&gt;$AR78,$D$48&lt;$AR78),0,Schweine_Werte!$E78))</f>
        <v>0</v>
      </c>
      <c r="BB78" s="730">
        <f>IF(OR($C$60=$AR78,$D$60=$AR78),Schweine_Werte!$E78*0.5,IF(OR($C$60&gt;$AR78,$D$60&lt;$AR78),0,Schweine_Werte!$E78))</f>
        <v>0</v>
      </c>
      <c r="BC78" s="795">
        <f>IF(OR($C$12=$AR78,$D$12=$AR78),Schweine_Werte!$G78*0.5,IF(OR($C$12&gt;$AR78,$D$12&lt;$AR78),0,Schweine_Werte!$G78))</f>
        <v>0</v>
      </c>
      <c r="BD78" s="730">
        <f>IF(OR($C$24=$AR78,$D$24=$AR78),Schweine_Werte!$G78*0.5,IF(OR($C$24&gt;$AR78,$D$24&lt;$AR78),0,Schweine_Werte!$G78))</f>
        <v>0</v>
      </c>
      <c r="BE78" s="730">
        <f>IF(OR($C$36=$AR78,$D$36=$AR78),Schweine_Werte!$G78*0.5,IF(OR($C$36&gt;$AR78,$D$36&lt;$AR78),0,Schweine_Werte!$G78))</f>
        <v>0</v>
      </c>
      <c r="BF78" s="730">
        <f>IF(OR($C$48=$AR78,$D$48=$AR78),Schweine_Werte!$G78*0.5,IF(OR($C$48&gt;$AR78,$D$48&lt;$AR78),0,Schweine_Werte!$G78))</f>
        <v>0</v>
      </c>
      <c r="BG78" s="730">
        <f>IF(OR($C$60=$AR78,$D$60=$AR78),Schweine_Werte!$G78*0.5,IF(OR($C$60&gt;$AR78,$D$60&lt;$AR78),0,Schweine_Werte!$G78))</f>
        <v>0</v>
      </c>
      <c r="BH78" s="795">
        <f>IF(OR($C$12=$AR78,$D$12=$AR78),Schweine_Werte!$I78*0.5,IF(OR($C$12&gt;$AR78,$D$12&lt;$AR78),0,Schweine_Werte!$I78))</f>
        <v>0</v>
      </c>
      <c r="BI78" s="730">
        <f>IF(OR($C$24=$AR78,$D$24=$AR78),Schweine_Werte!$I78*0.5,IF(OR($C$24&gt;$AR78,$D$24&lt;$AR78),0,Schweine_Werte!$I78))</f>
        <v>0</v>
      </c>
      <c r="BJ78" s="730">
        <f>IF(OR($C$36=$AR78,$D$36=$AR78),Schweine_Werte!$I78*0.5,IF(OR($C$36&gt;$AR78,$D$36&lt;$AR78),0,Schweine_Werte!$I78))</f>
        <v>0</v>
      </c>
      <c r="BK78" s="730">
        <f>IF(OR($C$48=$AR78,$D$48=$AR78),Schweine_Werte!$I78*0.5,IF(OR($C$48&gt;$AR78,$D$48&lt;$AR78),0,Schweine_Werte!$I78))</f>
        <v>0</v>
      </c>
      <c r="BL78" s="730">
        <f>IF(OR($C$60=$AR78,$D$60=$AR78),Schweine_Werte!$I78*0.5,IF(OR($C$60&gt;$AR78,$D$60&lt;$AR78),0,Schweine_Werte!$I78))</f>
        <v>0</v>
      </c>
      <c r="BM78" s="795"/>
      <c r="BN78" s="730"/>
      <c r="BO78" s="730"/>
      <c r="BP78" s="730"/>
      <c r="BQ78" s="730"/>
      <c r="BR78" s="795">
        <f>IF(OR($C$74=$AR78,$D$74=$AR78),Schweine_Werte!$M78*0.5,IF(OR($C$74&gt;$AR78,$D$74&lt;$AR78),0,Schweine_Werte!$M78))</f>
        <v>0</v>
      </c>
      <c r="BS78" s="795">
        <f>IF(OR($C$83=$AR78,$D$83=$AR78),Schweine_Werte!$M78*0.5,IF(OR($C$83&gt;$AR78,$D$83&lt;$AR78),0,Schweine_Werte!$M78))</f>
        <v>0</v>
      </c>
      <c r="BT78" s="797">
        <f>IF(OR($C$92=$AR78,$D$92=$AR78),Schweine_Werte!$M78*0.5,IF(OR($C$92&gt;$AR78,$D$92&lt;$AR78),0,Schweine_Werte!$M78))</f>
        <v>0</v>
      </c>
      <c r="BU78" s="797">
        <f>IF(OR($C$101=$AR78,$D$101=$AR78),Schweine_Werte!$M78*0.5,IF(OR($C$101&gt;$AR78,$D$101&lt;$AR78),0,Schweine_Werte!$M78))</f>
        <v>0</v>
      </c>
      <c r="BV78" s="797">
        <f>IF(OR($C$110=$AR78,$D$110=$AR78),Schweine_Werte!$M78*0.5,IF(OR($C$110&gt;$AR78,$D$110&lt;$AR78),0,Schweine_Werte!$M78))</f>
        <v>0</v>
      </c>
      <c r="BW78" s="797">
        <f>IF(OR(8=$AR78,$E$127=$AR78),Schweine_Werte!$M78*0.5,IF(OR(8&gt;$AR78,$E$127&lt;$AR78),0,Schweine_Werte!$M78))</f>
        <v>1.1212707978866512</v>
      </c>
      <c r="BX78" s="797">
        <f>IF(OR(8=$AR78,$E$145=$AR78),Schweine_Werte!$M78*0.5,IF(OR(8&gt;$AR78,$E$145&lt;$AR78),0,Schweine_Werte!$M78))</f>
        <v>1.1212707978866512</v>
      </c>
      <c r="BY78" s="795">
        <f>IF(OR($C$74=$AR78,$D$74=$AR78),Schweine_Werte!$O78*0.5,IF(OR($C$74&gt;$AR78,$D$74&lt;$AR78),0,Schweine_Werte!$O78))</f>
        <v>0</v>
      </c>
      <c r="BZ78" s="795">
        <f>IF(OR($C$83=$AR78,$D$83=$AR78),Schweine_Werte!$O78*0.5,IF(OR($C$83&gt;$AR78,$D$83&lt;$AR78),0,Schweine_Werte!$O78))</f>
        <v>0</v>
      </c>
      <c r="CA78" s="797">
        <f>IF(OR($C$92=$AR78,$D$92=$AR78),Schweine_Werte!$O78*0.5,IF(OR($C$92&gt;$AR78,$D$92&lt;$AR78),0,Schweine_Werte!$O78))</f>
        <v>0</v>
      </c>
      <c r="CB78" s="797">
        <f>IF(OR($C$101=$AR78,$D$101=$AR78),Schweine_Werte!$O78*0.5,IF(OR($C$101&gt;$AR78,$D$101&lt;$AR78),0,Schweine_Werte!$O78))</f>
        <v>0</v>
      </c>
      <c r="CC78" s="797">
        <f>IF(OR($C$110=$AR78,$D$110=$AR78),Schweine_Werte!$O78*0.5,IF(OR($C$110&gt;$AR78,$D$110&lt;$AR78),0,Schweine_Werte!$O78))</f>
        <v>0</v>
      </c>
    </row>
    <row r="79" spans="1:81" x14ac:dyDescent="0.25">
      <c r="B79">
        <v>450</v>
      </c>
      <c r="D79" s="730"/>
      <c r="E79" t="e">
        <f>($D83-$C83)*1000/SUM($BS$4:$BS$31)</f>
        <v>#VALUE!</v>
      </c>
      <c r="F79" s="730" t="e">
        <f>SUMPRODUCT($BS$4:$BS$31,Schweine_Werte!$V$4:$V$31)/SUM($BS$4:$BS$31)</f>
        <v>#DIV/0!</v>
      </c>
      <c r="G79" s="730" t="e">
        <f>IF($B83=$A$8,SUMPRODUCT($BS$4:$BS$31,Schweine_Werte!HE$4:HE$31)/SUM($BS$4:$BS$31),IF($B83=$A$7,SUMPRODUCT($BS$4:$BS$31,Schweine_Werte!GQ$4:GQ$31)/SUM($BS$4:$BS$31),IF($B83=$A$6,SUMPRODUCT($BS$4:$BS$31,Schweine_Werte!GC$4:GC$31)/SUM($BS$4:$BS$31),SUMPRODUCT($BS$4:$BS$31,Schweine_Werte!FO$4:FO$31)/SUM($BS$4:$BS$31))))</f>
        <v>#DIV/0!</v>
      </c>
      <c r="H79" s="730" t="e">
        <f>IF($B83=$A$8,SUMPRODUCT($BS$4:$BS$31,Schweine_Werte!HF$4:HF$31)/SUM($BS$4:$BS$31),IF($B83=$A$7,SUMPRODUCT($BS$4:$BS$31,Schweine_Werte!GR$4:GR$31)/SUM($BS$4:$BS$31),IF($B83=$A$6,SUMPRODUCT($BS$4:$BS$31,Schweine_Werte!GD$4:GD$31)/SUM($BS$4:$BS$31),SUMPRODUCT($BS$4:$BS$31,Schweine_Werte!FP$4:FP$31)/SUM($BS$4:$BS$31))))</f>
        <v>#DIV/0!</v>
      </c>
      <c r="I79" s="730" t="e">
        <f>IF($B83=$A$8,SUMPRODUCT($BS$4:$BS$31,Schweine_Werte!HG$4:HG$31)/SUM($BS$4:$BS$31),IF($B83=$A$7,SUMPRODUCT($BS$4:$BS$31,Schweine_Werte!GS$4:GS$31)/SUM($BS$4:$BS$31),IF($B83=$A$6,SUMPRODUCT($BS$4:$BS$31,Schweine_Werte!GE$4:GE$31)/SUM($BS$4:$BS$31),SUMPRODUCT($BS$4:$BS$31,Schweine_Werte!FQ$4:FQ$31)/SUM($BS$4:$BS$31))))</f>
        <v>#DIV/0!</v>
      </c>
      <c r="J79" s="730" t="e">
        <f>SUMPRODUCT($BS$4:$BS$31,Schweine_Werte!$AD$4:$AD$31)/SUM($BS$4:$BS$31)</f>
        <v>#DIV/0!</v>
      </c>
      <c r="K79" s="730" t="e">
        <f>SUMPRODUCT($BS$4:$BS$31,Schweine_Werte!$AL$4:$AL$31)/SUM($BS$4:$BS$31)</f>
        <v>#DIV/0!</v>
      </c>
      <c r="L79" s="730" t="e">
        <f>T79*$F79*365/1000+$J79-$K79</f>
        <v>#DIV/0!</v>
      </c>
      <c r="M79" s="730" t="e">
        <f>U79*$F79*365/1000+$J79-$K79/2</f>
        <v>#DIV/0!</v>
      </c>
      <c r="N79" s="730" t="e">
        <f>V79*$F79*365/1000+$J79</f>
        <v>#DIV/0!</v>
      </c>
      <c r="O79" s="730">
        <f>IF($C83&lt;28,SUM($BS$4:$BS$23)+IF($D83&gt;28,$BS$24*0.5,$BS$24),0)</f>
        <v>0</v>
      </c>
      <c r="P79" s="730">
        <f>IF($D83&gt;28,SUM($BS$25:$BS$31)+IF($C83&lt;28,$BS$24*0.5,$BS$24),0)</f>
        <v>0</v>
      </c>
      <c r="Q79" s="730" t="e">
        <f t="shared" ref="Q79:S80" si="43">+T79*$F79</f>
        <v>#DIV/0!</v>
      </c>
      <c r="R79" s="730" t="e">
        <f t="shared" si="43"/>
        <v>#DIV/0!</v>
      </c>
      <c r="S79" s="730" t="e">
        <f t="shared" si="43"/>
        <v>#DIV/0!</v>
      </c>
      <c r="T79" s="730" t="e">
        <f>+($O79*Schweine_Werte!$HT$15+$P79*Schweine_Werte!$HU$15)/SUM($O79:$P79)</f>
        <v>#DIV/0!</v>
      </c>
      <c r="U79" s="730" t="e">
        <f>+($O79*Schweine_Werte!$HV$15+$P79*Schweine_Werte!$HW$15)/SUM($O79:$P79)</f>
        <v>#DIV/0!</v>
      </c>
      <c r="V79" s="730" t="e">
        <f>+($O79*Schweine_Werte!$HX$15+$P79*Schweine_Werte!$HY$15)/SUM($O79:$P79)</f>
        <v>#DIV/0!</v>
      </c>
      <c r="W79" s="785" t="e">
        <f>($J79*0.055+T79*0.365*0.86*$F79-$K79*0.018)/L79*100</f>
        <v>#DIV/0!</v>
      </c>
      <c r="X79" s="785" t="e">
        <f>($J79*0.055+U79*0.365*0.86*$F79-$K79*0.018/2)/M79*100</f>
        <v>#DIV/0!</v>
      </c>
      <c r="Y79" s="730" t="e">
        <f>($J79*0.055+V79*0.365*0.86*$F79)/N79*100</f>
        <v>#DIV/0!</v>
      </c>
      <c r="Z79" s="730" t="e">
        <f>IF($B83=$A$8,SUMPRODUCT($BS$4:$BS$31,Schweine_Werte!$HH$4:$HH$31,Schweine_Werte!$HI$4:$HI$31)/SUMPRODUCT($BS$4:$BS$31,Schweine_Werte!$HH$4:$HH$31),IF($B83=$A$7,SUMPRODUCT($BS$4:$BS$31,Schweine_Werte!$GT$4:$GT$31,Schweine_Werte!$GU$4:$GU$31)/SUMPRODUCT($BS$4:$BS$31,Schweine_Werte!$GT$4:$GT$31),IF($B83=$A$6,SUMPRODUCT($BS$4:$BS$31,Schweine_Werte!$GF$4:$GF$31,Schweine_Werte!$GG$4:$GG$31)/SUMPRODUCT($BS$4:$BS$31,Schweine_Werte!$GF$4:$GF$31),SUMPRODUCT($BS$4:$BS$31,Schweine_Werte!$FR$4:$FR$31,Schweine_Werte!$FS$4:$FS$31)/SUMPRODUCT($BS$4:$BS$31,Schweine_Werte!$FR$4:$FR$31))))</f>
        <v>#DIV/0!</v>
      </c>
      <c r="AA79" s="730"/>
      <c r="AB79" s="730">
        <f>IF($B83=$A$8,SUMIF(Schweine_Werte!$AO$4:$AO$31,$C83,Schweine_Werte!$HI$4:$HI$31),IF($B83=$A$7,SUMIF(Schweine_Werte!$AO$4:$AO$31,$C83,Schweine_Werte!$GU$4:$GU$31),IF($B83=$A$6,SUMIF(Schweine_Werte!$AO$4:$AO$31,$C83,Schweine_Werte!$GG$4:$GG$31),SUMIF(Schweine_Werte!$AO$4:$AO$31,$C83,Schweine_Werte!$FS$4:$FS$31))))</f>
        <v>0</v>
      </c>
      <c r="AC79" s="730"/>
      <c r="AD79" s="730">
        <f>IF($B83=$A$8,SUMIF(Schweine_Werte!$AO$4:$AO$31,$D83,Schweine_Werte!$HI$4:$HI$31),IF($B83=$A$7,SUMIF(Schweine_Werte!$AO$4:$AO$31,$D83,Schweine_Werte!$GU$4:$GU$31),IF($B83=$A$6,SUMIF(Schweine_Werte!$AO$4:$AO$31,$D83,Schweine_Werte!$GG$4:$GG$31),SUMIF(Schweine_Werte!$AO$4:$AO$31,$D83,Schweine_Werte!$FS$4:$FS$31))))</f>
        <v>0</v>
      </c>
      <c r="AE79" s="730"/>
      <c r="AF79" s="730"/>
      <c r="AG79" s="730" t="e">
        <f>IF($B83=$A$8,SUMPRODUCT($BS$4:$BS$31,Schweine_Werte!$HH$4:$HH$31)/SUM($BS$4:$BS$31),IF($B83=$A$7,SUMPRODUCT($BS$4:$BS$31,Schweine_Werte!$GT$4:$GT$31)/SUM($BS$4:$BS$31),IF($B83=$A$6,SUMPRODUCT($BS$4:$BS$31,Schweine_Werte!$GF$4:$GF$31)/SUM($BS$4:$BS$31),SUMPRODUCT($BS$4:$BS$31,Schweine_Werte!$FR$4:$FR$31)/SUM($BS$4:$BS$31))))</f>
        <v>#DIV/0!</v>
      </c>
      <c r="AH79" s="730"/>
      <c r="AI79" s="730"/>
      <c r="AJ79" s="730" t="e">
        <f>IF($B83=$A$8,SUMPRODUCT($BS$4:$BS$31,Schweine_Werte!$HH$4:$HH$31,Schweine_Werte!$HJ$4:$HJ$31)/SUMPRODUCT($BS$4:$BS$31,Schweine_Werte!$HH$4:$HH$31),IF($B83=$A$7,SUMPRODUCT($BS$4:$BS$31,Schweine_Werte!$GT$4:$GT$31,Schweine_Werte!$GV$4:$GV$31)/SUMPRODUCT($BS$4:$BS$31,Schweine_Werte!$GT$4:$GT$31),IF($B83=$A$6,SUMPRODUCT($BS$4:$BS$31,Schweine_Werte!$GF$4:$GF$31,Schweine_Werte!$GH$4:$GH$31)/SUMPRODUCT($BS$4:$BS$31,Schweine_Werte!$GF$4:$GF$31),SUMPRODUCT($BS$4:$BS$31,Schweine_Werte!$FR$4:$FR$31,Schweine_Werte!$FT$4:$FT$31)/SUMPRODUCT($BS$4:$BS$31,Schweine_Werte!$FR$4:$FR$31))))</f>
        <v>#DIV/0!</v>
      </c>
      <c r="AK79" s="730"/>
      <c r="AL79" s="730">
        <f>IF($B83=$A$8,SUMIF(Schweine_Werte!$AO$4:$AO$31,$C83,Schweine_Werte!$HJ$4:$HJ$31),IF($B83=$A$7,SUMIF(Schweine_Werte!$AO$4:$AO$31,$C83,Schweine_Werte!$GV$4:$GV$31),IF($B83=$A$6,SUMIF(Schweine_Werte!$AO$4:$AO$31,$C83,Schweine_Werte!$GH$4:$GH$31),SUMIF(Schweine_Werte!$AO$4:$AO$31,$C83,Schweine_Werte!$FT$4:$FT$31))))</f>
        <v>0</v>
      </c>
      <c r="AM79" s="730"/>
      <c r="AN79" s="730">
        <f>IF($B83=$A$8,SUMIF(Schweine_Werte!$AO$4:$AO$31,$D83,Schweine_Werte!$HJ$4:$HJ$31),IF($B83=$A$7,SUMIF(Schweine_Werte!$AO$4:$AO$31,$D83,Schweine_Werte!$GV$4:$GV$31),IF($B83=$A$6,SUMIF(Schweine_Werte!$AO$4:$AO$31,$D83,Schweine_Werte!$GH$4:$GH$31),SUMIF(Schweine_Werte!$AO$4:$AO$31,$D83,Schweine_Werte!$FT$4:$FT$31))))</f>
        <v>0</v>
      </c>
      <c r="AO79" s="730"/>
      <c r="AR79" s="806">
        <v>83</v>
      </c>
      <c r="AS79" s="795">
        <f>IF(OR($C$12=$AR79,$D$12=$AR79),Schweine_Werte!$C79*0.5,IF(OR($C$12&gt;$AR79,$D$12&lt;$AR79),0,Schweine_Werte!$C79))</f>
        <v>0</v>
      </c>
      <c r="AT79" s="730">
        <f>IF(OR($C$24=$AR79,$D$24=$AR79),Schweine_Werte!$C79*0.5,IF(OR($C$24&gt;$AR79,$D$24&lt;$AR79),0,Schweine_Werte!$C79))</f>
        <v>0</v>
      </c>
      <c r="AU79" s="795">
        <f>IF(OR($C$36=$AR79,$D$36=$AR79),Schweine_Werte!$C79*0.5,IF(OR($C$36&gt;$AR79,$D$36&lt;$AR79),0,Schweine_Werte!$C79))</f>
        <v>0</v>
      </c>
      <c r="AV79" s="795">
        <f>IF(OR($C$48=$AR79,$D$48=$AR79),Schweine_Werte!$C79*0.5,IF(OR($C$48&gt;$AR79,$D$48&lt;$AR79),0,Schweine_Werte!$C79))</f>
        <v>0</v>
      </c>
      <c r="AW79" s="795">
        <f>IF(OR($C$60=$AR79,$D$60=$AR79),Schweine_Werte!$C79*0.5,IF(OR($C$60&gt;$AR79,$D$60&lt;$AR79),0,Schweine_Werte!$C79))</f>
        <v>0</v>
      </c>
      <c r="AX79" s="795">
        <f>IF(OR($C$12=$AR79,$D$12=$AR79),Schweine_Werte!$E79*0.5,IF(OR($C$12&gt;$AR79,$D$12&lt;$AR79),0,Schweine_Werte!$E79))</f>
        <v>0</v>
      </c>
      <c r="AY79" s="730">
        <f>IF(OR($C$24=$AR79,$D$24=$AR79),Schweine_Werte!$E79*0.5,IF(OR($C$24&gt;$AR79,$D$24&lt;$AR79),0,Schweine_Werte!$E79))</f>
        <v>0</v>
      </c>
      <c r="AZ79" s="730">
        <f>IF(OR($C$36=$AR79,$D$36=$AR79),Schweine_Werte!$E79*0.5,IF(OR($C$36&gt;$AR79,$D$36&lt;$AR79),0,Schweine_Werte!$E79))</f>
        <v>0</v>
      </c>
      <c r="BA79" s="730">
        <f>IF(OR($C$48=$AR79,$D$48=$AR79),Schweine_Werte!$E79*0.5,IF(OR($C$48&gt;$AR79,$D$48&lt;$AR79),0,Schweine_Werte!$E79))</f>
        <v>0</v>
      </c>
      <c r="BB79" s="730">
        <f>IF(OR($C$60=$AR79,$D$60=$AR79),Schweine_Werte!$E79*0.5,IF(OR($C$60&gt;$AR79,$D$60&lt;$AR79),0,Schweine_Werte!$E79))</f>
        <v>0</v>
      </c>
      <c r="BC79" s="795">
        <f>IF(OR($C$12=$AR79,$D$12=$AR79),Schweine_Werte!$G79*0.5,IF(OR($C$12&gt;$AR79,$D$12&lt;$AR79),0,Schweine_Werte!$G79))</f>
        <v>0</v>
      </c>
      <c r="BD79" s="730">
        <f>IF(OR($C$24=$AR79,$D$24=$AR79),Schweine_Werte!$G79*0.5,IF(OR($C$24&gt;$AR79,$D$24&lt;$AR79),0,Schweine_Werte!$G79))</f>
        <v>0</v>
      </c>
      <c r="BE79" s="730">
        <f>IF(OR($C$36=$AR79,$D$36=$AR79),Schweine_Werte!$G79*0.5,IF(OR($C$36&gt;$AR79,$D$36&lt;$AR79),0,Schweine_Werte!$G79))</f>
        <v>0</v>
      </c>
      <c r="BF79" s="730">
        <f>IF(OR($C$48=$AR79,$D$48=$AR79),Schweine_Werte!$G79*0.5,IF(OR($C$48&gt;$AR79,$D$48&lt;$AR79),0,Schweine_Werte!$G79))</f>
        <v>0</v>
      </c>
      <c r="BG79" s="730">
        <f>IF(OR($C$60=$AR79,$D$60=$AR79),Schweine_Werte!$G79*0.5,IF(OR($C$60&gt;$AR79,$D$60&lt;$AR79),0,Schweine_Werte!$G79))</f>
        <v>0</v>
      </c>
      <c r="BH79" s="795">
        <f>IF(OR($C$12=$AR79,$D$12=$AR79),Schweine_Werte!$I79*0.5,IF(OR($C$12&gt;$AR79,$D$12&lt;$AR79),0,Schweine_Werte!$I79))</f>
        <v>0</v>
      </c>
      <c r="BI79" s="730">
        <f>IF(OR($C$24=$AR79,$D$24=$AR79),Schweine_Werte!$I79*0.5,IF(OR($C$24&gt;$AR79,$D$24&lt;$AR79),0,Schweine_Werte!$I79))</f>
        <v>0</v>
      </c>
      <c r="BJ79" s="730">
        <f>IF(OR($C$36=$AR79,$D$36=$AR79),Schweine_Werte!$I79*0.5,IF(OR($C$36&gt;$AR79,$D$36&lt;$AR79),0,Schweine_Werte!$I79))</f>
        <v>0</v>
      </c>
      <c r="BK79" s="730">
        <f>IF(OR($C$48=$AR79,$D$48=$AR79),Schweine_Werte!$I79*0.5,IF(OR($C$48&gt;$AR79,$D$48&lt;$AR79),0,Schweine_Werte!$I79))</f>
        <v>0</v>
      </c>
      <c r="BL79" s="730">
        <f>IF(OR($C$60=$AR79,$D$60=$AR79),Schweine_Werte!$I79*0.5,IF(OR($C$60&gt;$AR79,$D$60&lt;$AR79),0,Schweine_Werte!$I79))</f>
        <v>0</v>
      </c>
      <c r="BM79" s="795"/>
      <c r="BN79" s="730"/>
      <c r="BO79" s="730"/>
      <c r="BP79" s="730"/>
      <c r="BQ79" s="730"/>
      <c r="BR79" s="795">
        <f>IF(OR($C$74=$AR79,$D$74=$AR79),Schweine_Werte!$M79*0.5,IF(OR($C$74&gt;$AR79,$D$74&lt;$AR79),0,Schweine_Werte!$M79))</f>
        <v>0</v>
      </c>
      <c r="BS79" s="795">
        <f>IF(OR($C$83=$AR79,$D$83=$AR79),Schweine_Werte!$M79*0.5,IF(OR($C$83&gt;$AR79,$D$83&lt;$AR79),0,Schweine_Werte!$M79))</f>
        <v>0</v>
      </c>
      <c r="BT79" s="797">
        <f>IF(OR($C$92=$AR79,$D$92=$AR79),Schweine_Werte!$M79*0.5,IF(OR($C$92&gt;$AR79,$D$92&lt;$AR79),0,Schweine_Werte!$M79))</f>
        <v>0</v>
      </c>
      <c r="BU79" s="797">
        <f>IF(OR($C$101=$AR79,$D$101=$AR79),Schweine_Werte!$M79*0.5,IF(OR($C$101&gt;$AR79,$D$101&lt;$AR79),0,Schweine_Werte!$M79))</f>
        <v>0</v>
      </c>
      <c r="BV79" s="797">
        <f>IF(OR($C$110=$AR79,$D$110=$AR79),Schweine_Werte!$M79*0.5,IF(OR($C$110&gt;$AR79,$D$110&lt;$AR79),0,Schweine_Werte!$M79))</f>
        <v>0</v>
      </c>
      <c r="BW79" s="797">
        <f>IF(OR(8=$AR79,$E$127=$AR79),Schweine_Werte!$M79*0.5,IF(OR(8&gt;$AR79,$E$127&lt;$AR79),0,Schweine_Werte!$M79))</f>
        <v>1.1250241779203325</v>
      </c>
      <c r="BX79" s="797">
        <f>IF(OR(8=$AR79,$E$145=$AR79),Schweine_Werte!$M79*0.5,IF(OR(8&gt;$AR79,$E$145&lt;$AR79),0,Schweine_Werte!$M79))</f>
        <v>1.1250241779203325</v>
      </c>
      <c r="BY79" s="795">
        <f>IF(OR($C$74=$AR79,$D$74=$AR79),Schweine_Werte!$O79*0.5,IF(OR($C$74&gt;$AR79,$D$74&lt;$AR79),0,Schweine_Werte!$O79))</f>
        <v>0</v>
      </c>
      <c r="BZ79" s="795">
        <f>IF(OR($C$83=$AR79,$D$83=$AR79),Schweine_Werte!$O79*0.5,IF(OR($C$83&gt;$AR79,$D$83&lt;$AR79),0,Schweine_Werte!$O79))</f>
        <v>0</v>
      </c>
      <c r="CA79" s="797">
        <f>IF(OR($C$92=$AR79,$D$92=$AR79),Schweine_Werte!$O79*0.5,IF(OR($C$92&gt;$AR79,$D$92&lt;$AR79),0,Schweine_Werte!$O79))</f>
        <v>0</v>
      </c>
      <c r="CB79" s="797">
        <f>IF(OR($C$101=$AR79,$D$101=$AR79),Schweine_Werte!$O79*0.5,IF(OR($C$101&gt;$AR79,$D$101&lt;$AR79),0,Schweine_Werte!$O79))</f>
        <v>0</v>
      </c>
      <c r="CC79" s="797">
        <f>IF(OR($C$110=$AR79,$D$110=$AR79),Schweine_Werte!$O79*0.5,IF(OR($C$110&gt;$AR79,$D$110&lt;$AR79),0,Schweine_Werte!$O79))</f>
        <v>0</v>
      </c>
    </row>
    <row r="80" spans="1:81" x14ac:dyDescent="0.25">
      <c r="B80">
        <v>500</v>
      </c>
      <c r="D80" s="730"/>
      <c r="E80" t="e">
        <f>($D83-$C83)*1000/SUM($BZ$4:$BZ$31)</f>
        <v>#VALUE!</v>
      </c>
      <c r="F80" s="730" t="e">
        <f>SUMPRODUCT($BZ$4:$BZ$31,Schweine_Werte!$W$4:$W$31)/SUM($BZ$4:$BZ$31)</f>
        <v>#DIV/0!</v>
      </c>
      <c r="G80" s="730" t="e">
        <f>IF($B83=$A$8,SUMPRODUCT($BZ$4:$BZ$31,Schweine_Werte!HK$4:HK$31)/SUM($BZ$4:$BZ$31),IF($B83=$A$7,SUMPRODUCT($BZ$4:$BZ$31,Schweine_Werte!GW$4:GW$31)/SUM($BZ$4:$BZ$31),IF($B83=$A$6,SUMPRODUCT($BZ$4:$BZ$31,Schweine_Werte!GI$4:GI$31)/SUM($BZ$4:$BZ$31),SUMPRODUCT($BZ$4:$BZ$31,Schweine_Werte!FU$4:FU$31)/SUM($BZ$4:$BZ$31))))</f>
        <v>#DIV/0!</v>
      </c>
      <c r="H80" s="730" t="e">
        <f>IF($B83=$A$8,SUMPRODUCT($BZ$4:$BZ$31,Schweine_Werte!HL$4:HL$31)/SUM($BZ$4:$BZ$31),IF($B83=$A$7,SUMPRODUCT($BZ$4:$BZ$31,Schweine_Werte!GX$4:GX$31)/SUM($BZ$4:$BZ$31),IF($B83=$A$6,SUMPRODUCT($BZ$4:$BZ$31,Schweine_Werte!GJ$4:GJ$31)/SUM($BZ$4:$BZ$31),SUMPRODUCT($BZ$4:$BZ$31,Schweine_Werte!FV$4:FV$31)/SUM($BZ$4:$BZ$31))))</f>
        <v>#DIV/0!</v>
      </c>
      <c r="I80" s="730" t="e">
        <f>IF($B83=$A$8,SUMPRODUCT($BZ$4:$BZ$31,Schweine_Werte!HM$4:HM$31)/SUM($BZ$4:$BZ$31),IF($B83=$A$7,SUMPRODUCT($BZ$4:$BZ$31,Schweine_Werte!GY$4:GY$31)/SUM($BZ$4:$BZ$31),IF($B83=$A$6,SUMPRODUCT($BZ$4:$BZ$31,Schweine_Werte!GK$4:GK$31)/SUM($BZ$4:$BZ$31),SUMPRODUCT($BZ$4:$BZ$31,Schweine_Werte!FW$4:FW$31)/SUM($BZ$4:$BZ$31))))</f>
        <v>#DIV/0!</v>
      </c>
      <c r="J80" s="730" t="e">
        <f>SUMPRODUCT($BZ$4:$BZ$31,Schweine_Werte!$AE$4:$AE$31)/SUM($BZ$4:$BZ$31)</f>
        <v>#DIV/0!</v>
      </c>
      <c r="K80" s="730" t="e">
        <f>SUMPRODUCT($BZ$4:$BZ$31,Schweine_Werte!$AM$4:$AM$31)/SUM($BZ$4:$BZ$31)</f>
        <v>#DIV/0!</v>
      </c>
      <c r="L80" s="730" t="e">
        <f>T80*$F80*365/1000+$J80-$K80</f>
        <v>#DIV/0!</v>
      </c>
      <c r="M80" s="730" t="e">
        <f>U80*$F80*365/1000+$J80-$K80/2</f>
        <v>#DIV/0!</v>
      </c>
      <c r="N80" s="730" t="e">
        <f>V80*$F80*365/1000+$J80</f>
        <v>#DIV/0!</v>
      </c>
      <c r="O80" s="730">
        <f>IF($C83&lt;28,SUM($BZ$4:$BZ$23)+IF($D83&gt;28,$BZ$24*0.5,$BZ$24),0)</f>
        <v>0</v>
      </c>
      <c r="P80" s="730">
        <f>IF($D83&gt;28,SUM($BZ$25:$BZ$31)+IF($C83&lt;28,$BZ$24*0.5,$BZ$24),0)</f>
        <v>0</v>
      </c>
      <c r="Q80" s="730" t="e">
        <f t="shared" si="43"/>
        <v>#DIV/0!</v>
      </c>
      <c r="R80" s="730" t="e">
        <f t="shared" si="43"/>
        <v>#DIV/0!</v>
      </c>
      <c r="S80" s="730" t="e">
        <f t="shared" si="43"/>
        <v>#DIV/0!</v>
      </c>
      <c r="T80" s="730" t="e">
        <f>+($O80*Schweine_Werte!$HT$16+$P80*Schweine_Werte!$HU$16)/SUM($O80:$P80)</f>
        <v>#DIV/0!</v>
      </c>
      <c r="U80" s="730" t="e">
        <f>+($O80*Schweine_Werte!$HV$16+$P80*Schweine_Werte!$HW$16)/SUM($O80:$P80)</f>
        <v>#DIV/0!</v>
      </c>
      <c r="V80" s="730" t="e">
        <f>+($O80*Schweine_Werte!$HX$16+$P80*Schweine_Werte!$HY$16)/SUM($O80:$P80)</f>
        <v>#DIV/0!</v>
      </c>
      <c r="W80" s="730" t="e">
        <f>($J80*0.055+T80*0.365*0.86*$F80-$K80*0.018)/L80*100</f>
        <v>#DIV/0!</v>
      </c>
      <c r="X80" s="730" t="e">
        <f>($J80*0.055+U80*0.365*0.86*$F80-$K80*0.018/2)/M80*100</f>
        <v>#DIV/0!</v>
      </c>
      <c r="Y80" s="730" t="e">
        <f>($J80*0.055+V80*0.365*0.86*$F80)/N80*100</f>
        <v>#DIV/0!</v>
      </c>
      <c r="Z80" s="730" t="e">
        <f>IF($B83=$A$8,SUMPRODUCT($BZ$4:$BZ$31,Schweine_Werte!$HN$4:$HN$31,Schweine_Werte!$HO$4:$HO$31)/SUMPRODUCT($BZ$4:$BZ$31,Schweine_Werte!$HN$4:$HN$31),IF($B83=$A$7,SUMPRODUCT($BZ$4:$BZ$31,Schweine_Werte!$GZ$4:$GZ$31,Schweine_Werte!$HA$4:$HA$31)/SUMPRODUCT($BZ$4:$BZ$31,Schweine_Werte!$GZ$4:$GZ$31),IF($B83=$A$6,SUMPRODUCT($BZ$4:$BZ$31,Schweine_Werte!$GL$4:$GL$31,Schweine_Werte!$GM$4:$GM$31)/SUMPRODUCT($BZ$4:$BZ$31,Schweine_Werte!$GL$4:$GL$31),SUMPRODUCT($BZ$4:$BZ$31,Schweine_Werte!$FX$4:$FX$31,Schweine_Werte!$FY$4:$FY$31)/SUMPRODUCT($BZ$4:$BZ$31,Schweine_Werte!$FX$4:$FX$31))))</f>
        <v>#DIV/0!</v>
      </c>
      <c r="AA80" s="730"/>
      <c r="AB80" s="730">
        <f>IF($B83=$A$8,SUMIF(Schweine_Werte!$AO$4:$AO$31,$C83,Schweine_Werte!$HO$4:$HO$31),IF($B83=$A$7,SUMIF(Schweine_Werte!$AO$4:$AO$31,$C83,Schweine_Werte!$HA$4:$HA$31),IF($B83=$A$6,SUMIF(Schweine_Werte!$AO$4:$AO$31,$C83,Schweine_Werte!$GM$4:$GM$31),SUMIF(Schweine_Werte!$AO$4:$AO$31,$C83,Schweine_Werte!$FY$4:$FY$31))))</f>
        <v>0</v>
      </c>
      <c r="AC80" s="730"/>
      <c r="AD80" s="730">
        <f>IF($B83=$A$8,SUMIF(Schweine_Werte!$AO$4:$AO$31,$D83,Schweine_Werte!$HO$4:$HO$31),IF($B83=$A$7,SUMIF(Schweine_Werte!$AO$4:$AO$31,$D83,Schweine_Werte!$HA$4:$HA$31),IF($B83=$A$6,SUMIF(Schweine_Werte!$AO$4:$AO$31,$D83,Schweine_Werte!$GM$4:$GM$31),SUMIF(Schweine_Werte!$AO$4:$AO$31,$D83,Schweine_Werte!$FY$4:$FY$31))))</f>
        <v>0</v>
      </c>
      <c r="AE80" s="730"/>
      <c r="AF80" s="730"/>
      <c r="AG80" s="730" t="e">
        <f>IF($B83=$A$8,SUMPRODUCT($BZ$4:$BZ$31,Schweine_Werte!$HN$4:$HN$31)/SUM($BZ$4:$BZ$31),IF($B83=$A$7,SUMPRODUCT($BZ$4:$BZ$31,Schweine_Werte!$GZ$4:$GZ$31)/SUM($BZ$4:$BZ$31),IF($B83=$A$6,SUMPRODUCT($BZ$4:$BZ$31,Schweine_Werte!$GL$4:$GL$31)/SUM($BZ$4:$BZ$31),SUMPRODUCT($BZ$4:$BZ$31,Schweine_Werte!$FX$4:$FX$31)/SUM($BZ$4:$BZ$31))))</f>
        <v>#DIV/0!</v>
      </c>
      <c r="AH80" s="730"/>
      <c r="AI80" s="730"/>
      <c r="AJ80" s="730" t="e">
        <f>IF($B83=$A$8,SUMPRODUCT($BZ$4:$BZ$31,Schweine_Werte!$HN$4:$HN$31,Schweine_Werte!$HP$4:$HP$31)/SUMPRODUCT($BZ$4:$BZ$31,Schweine_Werte!$HN$4:$HN$31),IF($B83=$A$7,SUMPRODUCT($BZ$4:$BZ$31,Schweine_Werte!$GZ$4:$GZ$31,Schweine_Werte!$HB$4:$HB$31)/SUMPRODUCT($BZ$4:$BZ$31,Schweine_Werte!$GZ$4:$GZ$31),IF($B83=$A$6,SUMPRODUCT($BZ$4:$BZ$31,Schweine_Werte!$GL$4:$GL$31,Schweine_Werte!$GN$4:$GN$31)/SUMPRODUCT($BZ$4:$BZ$31,Schweine_Werte!$GL$4:$GL$31),SUMPRODUCT($BZ$4:$BZ$31,Schweine_Werte!$FX$4:$FX$31,Schweine_Werte!$FZ$4:$FZ$31)/SUMPRODUCT($BZ$4:$BZ$31,Schweine_Werte!$FX$4:$FX$31))))</f>
        <v>#DIV/0!</v>
      </c>
      <c r="AK80" s="730"/>
      <c r="AL80" s="730">
        <f>IF($B83=$A$8,SUMIF(Schweine_Werte!$AO$4:$AO$31,$C83,Schweine_Werte!$HP$4:$HP$31),IF($B83=$A$7,SUMIF(Schweine_Werte!$AO$4:$AO$31,$C83,Schweine_Werte!$HB$4:$HB$31),IF($B83=$A$6,SUMIF(Schweine_Werte!$AO$4:$AO$31,$C83,Schweine_Werte!$GN$4:$GN$31),SUMIF(Schweine_Werte!$AO$4:$AO$31,$C83,Schweine_Werte!$FZ$4:$FZ$31))))</f>
        <v>0</v>
      </c>
      <c r="AM80" s="730"/>
      <c r="AN80" s="730">
        <f>IF($B83=$A$8,SUMIF(Schweine_Werte!$AO$4:$AO$31,$D83,Schweine_Werte!$HP$4:$HP$31),IF($B83=$A$7,SUMIF(Schweine_Werte!$AO$4:$AO$31,$D83,Schweine_Werte!$HB$4:$HB$31),IF($B83=$A$6,SUMIF(Schweine_Werte!$AO$4:$AO$31,$D83,Schweine_Werte!$GN$4:$GN$31),SUMIF(Schweine_Werte!$AO$4:$AO$31,$D83,Schweine_Werte!$FZ$4:$FZ$31))))</f>
        <v>0</v>
      </c>
      <c r="AO80" s="730"/>
      <c r="AR80" s="806">
        <v>84</v>
      </c>
      <c r="AS80" s="795">
        <f>IF(OR($C$12=$AR80,$D$12=$AR80),Schweine_Werte!$C80*0.5,IF(OR($C$12&gt;$AR80,$D$12&lt;$AR80),0,Schweine_Werte!$C80))</f>
        <v>0</v>
      </c>
      <c r="AT80" s="730">
        <f>IF(OR($C$24=$AR80,$D$24=$AR80),Schweine_Werte!$C80*0.5,IF(OR($C$24&gt;$AR80,$D$24&lt;$AR80),0,Schweine_Werte!$C80))</f>
        <v>0</v>
      </c>
      <c r="AU80" s="795">
        <f>IF(OR($C$36=$AR80,$D$36=$AR80),Schweine_Werte!$C80*0.5,IF(OR($C$36&gt;$AR80,$D$36&lt;$AR80),0,Schweine_Werte!$C80))</f>
        <v>0</v>
      </c>
      <c r="AV80" s="795">
        <f>IF(OR($C$48=$AR80,$D$48=$AR80),Schweine_Werte!$C80*0.5,IF(OR($C$48&gt;$AR80,$D$48&lt;$AR80),0,Schweine_Werte!$C80))</f>
        <v>0</v>
      </c>
      <c r="AW80" s="795">
        <f>IF(OR($C$60=$AR80,$D$60=$AR80),Schweine_Werte!$C80*0.5,IF(OR($C$60&gt;$AR80,$D$60&lt;$AR80),0,Schweine_Werte!$C80))</f>
        <v>0</v>
      </c>
      <c r="AX80" s="795">
        <f>IF(OR($C$12=$AR80,$D$12=$AR80),Schweine_Werte!$E80*0.5,IF(OR($C$12&gt;$AR80,$D$12&lt;$AR80),0,Schweine_Werte!$E80))</f>
        <v>0</v>
      </c>
      <c r="AY80" s="730">
        <f>IF(OR($C$24=$AR80,$D$24=$AR80),Schweine_Werte!$E80*0.5,IF(OR($C$24&gt;$AR80,$D$24&lt;$AR80),0,Schweine_Werte!$E80))</f>
        <v>0</v>
      </c>
      <c r="AZ80" s="730">
        <f>IF(OR($C$36=$AR80,$D$36=$AR80),Schweine_Werte!$E80*0.5,IF(OR($C$36&gt;$AR80,$D$36&lt;$AR80),0,Schweine_Werte!$E80))</f>
        <v>0</v>
      </c>
      <c r="BA80" s="730">
        <f>IF(OR($C$48=$AR80,$D$48=$AR80),Schweine_Werte!$E80*0.5,IF(OR($C$48&gt;$AR80,$D$48&lt;$AR80),0,Schweine_Werte!$E80))</f>
        <v>0</v>
      </c>
      <c r="BB80" s="730">
        <f>IF(OR($C$60=$AR80,$D$60=$AR80),Schweine_Werte!$E80*0.5,IF(OR($C$60&gt;$AR80,$D$60&lt;$AR80),0,Schweine_Werte!$E80))</f>
        <v>0</v>
      </c>
      <c r="BC80" s="795">
        <f>IF(OR($C$12=$AR80,$D$12=$AR80),Schweine_Werte!$G80*0.5,IF(OR($C$12&gt;$AR80,$D$12&lt;$AR80),0,Schweine_Werte!$G80))</f>
        <v>0</v>
      </c>
      <c r="BD80" s="730">
        <f>IF(OR($C$24=$AR80,$D$24=$AR80),Schweine_Werte!$G80*0.5,IF(OR($C$24&gt;$AR80,$D$24&lt;$AR80),0,Schweine_Werte!$G80))</f>
        <v>0</v>
      </c>
      <c r="BE80" s="730">
        <f>IF(OR($C$36=$AR80,$D$36=$AR80),Schweine_Werte!$G80*0.5,IF(OR($C$36&gt;$AR80,$D$36&lt;$AR80),0,Schweine_Werte!$G80))</f>
        <v>0</v>
      </c>
      <c r="BF80" s="730">
        <f>IF(OR($C$48=$AR80,$D$48=$AR80),Schweine_Werte!$G80*0.5,IF(OR($C$48&gt;$AR80,$D$48&lt;$AR80),0,Schweine_Werte!$G80))</f>
        <v>0</v>
      </c>
      <c r="BG80" s="730">
        <f>IF(OR($C$60=$AR80,$D$60=$AR80),Schweine_Werte!$G80*0.5,IF(OR($C$60&gt;$AR80,$D$60&lt;$AR80),0,Schweine_Werte!$G80))</f>
        <v>0</v>
      </c>
      <c r="BH80" s="795">
        <f>IF(OR($C$12=$AR80,$D$12=$AR80),Schweine_Werte!$I80*0.5,IF(OR($C$12&gt;$AR80,$D$12&lt;$AR80),0,Schweine_Werte!$I80))</f>
        <v>0</v>
      </c>
      <c r="BI80" s="730">
        <f>IF(OR($C$24=$AR80,$D$24=$AR80),Schweine_Werte!$I80*0.5,IF(OR($C$24&gt;$AR80,$D$24&lt;$AR80),0,Schweine_Werte!$I80))</f>
        <v>0</v>
      </c>
      <c r="BJ80" s="730">
        <f>IF(OR($C$36=$AR80,$D$36=$AR80),Schweine_Werte!$I80*0.5,IF(OR($C$36&gt;$AR80,$D$36&lt;$AR80),0,Schweine_Werte!$I80))</f>
        <v>0</v>
      </c>
      <c r="BK80" s="730">
        <f>IF(OR($C$48=$AR80,$D$48=$AR80),Schweine_Werte!$I80*0.5,IF(OR($C$48&gt;$AR80,$D$48&lt;$AR80),0,Schweine_Werte!$I80))</f>
        <v>0</v>
      </c>
      <c r="BL80" s="730">
        <f>IF(OR($C$60=$AR80,$D$60=$AR80),Schweine_Werte!$I80*0.5,IF(OR($C$60&gt;$AR80,$D$60&lt;$AR80),0,Schweine_Werte!$I80))</f>
        <v>0</v>
      </c>
      <c r="BM80" s="795"/>
      <c r="BN80" s="730"/>
      <c r="BO80" s="730"/>
      <c r="BP80" s="730"/>
      <c r="BQ80" s="730"/>
      <c r="BR80" s="795">
        <f>IF(OR($C$74=$AR80,$D$74=$AR80),Schweine_Werte!$M80*0.5,IF(OR($C$74&gt;$AR80,$D$74&lt;$AR80),0,Schweine_Werte!$M80))</f>
        <v>0</v>
      </c>
      <c r="BS80" s="795">
        <f>IF(OR($C$83=$AR80,$D$83=$AR80),Schweine_Werte!$M80*0.5,IF(OR($C$83&gt;$AR80,$D$83&lt;$AR80),0,Schweine_Werte!$M80))</f>
        <v>0</v>
      </c>
      <c r="BT80" s="797">
        <f>IF(OR($C$92=$AR80,$D$92=$AR80),Schweine_Werte!$M80*0.5,IF(OR($C$92&gt;$AR80,$D$92&lt;$AR80),0,Schweine_Werte!$M80))</f>
        <v>0</v>
      </c>
      <c r="BU80" s="797">
        <f>IF(OR($C$101=$AR80,$D$101=$AR80),Schweine_Werte!$M80*0.5,IF(OR($C$101&gt;$AR80,$D$101&lt;$AR80),0,Schweine_Werte!$M80))</f>
        <v>0</v>
      </c>
      <c r="BV80" s="797">
        <f>IF(OR($C$110=$AR80,$D$110=$AR80),Schweine_Werte!$M80*0.5,IF(OR($C$110&gt;$AR80,$D$110&lt;$AR80),0,Schweine_Werte!$M80))</f>
        <v>0</v>
      </c>
      <c r="BW80" s="797">
        <f>IF(OR(8=$AR80,$E$127=$AR80),Schweine_Werte!$M80*0.5,IF(OR(8&gt;$AR80,$E$127&lt;$AR80),0,Schweine_Werte!$M80))</f>
        <v>1.1291804991913001</v>
      </c>
      <c r="BX80" s="797">
        <f>IF(OR(8=$AR80,$E$145=$AR80),Schweine_Werte!$M80*0.5,IF(OR(8&gt;$AR80,$E$145&lt;$AR80),0,Schweine_Werte!$M80))</f>
        <v>1.1291804991913001</v>
      </c>
      <c r="BY80" s="795">
        <f>IF(OR($C$74=$AR80,$D$74=$AR80),Schweine_Werte!$O80*0.5,IF(OR($C$74&gt;$AR80,$D$74&lt;$AR80),0,Schweine_Werte!$O80))</f>
        <v>0</v>
      </c>
      <c r="BZ80" s="795">
        <f>IF(OR($C$83=$AR80,$D$83=$AR80),Schweine_Werte!$O80*0.5,IF(OR($C$83&gt;$AR80,$D$83&lt;$AR80),0,Schweine_Werte!$O80))</f>
        <v>0</v>
      </c>
      <c r="CA80" s="797">
        <f>IF(OR($C$92=$AR80,$D$92=$AR80),Schweine_Werte!$O80*0.5,IF(OR($C$92&gt;$AR80,$D$92&lt;$AR80),0,Schweine_Werte!$O80))</f>
        <v>0</v>
      </c>
      <c r="CB80" s="797">
        <f>IF(OR($C$101=$AR80,$D$101=$AR80),Schweine_Werte!$O80*0.5,IF(OR($C$101&gt;$AR80,$D$101&lt;$AR80),0,Schweine_Werte!$O80))</f>
        <v>0</v>
      </c>
      <c r="CC80" s="797">
        <f>IF(OR($C$110=$AR80,$D$110=$AR80),Schweine_Werte!$O80*0.5,IF(OR($C$110&gt;$AR80,$D$110&lt;$AR80),0,Schweine_Werte!$O80))</f>
        <v>0</v>
      </c>
    </row>
    <row r="81" spans="1:81" ht="15.6" x14ac:dyDescent="0.3">
      <c r="F81" s="357"/>
      <c r="G81" s="1626" t="s">
        <v>7713</v>
      </c>
      <c r="H81" s="1627"/>
      <c r="I81" s="1628"/>
      <c r="J81" s="1039" t="s">
        <v>596</v>
      </c>
      <c r="K81" s="1039" t="s">
        <v>226</v>
      </c>
      <c r="L81" s="1621" t="s">
        <v>7714</v>
      </c>
      <c r="M81" s="1622"/>
      <c r="N81" s="1623"/>
      <c r="O81" s="1621" t="s">
        <v>7715</v>
      </c>
      <c r="P81" s="1623"/>
      <c r="Q81" s="1621" t="s">
        <v>7770</v>
      </c>
      <c r="R81" s="1622"/>
      <c r="S81" s="1623"/>
      <c r="T81" s="1621" t="s">
        <v>7716</v>
      </c>
      <c r="U81" s="1622"/>
      <c r="V81" s="1623"/>
      <c r="W81" s="1621" t="s">
        <v>7798</v>
      </c>
      <c r="X81" s="1622"/>
      <c r="Y81" s="1623"/>
      <c r="Z81" s="1632" t="s">
        <v>7799</v>
      </c>
      <c r="AA81" s="1633"/>
      <c r="AB81" s="1632" t="s">
        <v>7800</v>
      </c>
      <c r="AC81" s="1633"/>
      <c r="AD81" s="1632" t="s">
        <v>7801</v>
      </c>
      <c r="AE81" s="1633"/>
      <c r="AF81" s="1040" t="s">
        <v>7910</v>
      </c>
      <c r="AG81" s="1624" t="s">
        <v>7804</v>
      </c>
      <c r="AH81" s="1625"/>
      <c r="AI81" s="1148" t="s">
        <v>7911</v>
      </c>
      <c r="AJ81" s="1632" t="s">
        <v>7799</v>
      </c>
      <c r="AK81" s="1633"/>
      <c r="AL81" s="1632" t="s">
        <v>7800</v>
      </c>
      <c r="AM81" s="1633"/>
      <c r="AN81" s="1632" t="s">
        <v>7801</v>
      </c>
      <c r="AO81" s="1633"/>
      <c r="AR81" s="806">
        <v>85</v>
      </c>
      <c r="AS81" s="795">
        <f>IF(OR($C$12=$AR81,$D$12=$AR81),Schweine_Werte!$C81*0.5,IF(OR($C$12&gt;$AR81,$D$12&lt;$AR81),0,Schweine_Werte!$C81))</f>
        <v>0</v>
      </c>
      <c r="AT81" s="730">
        <f>IF(OR($C$24=$AR81,$D$24=$AR81),Schweine_Werte!$C81*0.5,IF(OR($C$24&gt;$AR81,$D$24&lt;$AR81),0,Schweine_Werte!$C81))</f>
        <v>0</v>
      </c>
      <c r="AU81" s="795">
        <f>IF(OR($C$36=$AR81,$D$36=$AR81),Schweine_Werte!$C81*0.5,IF(OR($C$36&gt;$AR81,$D$36&lt;$AR81),0,Schweine_Werte!$C81))</f>
        <v>0</v>
      </c>
      <c r="AV81" s="795">
        <f>IF(OR($C$48=$AR81,$D$48=$AR81),Schweine_Werte!$C81*0.5,IF(OR($C$48&gt;$AR81,$D$48&lt;$AR81),0,Schweine_Werte!$C81))</f>
        <v>0</v>
      </c>
      <c r="AW81" s="795">
        <f>IF(OR($C$60=$AR81,$D$60=$AR81),Schweine_Werte!$C81*0.5,IF(OR($C$60&gt;$AR81,$D$60&lt;$AR81),0,Schweine_Werte!$C81))</f>
        <v>0</v>
      </c>
      <c r="AX81" s="795">
        <f>IF(OR($C$12=$AR81,$D$12=$AR81),Schweine_Werte!$E81*0.5,IF(OR($C$12&gt;$AR81,$D$12&lt;$AR81),0,Schweine_Werte!$E81))</f>
        <v>0</v>
      </c>
      <c r="AY81" s="730">
        <f>IF(OR($C$24=$AR81,$D$24=$AR81),Schweine_Werte!$E81*0.5,IF(OR($C$24&gt;$AR81,$D$24&lt;$AR81),0,Schweine_Werte!$E81))</f>
        <v>0</v>
      </c>
      <c r="AZ81" s="730">
        <f>IF(OR($C$36=$AR81,$D$36=$AR81),Schweine_Werte!$E81*0.5,IF(OR($C$36&gt;$AR81,$D$36&lt;$AR81),0,Schweine_Werte!$E81))</f>
        <v>0</v>
      </c>
      <c r="BA81" s="730">
        <f>IF(OR($C$48=$AR81,$D$48=$AR81),Schweine_Werte!$E81*0.5,IF(OR($C$48&gt;$AR81,$D$48&lt;$AR81),0,Schweine_Werte!$E81))</f>
        <v>0</v>
      </c>
      <c r="BB81" s="730">
        <f>IF(OR($C$60=$AR81,$D$60=$AR81),Schweine_Werte!$E81*0.5,IF(OR($C$60&gt;$AR81,$D$60&lt;$AR81),0,Schweine_Werte!$E81))</f>
        <v>0</v>
      </c>
      <c r="BC81" s="795">
        <f>IF(OR($C$12=$AR81,$D$12=$AR81),Schweine_Werte!$G81*0.5,IF(OR($C$12&gt;$AR81,$D$12&lt;$AR81),0,Schweine_Werte!$G81))</f>
        <v>0</v>
      </c>
      <c r="BD81" s="730">
        <f>IF(OR($C$24=$AR81,$D$24=$AR81),Schweine_Werte!$G81*0.5,IF(OR($C$24&gt;$AR81,$D$24&lt;$AR81),0,Schweine_Werte!$G81))</f>
        <v>0</v>
      </c>
      <c r="BE81" s="730">
        <f>IF(OR($C$36=$AR81,$D$36=$AR81),Schweine_Werte!$G81*0.5,IF(OR($C$36&gt;$AR81,$D$36&lt;$AR81),0,Schweine_Werte!$G81))</f>
        <v>0</v>
      </c>
      <c r="BF81" s="730">
        <f>IF(OR($C$48=$AR81,$D$48=$AR81),Schweine_Werte!$G81*0.5,IF(OR($C$48&gt;$AR81,$D$48&lt;$AR81),0,Schweine_Werte!$G81))</f>
        <v>0</v>
      </c>
      <c r="BG81" s="730">
        <f>IF(OR($C$60=$AR81,$D$60=$AR81),Schweine_Werte!$G81*0.5,IF(OR($C$60&gt;$AR81,$D$60&lt;$AR81),0,Schweine_Werte!$G81))</f>
        <v>0</v>
      </c>
      <c r="BH81" s="795">
        <f>IF(OR($C$12=$AR81,$D$12=$AR81),Schweine_Werte!$I81*0.5,IF(OR($C$12&gt;$AR81,$D$12&lt;$AR81),0,Schweine_Werte!$I81))</f>
        <v>0</v>
      </c>
      <c r="BI81" s="730">
        <f>IF(OR($C$24=$AR81,$D$24=$AR81),Schweine_Werte!$I81*0.5,IF(OR($C$24&gt;$AR81,$D$24&lt;$AR81),0,Schweine_Werte!$I81))</f>
        <v>0</v>
      </c>
      <c r="BJ81" s="730">
        <f>IF(OR($C$36=$AR81,$D$36=$AR81),Schweine_Werte!$I81*0.5,IF(OR($C$36&gt;$AR81,$D$36&lt;$AR81),0,Schweine_Werte!$I81))</f>
        <v>0</v>
      </c>
      <c r="BK81" s="730">
        <f>IF(OR($C$48=$AR81,$D$48=$AR81),Schweine_Werte!$I81*0.5,IF(OR($C$48&gt;$AR81,$D$48&lt;$AR81),0,Schweine_Werte!$I81))</f>
        <v>0</v>
      </c>
      <c r="BL81" s="730">
        <f>IF(OR($C$60=$AR81,$D$60=$AR81),Schweine_Werte!$I81*0.5,IF(OR($C$60&gt;$AR81,$D$60&lt;$AR81),0,Schweine_Werte!$I81))</f>
        <v>0</v>
      </c>
      <c r="BM81" s="795"/>
      <c r="BN81" s="730"/>
      <c r="BO81" s="730"/>
      <c r="BP81" s="730"/>
      <c r="BQ81" s="730"/>
      <c r="BR81" s="795">
        <f>IF(OR($C$74=$AR81,$D$74=$AR81),Schweine_Werte!$M81*0.5,IF(OR($C$74&gt;$AR81,$D$74&lt;$AR81),0,Schweine_Werte!$M81))</f>
        <v>0</v>
      </c>
      <c r="BS81" s="795">
        <f>IF(OR($C$83=$AR81,$D$83=$AR81),Schweine_Werte!$M81*0.5,IF(OR($C$83&gt;$AR81,$D$83&lt;$AR81),0,Schweine_Werte!$M81))</f>
        <v>0</v>
      </c>
      <c r="BT81" s="797">
        <f>IF(OR($C$92=$AR81,$D$92=$AR81),Schweine_Werte!$M81*0.5,IF(OR($C$92&gt;$AR81,$D$92&lt;$AR81),0,Schweine_Werte!$M81))</f>
        <v>0</v>
      </c>
      <c r="BU81" s="797">
        <f>IF(OR($C$101=$AR81,$D$101=$AR81),Schweine_Werte!$M81*0.5,IF(OR($C$101&gt;$AR81,$D$101&lt;$AR81),0,Schweine_Werte!$M81))</f>
        <v>0</v>
      </c>
      <c r="BV81" s="797">
        <f>IF(OR($C$110=$AR81,$D$110=$AR81),Schweine_Werte!$M81*0.5,IF(OR($C$110&gt;$AR81,$D$110&lt;$AR81),0,Schweine_Werte!$M81))</f>
        <v>0</v>
      </c>
      <c r="BW81" s="797">
        <f>IF(OR(8=$AR81,$E$127=$AR81),Schweine_Werte!$M81*0.5,IF(OR(8&gt;$AR81,$E$127&lt;$AR81),0,Schweine_Werte!$M81))</f>
        <v>1.1337482673734904</v>
      </c>
      <c r="BX81" s="797">
        <f>IF(OR(8=$AR81,$E$145=$AR81),Schweine_Werte!$M81*0.5,IF(OR(8&gt;$AR81,$E$145&lt;$AR81),0,Schweine_Werte!$M81))</f>
        <v>1.1337482673734904</v>
      </c>
      <c r="BY81" s="795">
        <f>IF(OR($C$74=$AR81,$D$74=$AR81),Schweine_Werte!$O81*0.5,IF(OR($C$74&gt;$AR81,$D$74&lt;$AR81),0,Schweine_Werte!$O81))</f>
        <v>0</v>
      </c>
      <c r="BZ81" s="795">
        <f>IF(OR($C$83=$AR81,$D$83=$AR81),Schweine_Werte!$O81*0.5,IF(OR($C$83&gt;$AR81,$D$83&lt;$AR81),0,Schweine_Werte!$O81))</f>
        <v>0</v>
      </c>
      <c r="CA81" s="797">
        <f>IF(OR($C$92=$AR81,$D$92=$AR81),Schweine_Werte!$O81*0.5,IF(OR($C$92&gt;$AR81,$D$92&lt;$AR81),0,Schweine_Werte!$O81))</f>
        <v>0</v>
      </c>
      <c r="CB81" s="797">
        <f>IF(OR($C$101=$AR81,$D$101=$AR81),Schweine_Werte!$O81*0.5,IF(OR($C$101&gt;$AR81,$D$101&lt;$AR81),0,Schweine_Werte!$O81))</f>
        <v>0</v>
      </c>
      <c r="CC81" s="797">
        <f>IF(OR($C$110=$AR81,$D$110=$AR81),Schweine_Werte!$O81*0.5,IF(OR($C$110&gt;$AR81,$D$110&lt;$AR81),0,Schweine_Werte!$O81))</f>
        <v>0</v>
      </c>
    </row>
    <row r="82" spans="1:81" ht="18" x14ac:dyDescent="0.25">
      <c r="B82" s="800" t="s">
        <v>7717</v>
      </c>
      <c r="C82" s="801" t="s">
        <v>7657</v>
      </c>
      <c r="D82" s="801" t="s">
        <v>7718</v>
      </c>
      <c r="E82" s="801" t="s">
        <v>7659</v>
      </c>
      <c r="F82" s="747" t="s">
        <v>196</v>
      </c>
      <c r="G82" s="675" t="s">
        <v>4</v>
      </c>
      <c r="H82" s="675" t="s">
        <v>7719</v>
      </c>
      <c r="I82" s="675" t="s">
        <v>7720</v>
      </c>
      <c r="J82" s="676" t="s">
        <v>7721</v>
      </c>
      <c r="K82" s="676" t="s">
        <v>7721</v>
      </c>
      <c r="L82" s="677" t="s">
        <v>39</v>
      </c>
      <c r="M82" s="677" t="s">
        <v>7722</v>
      </c>
      <c r="N82" s="677" t="s">
        <v>41</v>
      </c>
      <c r="O82" s="678" t="s">
        <v>0</v>
      </c>
      <c r="P82" s="678" t="s">
        <v>8</v>
      </c>
      <c r="Q82" s="677" t="s">
        <v>39</v>
      </c>
      <c r="R82" s="677" t="s">
        <v>40</v>
      </c>
      <c r="S82" s="677" t="s">
        <v>41</v>
      </c>
      <c r="T82" s="677" t="s">
        <v>39</v>
      </c>
      <c r="U82" s="677" t="s">
        <v>40</v>
      </c>
      <c r="V82" s="677" t="s">
        <v>41</v>
      </c>
      <c r="W82" s="676" t="s">
        <v>7696</v>
      </c>
      <c r="X82" s="676" t="s">
        <v>7697</v>
      </c>
      <c r="Y82" s="676" t="s">
        <v>7698</v>
      </c>
      <c r="Z82" s="802" t="s">
        <v>7802</v>
      </c>
      <c r="AA82" s="802" t="s">
        <v>7803</v>
      </c>
      <c r="AB82" s="802" t="s">
        <v>7802</v>
      </c>
      <c r="AC82" s="802" t="s">
        <v>7803</v>
      </c>
      <c r="AD82" s="802" t="s">
        <v>7802</v>
      </c>
      <c r="AE82" s="802" t="s">
        <v>7803</v>
      </c>
      <c r="AF82" s="802" t="s">
        <v>7912</v>
      </c>
      <c r="AG82" s="1049" t="s">
        <v>7913</v>
      </c>
      <c r="AH82" s="802" t="s">
        <v>7914</v>
      </c>
      <c r="AI82" s="802"/>
      <c r="AJ82" s="802" t="s">
        <v>7778</v>
      </c>
      <c r="AK82" s="802" t="s">
        <v>7805</v>
      </c>
      <c r="AL82" s="802" t="s">
        <v>7806</v>
      </c>
      <c r="AM82" s="802" t="s">
        <v>7807</v>
      </c>
      <c r="AN82" s="802" t="s">
        <v>7806</v>
      </c>
      <c r="AO82" s="802" t="s">
        <v>7808</v>
      </c>
      <c r="AR82" s="806">
        <v>86</v>
      </c>
      <c r="AS82" s="795">
        <f>IF(OR($C$12=$AR82,$D$12=$AR82),Schweine_Werte!$C82*0.5,IF(OR($C$12&gt;$AR82,$D$12&lt;$AR82),0,Schweine_Werte!$C82))</f>
        <v>0</v>
      </c>
      <c r="AT82" s="730">
        <f>IF(OR($C$24=$AR82,$D$24=$AR82),Schweine_Werte!$C82*0.5,IF(OR($C$24&gt;$AR82,$D$24&lt;$AR82),0,Schweine_Werte!$C82))</f>
        <v>0</v>
      </c>
      <c r="AU82" s="795">
        <f>IF(OR($C$36=$AR82,$D$36=$AR82),Schweine_Werte!$C82*0.5,IF(OR($C$36&gt;$AR82,$D$36&lt;$AR82),0,Schweine_Werte!$C82))</f>
        <v>0</v>
      </c>
      <c r="AV82" s="795">
        <f>IF(OR($C$48=$AR82,$D$48=$AR82),Schweine_Werte!$C82*0.5,IF(OR($C$48&gt;$AR82,$D$48&lt;$AR82),0,Schweine_Werte!$C82))</f>
        <v>0</v>
      </c>
      <c r="AW82" s="795">
        <f>IF(OR($C$60=$AR82,$D$60=$AR82),Schweine_Werte!$C82*0.5,IF(OR($C$60&gt;$AR82,$D$60&lt;$AR82),0,Schweine_Werte!$C82))</f>
        <v>0</v>
      </c>
      <c r="AX82" s="795">
        <f>IF(OR($C$12=$AR82,$D$12=$AR82),Schweine_Werte!$E82*0.5,IF(OR($C$12&gt;$AR82,$D$12&lt;$AR82),0,Schweine_Werte!$E82))</f>
        <v>0</v>
      </c>
      <c r="AY82" s="730">
        <f>IF(OR($C$24=$AR82,$D$24=$AR82),Schweine_Werte!$E82*0.5,IF(OR($C$24&gt;$AR82,$D$24&lt;$AR82),0,Schweine_Werte!$E82))</f>
        <v>0</v>
      </c>
      <c r="AZ82" s="730">
        <f>IF(OR($C$36=$AR82,$D$36=$AR82),Schweine_Werte!$E82*0.5,IF(OR($C$36&gt;$AR82,$D$36&lt;$AR82),0,Schweine_Werte!$E82))</f>
        <v>0</v>
      </c>
      <c r="BA82" s="730">
        <f>IF(OR($C$48=$AR82,$D$48=$AR82),Schweine_Werte!$E82*0.5,IF(OR($C$48&gt;$AR82,$D$48&lt;$AR82),0,Schweine_Werte!$E82))</f>
        <v>0</v>
      </c>
      <c r="BB82" s="730">
        <f>IF(OR($C$60=$AR82,$D$60=$AR82),Schweine_Werte!$E82*0.5,IF(OR($C$60&gt;$AR82,$D$60&lt;$AR82),0,Schweine_Werte!$E82))</f>
        <v>0</v>
      </c>
      <c r="BC82" s="795">
        <f>IF(OR($C$12=$AR82,$D$12=$AR82),Schweine_Werte!$G82*0.5,IF(OR($C$12&gt;$AR82,$D$12&lt;$AR82),0,Schweine_Werte!$G82))</f>
        <v>0</v>
      </c>
      <c r="BD82" s="730">
        <f>IF(OR($C$24=$AR82,$D$24=$AR82),Schweine_Werte!$G82*0.5,IF(OR($C$24&gt;$AR82,$D$24&lt;$AR82),0,Schweine_Werte!$G82))</f>
        <v>0</v>
      </c>
      <c r="BE82" s="730">
        <f>IF(OR($C$36=$AR82,$D$36=$AR82),Schweine_Werte!$G82*0.5,IF(OR($C$36&gt;$AR82,$D$36&lt;$AR82),0,Schweine_Werte!$G82))</f>
        <v>0</v>
      </c>
      <c r="BF82" s="730">
        <f>IF(OR($C$48=$AR82,$D$48=$AR82),Schweine_Werte!$G82*0.5,IF(OR($C$48&gt;$AR82,$D$48&lt;$AR82),0,Schweine_Werte!$G82))</f>
        <v>0</v>
      </c>
      <c r="BG82" s="730">
        <f>IF(OR($C$60=$AR82,$D$60=$AR82),Schweine_Werte!$G82*0.5,IF(OR($C$60&gt;$AR82,$D$60&lt;$AR82),0,Schweine_Werte!$G82))</f>
        <v>0</v>
      </c>
      <c r="BH82" s="795">
        <f>IF(OR($C$12=$AR82,$D$12=$AR82),Schweine_Werte!$I82*0.5,IF(OR($C$12&gt;$AR82,$D$12&lt;$AR82),0,Schweine_Werte!$I82))</f>
        <v>0</v>
      </c>
      <c r="BI82" s="730">
        <f>IF(OR($C$24=$AR82,$D$24=$AR82),Schweine_Werte!$I82*0.5,IF(OR($C$24&gt;$AR82,$D$24&lt;$AR82),0,Schweine_Werte!$I82))</f>
        <v>0</v>
      </c>
      <c r="BJ82" s="730">
        <f>IF(OR($C$36=$AR82,$D$36=$AR82),Schweine_Werte!$I82*0.5,IF(OR($C$36&gt;$AR82,$D$36&lt;$AR82),0,Schweine_Werte!$I82))</f>
        <v>0</v>
      </c>
      <c r="BK82" s="730">
        <f>IF(OR($C$48=$AR82,$D$48=$AR82),Schweine_Werte!$I82*0.5,IF(OR($C$48&gt;$AR82,$D$48&lt;$AR82),0,Schweine_Werte!$I82))</f>
        <v>0</v>
      </c>
      <c r="BL82" s="730">
        <f>IF(OR($C$60=$AR82,$D$60=$AR82),Schweine_Werte!$I82*0.5,IF(OR($C$60&gt;$AR82,$D$60&lt;$AR82),0,Schweine_Werte!$I82))</f>
        <v>0</v>
      </c>
      <c r="BM82" s="795"/>
      <c r="BN82" s="730"/>
      <c r="BO82" s="730"/>
      <c r="BP82" s="730"/>
      <c r="BQ82" s="730"/>
      <c r="BR82" s="795">
        <f>IF(OR($C$74=$AR82,$D$74=$AR82),Schweine_Werte!$M82*0.5,IF(OR($C$74&gt;$AR82,$D$74&lt;$AR82),0,Schweine_Werte!$M82))</f>
        <v>0</v>
      </c>
      <c r="BS82" s="795">
        <f>IF(OR($C$83=$AR82,$D$83=$AR82),Schweine_Werte!$M82*0.5,IF(OR($C$83&gt;$AR82,$D$83&lt;$AR82),0,Schweine_Werte!$M82))</f>
        <v>0</v>
      </c>
      <c r="BT82" s="797">
        <f>IF(OR($C$92=$AR82,$D$92=$AR82),Schweine_Werte!$M82*0.5,IF(OR($C$92&gt;$AR82,$D$92&lt;$AR82),0,Schweine_Werte!$M82))</f>
        <v>0</v>
      </c>
      <c r="BU82" s="797">
        <f>IF(OR($C$101=$AR82,$D$101=$AR82),Schweine_Werte!$M82*0.5,IF(OR($C$101&gt;$AR82,$D$101&lt;$AR82),0,Schweine_Werte!$M82))</f>
        <v>0</v>
      </c>
      <c r="BV82" s="797">
        <f>IF(OR($C$110=$AR82,$D$110=$AR82),Schweine_Werte!$M82*0.5,IF(OR($C$110&gt;$AR82,$D$110&lt;$AR82),0,Schweine_Werte!$M82))</f>
        <v>0</v>
      </c>
      <c r="BW82" s="797">
        <f>IF(OR(8=$AR82,$E$127=$AR82),Schweine_Werte!$M82*0.5,IF(OR(8&gt;$AR82,$E$127&lt;$AR82),0,Schweine_Werte!$M82))</f>
        <v>1.1387369354875152</v>
      </c>
      <c r="BX82" s="797">
        <f>IF(OR(8=$AR82,$E$145=$AR82),Schweine_Werte!$M82*0.5,IF(OR(8&gt;$AR82,$E$145&lt;$AR82),0,Schweine_Werte!$M82))</f>
        <v>1.1387369354875152</v>
      </c>
      <c r="BY82" s="795">
        <f>IF(OR($C$74=$AR82,$D$74=$AR82),Schweine_Werte!$O82*0.5,IF(OR($C$74&gt;$AR82,$D$74&lt;$AR82),0,Schweine_Werte!$O82))</f>
        <v>0</v>
      </c>
      <c r="BZ82" s="795">
        <f>IF(OR($C$83=$AR82,$D$83=$AR82),Schweine_Werte!$O82*0.5,IF(OR($C$83&gt;$AR82,$D$83&lt;$AR82),0,Schweine_Werte!$O82))</f>
        <v>0</v>
      </c>
      <c r="CA82" s="797">
        <f>IF(OR($C$92=$AR82,$D$92=$AR82),Schweine_Werte!$O82*0.5,IF(OR($C$92&gt;$AR82,$D$92&lt;$AR82),0,Schweine_Werte!$O82))</f>
        <v>0</v>
      </c>
      <c r="CB82" s="797">
        <f>IF(OR($C$101=$AR82,$D$101=$AR82),Schweine_Werte!$O82*0.5,IF(OR($C$101&gt;$AR82,$D$101&lt;$AR82),0,Schweine_Werte!$O82))</f>
        <v>0</v>
      </c>
      <c r="CC82" s="797">
        <f>IF(OR($C$110=$AR82,$D$110=$AR82),Schweine_Werte!$O82*0.5,IF(OR($C$110&gt;$AR82,$D$110&lt;$AR82),0,Schweine_Werte!$O82))</f>
        <v>0</v>
      </c>
    </row>
    <row r="83" spans="1:81" ht="15.6" x14ac:dyDescent="0.3">
      <c r="A83" t="s">
        <v>7792</v>
      </c>
      <c r="B83" s="816" t="str">
        <f>IF('Abweichende Werte'!X6=1,'Abweichende Werte'!F6,"")</f>
        <v/>
      </c>
      <c r="C83" s="679" t="str">
        <f>IF('Abweichende Werte'!X6=1,'Abweichende Werte'!J6,"")</f>
        <v/>
      </c>
      <c r="D83" s="680" t="str">
        <f>IF('Abweichende Werte'!X6=1,'Abweichende Werte'!M6,"")</f>
        <v/>
      </c>
      <c r="E83" s="680" t="str">
        <f>IF('Abweichende Werte'!X6=1,'Abweichende Werte'!P6,"")</f>
        <v/>
      </c>
      <c r="F83" s="803" t="e">
        <f>IF($E83&lt;=$E79,F79,IF(AND($E83&gt;$E79,$E83&lt;=$E80),F79+(F80-F79)/($E80-$E79)*($E83-$E79),IF($E83&gt;$E80,F80)))</f>
        <v>#VALUE!</v>
      </c>
      <c r="G83" s="803" t="e">
        <f t="shared" ref="G83:N83" si="44">IF($E83&lt;=$E79,G79,IF(AND($E83&gt;$E79,$E83&lt;=$E80),G79+(G80-G79)/($E80-$E79)*($E83-$E79),IF($E83&gt;$E80,G80)))</f>
        <v>#VALUE!</v>
      </c>
      <c r="H83" s="803" t="e">
        <f t="shared" si="44"/>
        <v>#VALUE!</v>
      </c>
      <c r="I83" s="803" t="e">
        <f t="shared" si="44"/>
        <v>#VALUE!</v>
      </c>
      <c r="J83" s="803" t="e">
        <f t="shared" si="44"/>
        <v>#VALUE!</v>
      </c>
      <c r="K83" s="803" t="e">
        <f t="shared" si="44"/>
        <v>#VALUE!</v>
      </c>
      <c r="L83" s="803" t="e">
        <f t="shared" si="44"/>
        <v>#VALUE!</v>
      </c>
      <c r="M83" s="803" t="e">
        <f t="shared" si="44"/>
        <v>#VALUE!</v>
      </c>
      <c r="N83" s="803" t="e">
        <f t="shared" si="44"/>
        <v>#VALUE!</v>
      </c>
      <c r="O83" s="804">
        <v>5.5</v>
      </c>
      <c r="P83" s="804">
        <v>1.8</v>
      </c>
      <c r="Q83" s="803" t="e">
        <f t="shared" ref="Q83:Z83" si="45">IF($E83&lt;=$E79,Q79,IF(AND($E83&gt;$E79,$E83&lt;=$E80),Q79+(Q80-Q79)/($E80-$E79)*($E83-$E79),IF($E83&gt;$E80,Q80)))</f>
        <v>#VALUE!</v>
      </c>
      <c r="R83" s="803" t="e">
        <f t="shared" si="45"/>
        <v>#VALUE!</v>
      </c>
      <c r="S83" s="803" t="e">
        <f t="shared" si="45"/>
        <v>#VALUE!</v>
      </c>
      <c r="T83" s="803" t="e">
        <f t="shared" si="45"/>
        <v>#VALUE!</v>
      </c>
      <c r="U83" s="803" t="e">
        <f t="shared" si="45"/>
        <v>#VALUE!</v>
      </c>
      <c r="V83" s="803" t="e">
        <f t="shared" si="45"/>
        <v>#VALUE!</v>
      </c>
      <c r="W83" s="803" t="e">
        <f t="shared" si="45"/>
        <v>#VALUE!</v>
      </c>
      <c r="X83" s="803" t="e">
        <f t="shared" si="45"/>
        <v>#VALUE!</v>
      </c>
      <c r="Y83" s="803" t="e">
        <f t="shared" si="45"/>
        <v>#VALUE!</v>
      </c>
      <c r="Z83" s="803" t="e">
        <f t="shared" si="45"/>
        <v>#VALUE!</v>
      </c>
      <c r="AA83" s="805" t="e">
        <f>+Z83*6.25</f>
        <v>#VALUE!</v>
      </c>
      <c r="AB83" s="803" t="e">
        <f>IF($E83&lt;=$E79,AB79,IF(AND($E83&gt;$E79,$E83&lt;=$E80),AB79+(AB80-AB79)/($E80-$E79)*($E83-$E79),IF($E83&gt;$E80,AB80)))</f>
        <v>#VALUE!</v>
      </c>
      <c r="AC83" s="805" t="e">
        <f>+AB83*6.25</f>
        <v>#VALUE!</v>
      </c>
      <c r="AD83" s="803" t="e">
        <f>IF($E83&lt;=$E79,AD79,IF(AND($E83&gt;$E79,$E83&lt;=$E80),AD79+(AD80-AD79)/($E80-$E79)*($E83-$E79),IF($E83&gt;$E80,AD80)))</f>
        <v>#VALUE!</v>
      </c>
      <c r="AE83" s="805" t="e">
        <f>+AD83*6.25</f>
        <v>#VALUE!</v>
      </c>
      <c r="AF83" s="805" t="e">
        <f>365/((D83-C83)/E83*1000)</f>
        <v>#VALUE!</v>
      </c>
      <c r="AG83" s="803" t="e">
        <f>IF($E83&lt;=$E79,AG79,IF(AND($E83&gt;$E79,$E83&lt;=$E80),AG79+(AG80-AG79)/($E80-$E79)*($E83-$E79),IF($E83&gt;$E80,AG80)))</f>
        <v>#VALUE!</v>
      </c>
      <c r="AH83" s="805" t="e">
        <f>+AG83/AF83</f>
        <v>#VALUE!</v>
      </c>
      <c r="AI83" s="805" t="e">
        <f>+CONCATENATE(ROUND(AH83/(D83-C83),1)," : 1")</f>
        <v>#VALUE!</v>
      </c>
      <c r="AJ83" s="803" t="e">
        <f>IF($E83&lt;=$E79,AJ79,IF(AND($E83&gt;$E79,$E83&lt;=$E80),AJ79+(AJ80-AJ79)/($E80-$E79)*($E83-$E79),IF($E83&gt;$E80,AJ80)))</f>
        <v>#VALUE!</v>
      </c>
      <c r="AK83" s="805" t="e">
        <f>+AJ83/2.291</f>
        <v>#VALUE!</v>
      </c>
      <c r="AL83" s="803" t="e">
        <f>IF($E83&lt;=$E79,AL79,IF(AND($E83&gt;$E79,$E83&lt;=$E80),AL79+(AL80-AL79)/($E80-$E79)*($E83-$E79),IF($E83&gt;$E80,AL80)))</f>
        <v>#VALUE!</v>
      </c>
      <c r="AM83" s="805" t="e">
        <f>+AL83/2.291</f>
        <v>#VALUE!</v>
      </c>
      <c r="AN83" s="803" t="e">
        <f>IF($E83&lt;=$E79,AN79,IF(AND($E83&gt;$E79,$E83&lt;=$E80),AN79+(AN80-AN79)/($E80-$E79)*($E83-$E79),IF($E83&gt;$E80,AN80)))</f>
        <v>#VALUE!</v>
      </c>
      <c r="AO83" s="805" t="e">
        <f>+AN83/2.291</f>
        <v>#VALUE!</v>
      </c>
      <c r="AR83" s="806">
        <v>87</v>
      </c>
      <c r="AS83" s="795">
        <f>IF(OR($C$12=$AR83,$D$12=$AR83),Schweine_Werte!$C83*0.5,IF(OR($C$12&gt;$AR83,$D$12&lt;$AR83),0,Schweine_Werte!$C83))</f>
        <v>0</v>
      </c>
      <c r="AT83" s="730">
        <f>IF(OR($C$24=$AR83,$D$24=$AR83),Schweine_Werte!$C83*0.5,IF(OR($C$24&gt;$AR83,$D$24&lt;$AR83),0,Schweine_Werte!$C83))</f>
        <v>0</v>
      </c>
      <c r="AU83" s="795">
        <f>IF(OR($C$36=$AR83,$D$36=$AR83),Schweine_Werte!$C83*0.5,IF(OR($C$36&gt;$AR83,$D$36&lt;$AR83),0,Schweine_Werte!$C83))</f>
        <v>0</v>
      </c>
      <c r="AV83" s="795">
        <f>IF(OR($C$48=$AR83,$D$48=$AR83),Schweine_Werte!$C83*0.5,IF(OR($C$48&gt;$AR83,$D$48&lt;$AR83),0,Schweine_Werte!$C83))</f>
        <v>0</v>
      </c>
      <c r="AW83" s="795">
        <f>IF(OR($C$60=$AR83,$D$60=$AR83),Schweine_Werte!$C83*0.5,IF(OR($C$60&gt;$AR83,$D$60&lt;$AR83),0,Schweine_Werte!$C83))</f>
        <v>0</v>
      </c>
      <c r="AX83" s="795">
        <f>IF(OR($C$12=$AR83,$D$12=$AR83),Schweine_Werte!$E83*0.5,IF(OR($C$12&gt;$AR83,$D$12&lt;$AR83),0,Schweine_Werte!$E83))</f>
        <v>0</v>
      </c>
      <c r="AY83" s="730">
        <f>IF(OR($C$24=$AR83,$D$24=$AR83),Schweine_Werte!$E83*0.5,IF(OR($C$24&gt;$AR83,$D$24&lt;$AR83),0,Schweine_Werte!$E83))</f>
        <v>0</v>
      </c>
      <c r="AZ83" s="730">
        <f>IF(OR($C$36=$AR83,$D$36=$AR83),Schweine_Werte!$E83*0.5,IF(OR($C$36&gt;$AR83,$D$36&lt;$AR83),0,Schweine_Werte!$E83))</f>
        <v>0</v>
      </c>
      <c r="BA83" s="730">
        <f>IF(OR($C$48=$AR83,$D$48=$AR83),Schweine_Werte!$E83*0.5,IF(OR($C$48&gt;$AR83,$D$48&lt;$AR83),0,Schweine_Werte!$E83))</f>
        <v>0</v>
      </c>
      <c r="BB83" s="730">
        <f>IF(OR($C$60=$AR83,$D$60=$AR83),Schweine_Werte!$E83*0.5,IF(OR($C$60&gt;$AR83,$D$60&lt;$AR83),0,Schweine_Werte!$E83))</f>
        <v>0</v>
      </c>
      <c r="BC83" s="795">
        <f>IF(OR($C$12=$AR83,$D$12=$AR83),Schweine_Werte!$G83*0.5,IF(OR($C$12&gt;$AR83,$D$12&lt;$AR83),0,Schweine_Werte!$G83))</f>
        <v>0</v>
      </c>
      <c r="BD83" s="730">
        <f>IF(OR($C$24=$AR83,$D$24=$AR83),Schweine_Werte!$G83*0.5,IF(OR($C$24&gt;$AR83,$D$24&lt;$AR83),0,Schweine_Werte!$G83))</f>
        <v>0</v>
      </c>
      <c r="BE83" s="730">
        <f>IF(OR($C$36=$AR83,$D$36=$AR83),Schweine_Werte!$G83*0.5,IF(OR($C$36&gt;$AR83,$D$36&lt;$AR83),0,Schweine_Werte!$G83))</f>
        <v>0</v>
      </c>
      <c r="BF83" s="730">
        <f>IF(OR($C$48=$AR83,$D$48=$AR83),Schweine_Werte!$G83*0.5,IF(OR($C$48&gt;$AR83,$D$48&lt;$AR83),0,Schweine_Werte!$G83))</f>
        <v>0</v>
      </c>
      <c r="BG83" s="730">
        <f>IF(OR($C$60=$AR83,$D$60=$AR83),Schweine_Werte!$G83*0.5,IF(OR($C$60&gt;$AR83,$D$60&lt;$AR83),0,Schweine_Werte!$G83))</f>
        <v>0</v>
      </c>
      <c r="BH83" s="795">
        <f>IF(OR($C$12=$AR83,$D$12=$AR83),Schweine_Werte!$I83*0.5,IF(OR($C$12&gt;$AR83,$D$12&lt;$AR83),0,Schweine_Werte!$I83))</f>
        <v>0</v>
      </c>
      <c r="BI83" s="730">
        <f>IF(OR($C$24=$AR83,$D$24=$AR83),Schweine_Werte!$I83*0.5,IF(OR($C$24&gt;$AR83,$D$24&lt;$AR83),0,Schweine_Werte!$I83))</f>
        <v>0</v>
      </c>
      <c r="BJ83" s="730">
        <f>IF(OR($C$36=$AR83,$D$36=$AR83),Schweine_Werte!$I83*0.5,IF(OR($C$36&gt;$AR83,$D$36&lt;$AR83),0,Schweine_Werte!$I83))</f>
        <v>0</v>
      </c>
      <c r="BK83" s="730">
        <f>IF(OR($C$48=$AR83,$D$48=$AR83),Schweine_Werte!$I83*0.5,IF(OR($C$48&gt;$AR83,$D$48&lt;$AR83),0,Schweine_Werte!$I83))</f>
        <v>0</v>
      </c>
      <c r="BL83" s="730">
        <f>IF(OR($C$60=$AR83,$D$60=$AR83),Schweine_Werte!$I83*0.5,IF(OR($C$60&gt;$AR83,$D$60&lt;$AR83),0,Schweine_Werte!$I83))</f>
        <v>0</v>
      </c>
      <c r="BM83" s="795"/>
      <c r="BN83" s="730"/>
      <c r="BO83" s="730"/>
      <c r="BP83" s="730"/>
      <c r="BQ83" s="730"/>
      <c r="BR83" s="795">
        <f>IF(OR($C$74=$AR83,$D$74=$AR83),Schweine_Werte!$M83*0.5,IF(OR($C$74&gt;$AR83,$D$74&lt;$AR83),0,Schweine_Werte!$M83))</f>
        <v>0</v>
      </c>
      <c r="BS83" s="795">
        <f>IF(OR($C$83=$AR83,$D$83=$AR83),Schweine_Werte!$M83*0.5,IF(OR($C$83&gt;$AR83,$D$83&lt;$AR83),0,Schweine_Werte!$M83))</f>
        <v>0</v>
      </c>
      <c r="BT83" s="797">
        <f>IF(OR($C$92=$AR83,$D$92=$AR83),Schweine_Werte!$M83*0.5,IF(OR($C$92&gt;$AR83,$D$92&lt;$AR83),0,Schweine_Werte!$M83))</f>
        <v>0</v>
      </c>
      <c r="BU83" s="797">
        <f>IF(OR($C$101=$AR83,$D$101=$AR83),Schweine_Werte!$M83*0.5,IF(OR($C$101&gt;$AR83,$D$101&lt;$AR83),0,Schweine_Werte!$M83))</f>
        <v>0</v>
      </c>
      <c r="BV83" s="797">
        <f>IF(OR($C$110=$AR83,$D$110=$AR83),Schweine_Werte!$M83*0.5,IF(OR($C$110&gt;$AR83,$D$110&lt;$AR83),0,Schweine_Werte!$M83))</f>
        <v>0</v>
      </c>
      <c r="BW83" s="797">
        <f>IF(OR(8=$AR83,$E$127=$AR83),Schweine_Werte!$M83*0.5,IF(OR(8&gt;$AR83,$E$127&lt;$AR83),0,Schweine_Werte!$M83))</f>
        <v>1.1441569543001229</v>
      </c>
      <c r="BX83" s="797">
        <f>IF(OR(8=$AR83,$E$145=$AR83),Schweine_Werte!$M83*0.5,IF(OR(8&gt;$AR83,$E$145&lt;$AR83),0,Schweine_Werte!$M83))</f>
        <v>1.1441569543001229</v>
      </c>
      <c r="BY83" s="795">
        <f>IF(OR($C$74=$AR83,$D$74=$AR83),Schweine_Werte!$O83*0.5,IF(OR($C$74&gt;$AR83,$D$74&lt;$AR83),0,Schweine_Werte!$O83))</f>
        <v>0</v>
      </c>
      <c r="BZ83" s="795">
        <f>IF(OR($C$83=$AR83,$D$83=$AR83),Schweine_Werte!$O83*0.5,IF(OR($C$83&gt;$AR83,$D$83&lt;$AR83),0,Schweine_Werte!$O83))</f>
        <v>0</v>
      </c>
      <c r="CA83" s="797">
        <f>IF(OR($C$92=$AR83,$D$92=$AR83),Schweine_Werte!$O83*0.5,IF(OR($C$92&gt;$AR83,$D$92&lt;$AR83),0,Schweine_Werte!$O83))</f>
        <v>0</v>
      </c>
      <c r="CB83" s="797">
        <f>IF(OR($C$101=$AR83,$D$101=$AR83),Schweine_Werte!$O83*0.5,IF(OR($C$101&gt;$AR83,$D$101&lt;$AR83),0,Schweine_Werte!$O83))</f>
        <v>0</v>
      </c>
      <c r="CC83" s="797">
        <f>IF(OR($C$110=$AR83,$D$110=$AR83),Schweine_Werte!$O83*0.5,IF(OR($C$110&gt;$AR83,$D$110&lt;$AR83),0,Schweine_Werte!$O83))</f>
        <v>0</v>
      </c>
    </row>
    <row r="84" spans="1:81" x14ac:dyDescent="0.25">
      <c r="AR84" s="806">
        <v>88</v>
      </c>
      <c r="AS84" s="795">
        <f>IF(OR($C$12=$AR84,$D$12=$AR84),Schweine_Werte!$C84*0.5,IF(OR($C$12&gt;$AR84,$D$12&lt;$AR84),0,Schweine_Werte!$C84))</f>
        <v>0</v>
      </c>
      <c r="AT84" s="730">
        <f>IF(OR($C$24=$AR84,$D$24=$AR84),Schweine_Werte!$C84*0.5,IF(OR($C$24&gt;$AR84,$D$24&lt;$AR84),0,Schweine_Werte!$C84))</f>
        <v>0</v>
      </c>
      <c r="AU84" s="795">
        <f>IF(OR($C$36=$AR84,$D$36=$AR84),Schweine_Werte!$C84*0.5,IF(OR($C$36&gt;$AR84,$D$36&lt;$AR84),0,Schweine_Werte!$C84))</f>
        <v>0</v>
      </c>
      <c r="AV84" s="795">
        <f>IF(OR($C$48=$AR84,$D$48=$AR84),Schweine_Werte!$C84*0.5,IF(OR($C$48&gt;$AR84,$D$48&lt;$AR84),0,Schweine_Werte!$C84))</f>
        <v>0</v>
      </c>
      <c r="AW84" s="795">
        <f>IF(OR($C$60=$AR84,$D$60=$AR84),Schweine_Werte!$C84*0.5,IF(OR($C$60&gt;$AR84,$D$60&lt;$AR84),0,Schweine_Werte!$C84))</f>
        <v>0</v>
      </c>
      <c r="AX84" s="795">
        <f>IF(OR($C$12=$AR84,$D$12=$AR84),Schweine_Werte!$E84*0.5,IF(OR($C$12&gt;$AR84,$D$12&lt;$AR84),0,Schweine_Werte!$E84))</f>
        <v>0</v>
      </c>
      <c r="AY84" s="730">
        <f>IF(OR($C$24=$AR84,$D$24=$AR84),Schweine_Werte!$E84*0.5,IF(OR($C$24&gt;$AR84,$D$24&lt;$AR84),0,Schweine_Werte!$E84))</f>
        <v>0</v>
      </c>
      <c r="AZ84" s="730">
        <f>IF(OR($C$36=$AR84,$D$36=$AR84),Schweine_Werte!$E84*0.5,IF(OR($C$36&gt;$AR84,$D$36&lt;$AR84),0,Schweine_Werte!$E84))</f>
        <v>0</v>
      </c>
      <c r="BA84" s="730">
        <f>IF(OR($C$48=$AR84,$D$48=$AR84),Schweine_Werte!$E84*0.5,IF(OR($C$48&gt;$AR84,$D$48&lt;$AR84),0,Schweine_Werte!$E84))</f>
        <v>0</v>
      </c>
      <c r="BB84" s="730">
        <f>IF(OR($C$60=$AR84,$D$60=$AR84),Schweine_Werte!$E84*0.5,IF(OR($C$60&gt;$AR84,$D$60&lt;$AR84),0,Schweine_Werte!$E84))</f>
        <v>0</v>
      </c>
      <c r="BC84" s="795">
        <f>IF(OR($C$12=$AR84,$D$12=$AR84),Schweine_Werte!$G84*0.5,IF(OR($C$12&gt;$AR84,$D$12&lt;$AR84),0,Schweine_Werte!$G84))</f>
        <v>0</v>
      </c>
      <c r="BD84" s="730">
        <f>IF(OR($C$24=$AR84,$D$24=$AR84),Schweine_Werte!$G84*0.5,IF(OR($C$24&gt;$AR84,$D$24&lt;$AR84),0,Schweine_Werte!$G84))</f>
        <v>0</v>
      </c>
      <c r="BE84" s="730">
        <f>IF(OR($C$36=$AR84,$D$36=$AR84),Schweine_Werte!$G84*0.5,IF(OR($C$36&gt;$AR84,$D$36&lt;$AR84),0,Schweine_Werte!$G84))</f>
        <v>0</v>
      </c>
      <c r="BF84" s="730">
        <f>IF(OR($C$48=$AR84,$D$48=$AR84),Schweine_Werte!$G84*0.5,IF(OR($C$48&gt;$AR84,$D$48&lt;$AR84),0,Schweine_Werte!$G84))</f>
        <v>0</v>
      </c>
      <c r="BG84" s="730">
        <f>IF(OR($C$60=$AR84,$D$60=$AR84),Schweine_Werte!$G84*0.5,IF(OR($C$60&gt;$AR84,$D$60&lt;$AR84),0,Schweine_Werte!$G84))</f>
        <v>0</v>
      </c>
      <c r="BH84" s="795">
        <f>IF(OR($C$12=$AR84,$D$12=$AR84),Schweine_Werte!$I84*0.5,IF(OR($C$12&gt;$AR84,$D$12&lt;$AR84),0,Schweine_Werte!$I84))</f>
        <v>0</v>
      </c>
      <c r="BI84" s="730">
        <f>IF(OR($C$24=$AR84,$D$24=$AR84),Schweine_Werte!$I84*0.5,IF(OR($C$24&gt;$AR84,$D$24&lt;$AR84),0,Schweine_Werte!$I84))</f>
        <v>0</v>
      </c>
      <c r="BJ84" s="730">
        <f>IF(OR($C$36=$AR84,$D$36=$AR84),Schweine_Werte!$I84*0.5,IF(OR($C$36&gt;$AR84,$D$36&lt;$AR84),0,Schweine_Werte!$I84))</f>
        <v>0</v>
      </c>
      <c r="BK84" s="730">
        <f>IF(OR($C$48=$AR84,$D$48=$AR84),Schweine_Werte!$I84*0.5,IF(OR($C$48&gt;$AR84,$D$48&lt;$AR84),0,Schweine_Werte!$I84))</f>
        <v>0</v>
      </c>
      <c r="BL84" s="730">
        <f>IF(OR($C$60=$AR84,$D$60=$AR84),Schweine_Werte!$I84*0.5,IF(OR($C$60&gt;$AR84,$D$60&lt;$AR84),0,Schweine_Werte!$I84))</f>
        <v>0</v>
      </c>
      <c r="BM84" s="795"/>
      <c r="BN84" s="730"/>
      <c r="BO84" s="730"/>
      <c r="BP84" s="730"/>
      <c r="BQ84" s="730"/>
      <c r="BR84" s="795">
        <f>IF(OR($C$74=$AR84,$D$74=$AR84),Schweine_Werte!$M84*0.5,IF(OR($C$74&gt;$AR84,$D$74&lt;$AR84),0,Schweine_Werte!$M84))</f>
        <v>0</v>
      </c>
      <c r="BS84" s="795">
        <f>IF(OR($C$83=$AR84,$D$83=$AR84),Schweine_Werte!$M84*0.5,IF(OR($C$83&gt;$AR84,$D$83&lt;$AR84),0,Schweine_Werte!$M84))</f>
        <v>0</v>
      </c>
      <c r="BT84" s="797">
        <f>IF(OR($C$92=$AR84,$D$92=$AR84),Schweine_Werte!$M84*0.5,IF(OR($C$92&gt;$AR84,$D$92&lt;$AR84),0,Schweine_Werte!$M84))</f>
        <v>0</v>
      </c>
      <c r="BU84" s="797">
        <f>IF(OR($C$101=$AR84,$D$101=$AR84),Schweine_Werte!$M84*0.5,IF(OR($C$101&gt;$AR84,$D$101&lt;$AR84),0,Schweine_Werte!$M84))</f>
        <v>0</v>
      </c>
      <c r="BV84" s="797">
        <f>IF(OR($C$110=$AR84,$D$110=$AR84),Schweine_Werte!$M84*0.5,IF(OR($C$110&gt;$AR84,$D$110&lt;$AR84),0,Schweine_Werte!$M84))</f>
        <v>0</v>
      </c>
      <c r="BW84" s="797">
        <f>IF(OR(8=$AR84,$E$127=$AR84),Schweine_Werte!$M84*0.5,IF(OR(8&gt;$AR84,$E$127&lt;$AR84),0,Schweine_Werte!$M84))</f>
        <v>1.1500198289942443</v>
      </c>
      <c r="BX84" s="797">
        <f>IF(OR(8=$AR84,$E$145=$AR84),Schweine_Werte!$M84*0.5,IF(OR(8&gt;$AR84,$E$145&lt;$AR84),0,Schweine_Werte!$M84))</f>
        <v>1.1500198289942443</v>
      </c>
      <c r="BY84" s="795">
        <f>IF(OR($C$74=$AR84,$D$74=$AR84),Schweine_Werte!$O84*0.5,IF(OR($C$74&gt;$AR84,$D$74&lt;$AR84),0,Schweine_Werte!$O84))</f>
        <v>0</v>
      </c>
      <c r="BZ84" s="795">
        <f>IF(OR($C$83=$AR84,$D$83=$AR84),Schweine_Werte!$O84*0.5,IF(OR($C$83&gt;$AR84,$D$83&lt;$AR84),0,Schweine_Werte!$O84))</f>
        <v>0</v>
      </c>
      <c r="CA84" s="797">
        <f>IF(OR($C$92=$AR84,$D$92=$AR84),Schweine_Werte!$O84*0.5,IF(OR($C$92&gt;$AR84,$D$92&lt;$AR84),0,Schweine_Werte!$O84))</f>
        <v>0</v>
      </c>
      <c r="CB84" s="797">
        <f>IF(OR($C$101=$AR84,$D$101=$AR84),Schweine_Werte!$O84*0.5,IF(OR($C$101&gt;$AR84,$D$101&lt;$AR84),0,Schweine_Werte!$O84))</f>
        <v>0</v>
      </c>
      <c r="CC84" s="797">
        <f>IF(OR($C$110=$AR84,$D$110=$AR84),Schweine_Werte!$O84*0.5,IF(OR($C$110&gt;$AR84,$D$110&lt;$AR84),0,Schweine_Werte!$O84))</f>
        <v>0</v>
      </c>
    </row>
    <row r="85" spans="1:81" x14ac:dyDescent="0.25">
      <c r="AR85" s="806">
        <v>89</v>
      </c>
      <c r="AS85" s="795">
        <f>IF(OR($C$12=$AR85,$D$12=$AR85),Schweine_Werte!$C85*0.5,IF(OR($C$12&gt;$AR85,$D$12&lt;$AR85),0,Schweine_Werte!$C85))</f>
        <v>0</v>
      </c>
      <c r="AT85" s="730">
        <f>IF(OR($C$24=$AR85,$D$24=$AR85),Schweine_Werte!$C85*0.5,IF(OR($C$24&gt;$AR85,$D$24&lt;$AR85),0,Schweine_Werte!$C85))</f>
        <v>0</v>
      </c>
      <c r="AU85" s="795">
        <f>IF(OR($C$36=$AR85,$D$36=$AR85),Schweine_Werte!$C85*0.5,IF(OR($C$36&gt;$AR85,$D$36&lt;$AR85),0,Schweine_Werte!$C85))</f>
        <v>0</v>
      </c>
      <c r="AV85" s="795">
        <f>IF(OR($C$48=$AR85,$D$48=$AR85),Schweine_Werte!$C85*0.5,IF(OR($C$48&gt;$AR85,$D$48&lt;$AR85),0,Schweine_Werte!$C85))</f>
        <v>0</v>
      </c>
      <c r="AW85" s="795">
        <f>IF(OR($C$60=$AR85,$D$60=$AR85),Schweine_Werte!$C85*0.5,IF(OR($C$60&gt;$AR85,$D$60&lt;$AR85),0,Schweine_Werte!$C85))</f>
        <v>0</v>
      </c>
      <c r="AX85" s="795">
        <f>IF(OR($C$12=$AR85,$D$12=$AR85),Schweine_Werte!$E85*0.5,IF(OR($C$12&gt;$AR85,$D$12&lt;$AR85),0,Schweine_Werte!$E85))</f>
        <v>0</v>
      </c>
      <c r="AY85" s="730">
        <f>IF(OR($C$24=$AR85,$D$24=$AR85),Schweine_Werte!$E85*0.5,IF(OR($C$24&gt;$AR85,$D$24&lt;$AR85),0,Schweine_Werte!$E85))</f>
        <v>0</v>
      </c>
      <c r="AZ85" s="730">
        <f>IF(OR($C$36=$AR85,$D$36=$AR85),Schweine_Werte!$E85*0.5,IF(OR($C$36&gt;$AR85,$D$36&lt;$AR85),0,Schweine_Werte!$E85))</f>
        <v>0</v>
      </c>
      <c r="BA85" s="730">
        <f>IF(OR($C$48=$AR85,$D$48=$AR85),Schweine_Werte!$E85*0.5,IF(OR($C$48&gt;$AR85,$D$48&lt;$AR85),0,Schweine_Werte!$E85))</f>
        <v>0</v>
      </c>
      <c r="BB85" s="730">
        <f>IF(OR($C$60=$AR85,$D$60=$AR85),Schweine_Werte!$E85*0.5,IF(OR($C$60&gt;$AR85,$D$60&lt;$AR85),0,Schweine_Werte!$E85))</f>
        <v>0</v>
      </c>
      <c r="BC85" s="795">
        <f>IF(OR($C$12=$AR85,$D$12=$AR85),Schweine_Werte!$G85*0.5,IF(OR($C$12&gt;$AR85,$D$12&lt;$AR85),0,Schweine_Werte!$G85))</f>
        <v>0</v>
      </c>
      <c r="BD85" s="730">
        <f>IF(OR($C$24=$AR85,$D$24=$AR85),Schweine_Werte!$G85*0.5,IF(OR($C$24&gt;$AR85,$D$24&lt;$AR85),0,Schweine_Werte!$G85))</f>
        <v>0</v>
      </c>
      <c r="BE85" s="730">
        <f>IF(OR($C$36=$AR85,$D$36=$AR85),Schweine_Werte!$G85*0.5,IF(OR($C$36&gt;$AR85,$D$36&lt;$AR85),0,Schweine_Werte!$G85))</f>
        <v>0</v>
      </c>
      <c r="BF85" s="730">
        <f>IF(OR($C$48=$AR85,$D$48=$AR85),Schweine_Werte!$G85*0.5,IF(OR($C$48&gt;$AR85,$D$48&lt;$AR85),0,Schweine_Werte!$G85))</f>
        <v>0</v>
      </c>
      <c r="BG85" s="730">
        <f>IF(OR($C$60=$AR85,$D$60=$AR85),Schweine_Werte!$G85*0.5,IF(OR($C$60&gt;$AR85,$D$60&lt;$AR85),0,Schweine_Werte!$G85))</f>
        <v>0</v>
      </c>
      <c r="BH85" s="795">
        <f>IF(OR($C$12=$AR85,$D$12=$AR85),Schweine_Werte!$I85*0.5,IF(OR($C$12&gt;$AR85,$D$12&lt;$AR85),0,Schweine_Werte!$I85))</f>
        <v>0</v>
      </c>
      <c r="BI85" s="730">
        <f>IF(OR($C$24=$AR85,$D$24=$AR85),Schweine_Werte!$I85*0.5,IF(OR($C$24&gt;$AR85,$D$24&lt;$AR85),0,Schweine_Werte!$I85))</f>
        <v>0</v>
      </c>
      <c r="BJ85" s="730">
        <f>IF(OR($C$36=$AR85,$D$36=$AR85),Schweine_Werte!$I85*0.5,IF(OR($C$36&gt;$AR85,$D$36&lt;$AR85),0,Schweine_Werte!$I85))</f>
        <v>0</v>
      </c>
      <c r="BK85" s="730">
        <f>IF(OR($C$48=$AR85,$D$48=$AR85),Schweine_Werte!$I85*0.5,IF(OR($C$48&gt;$AR85,$D$48&lt;$AR85),0,Schweine_Werte!$I85))</f>
        <v>0</v>
      </c>
      <c r="BL85" s="730">
        <f>IF(OR($C$60=$AR85,$D$60=$AR85),Schweine_Werte!$I85*0.5,IF(OR($C$60&gt;$AR85,$D$60&lt;$AR85),0,Schweine_Werte!$I85))</f>
        <v>0</v>
      </c>
      <c r="BM85" s="795"/>
      <c r="BN85" s="730"/>
      <c r="BO85" s="730"/>
      <c r="BP85" s="730"/>
      <c r="BQ85" s="730"/>
      <c r="BR85" s="795">
        <f>IF(OR($C$74=$AR85,$D$74=$AR85),Schweine_Werte!$M85*0.5,IF(OR($C$74&gt;$AR85,$D$74&lt;$AR85),0,Schweine_Werte!$M85))</f>
        <v>0</v>
      </c>
      <c r="BS85" s="795">
        <f>IF(OR($C$83=$AR85,$D$83=$AR85),Schweine_Werte!$M85*0.5,IF(OR($C$83&gt;$AR85,$D$83&lt;$AR85),0,Schweine_Werte!$M85))</f>
        <v>0</v>
      </c>
      <c r="BT85" s="797">
        <f>IF(OR($C$92=$AR85,$D$92=$AR85),Schweine_Werte!$M85*0.5,IF(OR($C$92&gt;$AR85,$D$92&lt;$AR85),0,Schweine_Werte!$M85))</f>
        <v>0</v>
      </c>
      <c r="BU85" s="797">
        <f>IF(OR($C$101=$AR85,$D$101=$AR85),Schweine_Werte!$M85*0.5,IF(OR($C$101&gt;$AR85,$D$101&lt;$AR85),0,Schweine_Werte!$M85))</f>
        <v>0</v>
      </c>
      <c r="BV85" s="797">
        <f>IF(OR($C$110=$AR85,$D$110=$AR85),Schweine_Werte!$M85*0.5,IF(OR($C$110&gt;$AR85,$D$110&lt;$AR85),0,Schweine_Werte!$M85))</f>
        <v>0</v>
      </c>
      <c r="BW85" s="797">
        <f>IF(OR(8=$AR85,$E$127=$AR85),Schweine_Werte!$M85*0.5,IF(OR(8&gt;$AR85,$E$127&lt;$AR85),0,Schweine_Werte!$M85))</f>
        <v>1.1563381827018655</v>
      </c>
      <c r="BX85" s="797">
        <f>IF(OR(8=$AR85,$E$145=$AR85),Schweine_Werte!$M85*0.5,IF(OR(8&gt;$AR85,$E$145&lt;$AR85),0,Schweine_Werte!$M85))</f>
        <v>1.1563381827018655</v>
      </c>
      <c r="BY85" s="795">
        <f>IF(OR($C$74=$AR85,$D$74=$AR85),Schweine_Werte!$O85*0.5,IF(OR($C$74&gt;$AR85,$D$74&lt;$AR85),0,Schweine_Werte!$O85))</f>
        <v>0</v>
      </c>
      <c r="BZ85" s="795">
        <f>IF(OR($C$83=$AR85,$D$83=$AR85),Schweine_Werte!$O85*0.5,IF(OR($C$83&gt;$AR85,$D$83&lt;$AR85),0,Schweine_Werte!$O85))</f>
        <v>0</v>
      </c>
      <c r="CA85" s="797">
        <f>IF(OR($C$92=$AR85,$D$92=$AR85),Schweine_Werte!$O85*0.5,IF(OR($C$92&gt;$AR85,$D$92&lt;$AR85),0,Schweine_Werte!$O85))</f>
        <v>0</v>
      </c>
      <c r="CB85" s="797">
        <f>IF(OR($C$101=$AR85,$D$101=$AR85),Schweine_Werte!$O85*0.5,IF(OR($C$101&gt;$AR85,$D$101&lt;$AR85),0,Schweine_Werte!$O85))</f>
        <v>0</v>
      </c>
      <c r="CC85" s="797">
        <f>IF(OR($C$110=$AR85,$D$110=$AR85),Schweine_Werte!$O85*0.5,IF(OR($C$110&gt;$AR85,$D$110&lt;$AR85),0,Schweine_Werte!$O85))</f>
        <v>0</v>
      </c>
    </row>
    <row r="86" spans="1:81" x14ac:dyDescent="0.25">
      <c r="Q86" s="1620" t="s">
        <v>7781</v>
      </c>
      <c r="R86" s="1620"/>
      <c r="S86" s="1620"/>
      <c r="T86" s="1620" t="s">
        <v>7782</v>
      </c>
      <c r="U86" s="1620"/>
      <c r="V86" s="1620"/>
      <c r="W86" s="1041" t="s">
        <v>7674</v>
      </c>
      <c r="X86" s="1041"/>
      <c r="Y86" s="1041"/>
      <c r="AR86" s="806">
        <v>90</v>
      </c>
      <c r="AS86" s="795">
        <f>IF(OR($C$12=$AR86,$D$12=$AR86),Schweine_Werte!$C86*0.5,IF(OR($C$12&gt;$AR86,$D$12&lt;$AR86),0,Schweine_Werte!$C86))</f>
        <v>0</v>
      </c>
      <c r="AT86" s="730">
        <f>IF(OR($C$24=$AR86,$D$24=$AR86),Schweine_Werte!$C86*0.5,IF(OR($C$24&gt;$AR86,$D$24&lt;$AR86),0,Schweine_Werte!$C86))</f>
        <v>0</v>
      </c>
      <c r="AU86" s="795">
        <f>IF(OR($C$36=$AR86,$D$36=$AR86),Schweine_Werte!$C86*0.5,IF(OR($C$36&gt;$AR86,$D$36&lt;$AR86),0,Schweine_Werte!$C86))</f>
        <v>0</v>
      </c>
      <c r="AV86" s="795">
        <f>IF(OR($C$48=$AR86,$D$48=$AR86),Schweine_Werte!$C86*0.5,IF(OR($C$48&gt;$AR86,$D$48&lt;$AR86),0,Schweine_Werte!$C86))</f>
        <v>0</v>
      </c>
      <c r="AW86" s="795">
        <f>IF(OR($C$60=$AR86,$D$60=$AR86),Schweine_Werte!$C86*0.5,IF(OR($C$60&gt;$AR86,$D$60&lt;$AR86),0,Schweine_Werte!$C86))</f>
        <v>0</v>
      </c>
      <c r="AX86" s="795">
        <f>IF(OR($C$12=$AR86,$D$12=$AR86),Schweine_Werte!$E86*0.5,IF(OR($C$12&gt;$AR86,$D$12&lt;$AR86),0,Schweine_Werte!$E86))</f>
        <v>0</v>
      </c>
      <c r="AY86" s="730">
        <f>IF(OR($C$24=$AR86,$D$24=$AR86),Schweine_Werte!$E86*0.5,IF(OR($C$24&gt;$AR86,$D$24&lt;$AR86),0,Schweine_Werte!$E86))</f>
        <v>0</v>
      </c>
      <c r="AZ86" s="730">
        <f>IF(OR($C$36=$AR86,$D$36=$AR86),Schweine_Werte!$E86*0.5,IF(OR($C$36&gt;$AR86,$D$36&lt;$AR86),0,Schweine_Werte!$E86))</f>
        <v>0</v>
      </c>
      <c r="BA86" s="730">
        <f>IF(OR($C$48=$AR86,$D$48=$AR86),Schweine_Werte!$E86*0.5,IF(OR($C$48&gt;$AR86,$D$48&lt;$AR86),0,Schweine_Werte!$E86))</f>
        <v>0</v>
      </c>
      <c r="BB86" s="730">
        <f>IF(OR($C$60=$AR86,$D$60=$AR86),Schweine_Werte!$E86*0.5,IF(OR($C$60&gt;$AR86,$D$60&lt;$AR86),0,Schweine_Werte!$E86))</f>
        <v>0</v>
      </c>
      <c r="BC86" s="795">
        <f>IF(OR($C$12=$AR86,$D$12=$AR86),Schweine_Werte!$G86*0.5,IF(OR($C$12&gt;$AR86,$D$12&lt;$AR86),0,Schweine_Werte!$G86))</f>
        <v>0</v>
      </c>
      <c r="BD86" s="730">
        <f>IF(OR($C$24=$AR86,$D$24=$AR86),Schweine_Werte!$G86*0.5,IF(OR($C$24&gt;$AR86,$D$24&lt;$AR86),0,Schweine_Werte!$G86))</f>
        <v>0</v>
      </c>
      <c r="BE86" s="730">
        <f>IF(OR($C$36=$AR86,$D$36=$AR86),Schweine_Werte!$G86*0.5,IF(OR($C$36&gt;$AR86,$D$36&lt;$AR86),0,Schweine_Werte!$G86))</f>
        <v>0</v>
      </c>
      <c r="BF86" s="730">
        <f>IF(OR($C$48=$AR86,$D$48=$AR86),Schweine_Werte!$G86*0.5,IF(OR($C$48&gt;$AR86,$D$48&lt;$AR86),0,Schweine_Werte!$G86))</f>
        <v>0</v>
      </c>
      <c r="BG86" s="730">
        <f>IF(OR($C$60=$AR86,$D$60=$AR86),Schweine_Werte!$G86*0.5,IF(OR($C$60&gt;$AR86,$D$60&lt;$AR86),0,Schweine_Werte!$G86))</f>
        <v>0</v>
      </c>
      <c r="BH86" s="795">
        <f>IF(OR($C$12=$AR86,$D$12=$AR86),Schweine_Werte!$I86*0.5,IF(OR($C$12&gt;$AR86,$D$12&lt;$AR86),0,Schweine_Werte!$I86))</f>
        <v>0</v>
      </c>
      <c r="BI86" s="730">
        <f>IF(OR($C$24=$AR86,$D$24=$AR86),Schweine_Werte!$I86*0.5,IF(OR($C$24&gt;$AR86,$D$24&lt;$AR86),0,Schweine_Werte!$I86))</f>
        <v>0</v>
      </c>
      <c r="BJ86" s="730">
        <f>IF(OR($C$36=$AR86,$D$36=$AR86),Schweine_Werte!$I86*0.5,IF(OR($C$36&gt;$AR86,$D$36&lt;$AR86),0,Schweine_Werte!$I86))</f>
        <v>0</v>
      </c>
      <c r="BK86" s="730">
        <f>IF(OR($C$48=$AR86,$D$48=$AR86),Schweine_Werte!$I86*0.5,IF(OR($C$48&gt;$AR86,$D$48&lt;$AR86),0,Schweine_Werte!$I86))</f>
        <v>0</v>
      </c>
      <c r="BL86" s="730">
        <f>IF(OR($C$60=$AR86,$D$60=$AR86),Schweine_Werte!$I86*0.5,IF(OR($C$60&gt;$AR86,$D$60&lt;$AR86),0,Schweine_Werte!$I86))</f>
        <v>0</v>
      </c>
      <c r="BM86" s="795"/>
      <c r="BN86" s="730"/>
      <c r="BO86" s="730"/>
      <c r="BP86" s="730"/>
      <c r="BQ86" s="730"/>
      <c r="BR86" s="795">
        <f>IF(OR($C$74=$AR86,$D$74=$AR86),Schweine_Werte!$M86*0.5,IF(OR($C$74&gt;$AR86,$D$74&lt;$AR86),0,Schweine_Werte!$M86))</f>
        <v>0</v>
      </c>
      <c r="BS86" s="795">
        <f>IF(OR($C$83=$AR86,$D$83=$AR86),Schweine_Werte!$M86*0.5,IF(OR($C$83&gt;$AR86,$D$83&lt;$AR86),0,Schweine_Werte!$M86))</f>
        <v>0</v>
      </c>
      <c r="BT86" s="797">
        <f>IF(OR($C$92=$AR86,$D$92=$AR86),Schweine_Werte!$M86*0.5,IF(OR($C$92&gt;$AR86,$D$92&lt;$AR86),0,Schweine_Werte!$M86))</f>
        <v>0</v>
      </c>
      <c r="BU86" s="797">
        <f>IF(OR($C$101=$AR86,$D$101=$AR86),Schweine_Werte!$M86*0.5,IF(OR($C$101&gt;$AR86,$D$101&lt;$AR86),0,Schweine_Werte!$M86))</f>
        <v>0</v>
      </c>
      <c r="BV86" s="797">
        <f>IF(OR($C$110=$AR86,$D$110=$AR86),Schweine_Werte!$M86*0.5,IF(OR($C$110&gt;$AR86,$D$110&lt;$AR86),0,Schweine_Werte!$M86))</f>
        <v>0</v>
      </c>
      <c r="BW86" s="797">
        <f>IF(OR(8=$AR86,$E$127=$AR86),Schweine_Werte!$M86*0.5,IF(OR(8&gt;$AR86,$E$127&lt;$AR86),0,Schweine_Werte!$M86))</f>
        <v>1.1631258275786267</v>
      </c>
      <c r="BX86" s="797">
        <f>IF(OR(8=$AR86,$E$145=$AR86),Schweine_Werte!$M86*0.5,IF(OR(8&gt;$AR86,$E$145&lt;$AR86),0,Schweine_Werte!$M86))</f>
        <v>1.1631258275786267</v>
      </c>
      <c r="BY86" s="795">
        <f>IF(OR($C$74=$AR86,$D$74=$AR86),Schweine_Werte!$O86*0.5,IF(OR($C$74&gt;$AR86,$D$74&lt;$AR86),0,Schweine_Werte!$O86))</f>
        <v>0</v>
      </c>
      <c r="BZ86" s="795">
        <f>IF(OR($C$83=$AR86,$D$83=$AR86),Schweine_Werte!$O86*0.5,IF(OR($C$83&gt;$AR86,$D$83&lt;$AR86),0,Schweine_Werte!$O86))</f>
        <v>0</v>
      </c>
      <c r="CA86" s="797">
        <f>IF(OR($C$92=$AR86,$D$92=$AR86),Schweine_Werte!$O86*0.5,IF(OR($C$92&gt;$AR86,$D$92&lt;$AR86),0,Schweine_Werte!$O86))</f>
        <v>0</v>
      </c>
      <c r="CB86" s="797">
        <f>IF(OR($C$101=$AR86,$D$101=$AR86),Schweine_Werte!$O86*0.5,IF(OR($C$101&gt;$AR86,$D$101&lt;$AR86),0,Schweine_Werte!$O86))</f>
        <v>0</v>
      </c>
      <c r="CC86" s="797">
        <f>IF(OR($C$110=$AR86,$D$110=$AR86),Schweine_Werte!$O86*0.5,IF(OR($C$110&gt;$AR86,$D$110&lt;$AR86),0,Schweine_Werte!$O86))</f>
        <v>0</v>
      </c>
    </row>
    <row r="87" spans="1:81" x14ac:dyDescent="0.25">
      <c r="B87" t="s">
        <v>7724</v>
      </c>
      <c r="E87" t="s">
        <v>7700</v>
      </c>
      <c r="F87" t="s">
        <v>196</v>
      </c>
      <c r="G87" t="s">
        <v>7701</v>
      </c>
      <c r="H87" t="s">
        <v>7702</v>
      </c>
      <c r="I87" t="s">
        <v>7703</v>
      </c>
      <c r="J87" t="s">
        <v>596</v>
      </c>
      <c r="K87" t="s">
        <v>7704</v>
      </c>
      <c r="L87" t="s">
        <v>7705</v>
      </c>
      <c r="M87" t="s">
        <v>7706</v>
      </c>
      <c r="N87" t="s">
        <v>7707</v>
      </c>
      <c r="O87" t="s">
        <v>7708</v>
      </c>
      <c r="P87" t="s">
        <v>7709</v>
      </c>
      <c r="Q87" t="s">
        <v>39</v>
      </c>
      <c r="R87" t="s">
        <v>40</v>
      </c>
      <c r="S87" t="s">
        <v>41</v>
      </c>
      <c r="T87" t="s">
        <v>39</v>
      </c>
      <c r="U87" t="s">
        <v>40</v>
      </c>
      <c r="V87" t="s">
        <v>41</v>
      </c>
      <c r="W87" t="s">
        <v>7687</v>
      </c>
      <c r="X87" t="s">
        <v>7688</v>
      </c>
      <c r="Y87" t="s">
        <v>7689</v>
      </c>
      <c r="AR87" s="806">
        <v>91</v>
      </c>
      <c r="AS87" s="795">
        <f>IF(OR($C$12=$AR87,$D$12=$AR87),Schweine_Werte!$C87*0.5,IF(OR($C$12&gt;$AR87,$D$12&lt;$AR87),0,Schweine_Werte!$C87))</f>
        <v>0</v>
      </c>
      <c r="AT87" s="730">
        <f>IF(OR($C$24=$AR87,$D$24=$AR87),Schweine_Werte!$C87*0.5,IF(OR($C$24&gt;$AR87,$D$24&lt;$AR87),0,Schweine_Werte!$C87))</f>
        <v>0</v>
      </c>
      <c r="AU87" s="795">
        <f>IF(OR($C$36=$AR87,$D$36=$AR87),Schweine_Werte!$C87*0.5,IF(OR($C$36&gt;$AR87,$D$36&lt;$AR87),0,Schweine_Werte!$C87))</f>
        <v>0</v>
      </c>
      <c r="AV87" s="795">
        <f>IF(OR($C$48=$AR87,$D$48=$AR87),Schweine_Werte!$C87*0.5,IF(OR($C$48&gt;$AR87,$D$48&lt;$AR87),0,Schweine_Werte!$C87))</f>
        <v>0</v>
      </c>
      <c r="AW87" s="795">
        <f>IF(OR($C$60=$AR87,$D$60=$AR87),Schweine_Werte!$C87*0.5,IF(OR($C$60&gt;$AR87,$D$60&lt;$AR87),0,Schweine_Werte!$C87))</f>
        <v>0</v>
      </c>
      <c r="AX87" s="795">
        <f>IF(OR($C$12=$AR87,$D$12=$AR87),Schweine_Werte!$E87*0.5,IF(OR($C$12&gt;$AR87,$D$12&lt;$AR87),0,Schweine_Werte!$E87))</f>
        <v>0</v>
      </c>
      <c r="AY87" s="730">
        <f>IF(OR($C$24=$AR87,$D$24=$AR87),Schweine_Werte!$E87*0.5,IF(OR($C$24&gt;$AR87,$D$24&lt;$AR87),0,Schweine_Werte!$E87))</f>
        <v>0</v>
      </c>
      <c r="AZ87" s="730">
        <f>IF(OR($C$36=$AR87,$D$36=$AR87),Schweine_Werte!$E87*0.5,IF(OR($C$36&gt;$AR87,$D$36&lt;$AR87),0,Schweine_Werte!$E87))</f>
        <v>0</v>
      </c>
      <c r="BA87" s="730">
        <f>IF(OR($C$48=$AR87,$D$48=$AR87),Schweine_Werte!$E87*0.5,IF(OR($C$48&gt;$AR87,$D$48&lt;$AR87),0,Schweine_Werte!$E87))</f>
        <v>0</v>
      </c>
      <c r="BB87" s="730">
        <f>IF(OR($C$60=$AR87,$D$60=$AR87),Schweine_Werte!$E87*0.5,IF(OR($C$60&gt;$AR87,$D$60&lt;$AR87),0,Schweine_Werte!$E87))</f>
        <v>0</v>
      </c>
      <c r="BC87" s="795">
        <f>IF(OR($C$12=$AR87,$D$12=$AR87),Schweine_Werte!$G87*0.5,IF(OR($C$12&gt;$AR87,$D$12&lt;$AR87),0,Schweine_Werte!$G87))</f>
        <v>0</v>
      </c>
      <c r="BD87" s="730">
        <f>IF(OR($C$24=$AR87,$D$24=$AR87),Schweine_Werte!$G87*0.5,IF(OR($C$24&gt;$AR87,$D$24&lt;$AR87),0,Schweine_Werte!$G87))</f>
        <v>0</v>
      </c>
      <c r="BE87" s="730">
        <f>IF(OR($C$36=$AR87,$D$36=$AR87),Schweine_Werte!$G87*0.5,IF(OR($C$36&gt;$AR87,$D$36&lt;$AR87),0,Schweine_Werte!$G87))</f>
        <v>0</v>
      </c>
      <c r="BF87" s="730">
        <f>IF(OR($C$48=$AR87,$D$48=$AR87),Schweine_Werte!$G87*0.5,IF(OR($C$48&gt;$AR87,$D$48&lt;$AR87),0,Schweine_Werte!$G87))</f>
        <v>0</v>
      </c>
      <c r="BG87" s="730">
        <f>IF(OR($C$60=$AR87,$D$60=$AR87),Schweine_Werte!$G87*0.5,IF(OR($C$60&gt;$AR87,$D$60&lt;$AR87),0,Schweine_Werte!$G87))</f>
        <v>0</v>
      </c>
      <c r="BH87" s="795">
        <f>IF(OR($C$12=$AR87,$D$12=$AR87),Schweine_Werte!$I87*0.5,IF(OR($C$12&gt;$AR87,$D$12&lt;$AR87),0,Schweine_Werte!$I87))</f>
        <v>0</v>
      </c>
      <c r="BI87" s="730">
        <f>IF(OR($C$24=$AR87,$D$24=$AR87),Schweine_Werte!$I87*0.5,IF(OR($C$24&gt;$AR87,$D$24&lt;$AR87),0,Schweine_Werte!$I87))</f>
        <v>0</v>
      </c>
      <c r="BJ87" s="730">
        <f>IF(OR($C$36=$AR87,$D$36=$AR87),Schweine_Werte!$I87*0.5,IF(OR($C$36&gt;$AR87,$D$36&lt;$AR87),0,Schweine_Werte!$I87))</f>
        <v>0</v>
      </c>
      <c r="BK87" s="730">
        <f>IF(OR($C$48=$AR87,$D$48=$AR87),Schweine_Werte!$I87*0.5,IF(OR($C$48&gt;$AR87,$D$48&lt;$AR87),0,Schweine_Werte!$I87))</f>
        <v>0</v>
      </c>
      <c r="BL87" s="730">
        <f>IF(OR($C$60=$AR87,$D$60=$AR87),Schweine_Werte!$I87*0.5,IF(OR($C$60&gt;$AR87,$D$60&lt;$AR87),0,Schweine_Werte!$I87))</f>
        <v>0</v>
      </c>
      <c r="BM87" s="795"/>
      <c r="BN87" s="730"/>
      <c r="BO87" s="730"/>
      <c r="BP87" s="730"/>
      <c r="BQ87" s="730"/>
      <c r="BR87" s="795">
        <f>IF(OR($C$74=$AR87,$D$74=$AR87),Schweine_Werte!$M87*0.5,IF(OR($C$74&gt;$AR87,$D$74&lt;$AR87),0,Schweine_Werte!$M87))</f>
        <v>0</v>
      </c>
      <c r="BS87" s="795">
        <f>IF(OR($C$83=$AR87,$D$83=$AR87),Schweine_Werte!$M87*0.5,IF(OR($C$83&gt;$AR87,$D$83&lt;$AR87),0,Schweine_Werte!$M87))</f>
        <v>0</v>
      </c>
      <c r="BT87" s="797">
        <f>IF(OR($C$92=$AR87,$D$92=$AR87),Schweine_Werte!$M87*0.5,IF(OR($C$92&gt;$AR87,$D$92&lt;$AR87),0,Schweine_Werte!$M87))</f>
        <v>0</v>
      </c>
      <c r="BU87" s="797">
        <f>IF(OR($C$101=$AR87,$D$101=$AR87),Schweine_Werte!$M87*0.5,IF(OR($C$101&gt;$AR87,$D$101&lt;$AR87),0,Schweine_Werte!$M87))</f>
        <v>0</v>
      </c>
      <c r="BV87" s="797">
        <f>IF(OR($C$110=$AR87,$D$110=$AR87),Schweine_Werte!$M87*0.5,IF(OR($C$110&gt;$AR87,$D$110&lt;$AR87),0,Schweine_Werte!$M87))</f>
        <v>0</v>
      </c>
      <c r="BW87" s="797">
        <f>IF(OR(8=$AR87,$E$127=$AR87),Schweine_Werte!$M87*0.5,IF(OR(8&gt;$AR87,$E$127&lt;$AR87),0,Schweine_Werte!$M87))</f>
        <v>1.1703978441976977</v>
      </c>
      <c r="BX87" s="797">
        <f>IF(OR(8=$AR87,$E$145=$AR87),Schweine_Werte!$M87*0.5,IF(OR(8&gt;$AR87,$E$145&lt;$AR87),0,Schweine_Werte!$M87))</f>
        <v>1.1703978441976977</v>
      </c>
      <c r="BY87" s="795">
        <f>IF(OR($C$74=$AR87,$D$74=$AR87),Schweine_Werte!$O87*0.5,IF(OR($C$74&gt;$AR87,$D$74&lt;$AR87),0,Schweine_Werte!$O87))</f>
        <v>0</v>
      </c>
      <c r="BZ87" s="795">
        <f>IF(OR($C$83=$AR87,$D$83=$AR87),Schweine_Werte!$O87*0.5,IF(OR($C$83&gt;$AR87,$D$83&lt;$AR87),0,Schweine_Werte!$O87))</f>
        <v>0</v>
      </c>
      <c r="CA87" s="797">
        <f>IF(OR($C$92=$AR87,$D$92=$AR87),Schweine_Werte!$O87*0.5,IF(OR($C$92&gt;$AR87,$D$92&lt;$AR87),0,Schweine_Werte!$O87))</f>
        <v>0</v>
      </c>
      <c r="CB87" s="797">
        <f>IF(OR($C$101=$AR87,$D$101=$AR87),Schweine_Werte!$O87*0.5,IF(OR($C$101&gt;$AR87,$D$101&lt;$AR87),0,Schweine_Werte!$O87))</f>
        <v>0</v>
      </c>
      <c r="CC87" s="797">
        <f>IF(OR($C$110=$AR87,$D$110=$AR87),Schweine_Werte!$O87*0.5,IF(OR($C$110&gt;$AR87,$D$110&lt;$AR87),0,Schweine_Werte!$O87))</f>
        <v>0</v>
      </c>
    </row>
    <row r="88" spans="1:81" x14ac:dyDescent="0.25">
      <c r="B88">
        <v>450</v>
      </c>
      <c r="D88" s="730"/>
      <c r="E88" t="e">
        <f>($D92-$C92)*1000/SUM($BT$4:$BT$31)</f>
        <v>#VALUE!</v>
      </c>
      <c r="F88" s="730" t="e">
        <f>SUMPRODUCT($BT$4:$BT$31,Schweine_Werte!$V$4:$V$31)/SUM($BT$4:$BT$31)</f>
        <v>#DIV/0!</v>
      </c>
      <c r="G88" s="730" t="e">
        <f>IF($B92=$A$8,SUMPRODUCT($BT$4:$BT$31,Schweine_Werte!HE$4:HE$31)/SUM($BT$4:$BT$31),IF($B92=$A$7,SUMPRODUCT($BT$4:$BT$31,Schweine_Werte!GQ$4:GQ$31)/SUM($BT$4:$BT$31),IF($B92=$A$6,SUMPRODUCT($BT$4:$BT$31,Schweine_Werte!GC$4:GC$31)/SUM($BT$4:$BT$31),SUMPRODUCT($BT$4:$BT$31,Schweine_Werte!FO$4:FO$31)/SUM($BT$4:$BT$31))))</f>
        <v>#DIV/0!</v>
      </c>
      <c r="H88" s="730" t="e">
        <f>IF($B92=$A$8,SUMPRODUCT($BT$4:$BT$31,Schweine_Werte!HF$4:HF$31)/SUM($BT$4:$BT$31),IF($B92=$A$7,SUMPRODUCT($BT$4:$BT$31,Schweine_Werte!GR$4:GR$31)/SUM($BT$4:$BT$31),IF($B92=$A$6,SUMPRODUCT($BT$4:$BT$31,Schweine_Werte!GD$4:GD$31)/SUM($BT$4:$BT$31),SUMPRODUCT($BT$4:$BT$31,Schweine_Werte!FP$4:FP$31)/SUM($BT$4:$BT$31))))</f>
        <v>#DIV/0!</v>
      </c>
      <c r="I88" s="730" t="e">
        <f>IF($B92=$A$8,SUMPRODUCT($BT$4:$BT$31,Schweine_Werte!HG$4:HG$31)/SUM($BT$4:$BT$31),IF($B92=$A$7,SUMPRODUCT($BT$4:$BT$31,Schweine_Werte!GS$4:GS$31)/SUM($BT$4:$BT$31),IF($B92=$A$6,SUMPRODUCT($BT$4:$BT$31,Schweine_Werte!GE$4:GE$31)/SUM($BT$4:$BT$31),SUMPRODUCT($BT$4:$BT$31,Schweine_Werte!FQ$4:FQ$31)/SUM($BT$4:$BT$31))))</f>
        <v>#DIV/0!</v>
      </c>
      <c r="J88" s="730" t="e">
        <f>SUMPRODUCT($BT$4:$BT$31,Schweine_Werte!$AD$4:$AD$31)/SUM($BT$4:$BT$31)</f>
        <v>#DIV/0!</v>
      </c>
      <c r="K88" s="730" t="e">
        <f>SUMPRODUCT($BT$4:$BT$31,Schweine_Werte!$AL$4:$AL$31)/SUM($BT$4:$BT$31)</f>
        <v>#DIV/0!</v>
      </c>
      <c r="L88" s="730" t="e">
        <f>T88*$F88*365/1000+$J88-$K88</f>
        <v>#DIV/0!</v>
      </c>
      <c r="M88" s="730" t="e">
        <f>U88*$F88*365/1000+$J88-$K88/2</f>
        <v>#DIV/0!</v>
      </c>
      <c r="N88" s="730" t="e">
        <f>V88*$F88*365/1000+$J88</f>
        <v>#DIV/0!</v>
      </c>
      <c r="O88" s="730">
        <f>IF($C92&lt;28,SUM($BT$4:$BT$23)+IF($D92&gt;28,$BT$24*0.5,$BT$24),0)</f>
        <v>0</v>
      </c>
      <c r="P88" s="730">
        <f>IF($D92&gt;28,SUM($BT$25:$BT$31)+IF($C92&lt;28,$BT$24*0.5,$BT$24),0)</f>
        <v>0</v>
      </c>
      <c r="Q88" s="730" t="e">
        <f t="shared" ref="Q88:S89" si="46">+T88*$F88</f>
        <v>#DIV/0!</v>
      </c>
      <c r="R88" s="730" t="e">
        <f t="shared" si="46"/>
        <v>#DIV/0!</v>
      </c>
      <c r="S88" s="730" t="e">
        <f t="shared" si="46"/>
        <v>#DIV/0!</v>
      </c>
      <c r="T88" s="730" t="e">
        <f>+($O88*Schweine_Werte!$HT$15+$P88*Schweine_Werte!$HU$15)/SUM($O88:$P88)</f>
        <v>#DIV/0!</v>
      </c>
      <c r="U88" s="730" t="e">
        <f>+($O88*Schweine_Werte!$HV$15+$P88*Schweine_Werte!$HW$15)/SUM($O88:$P88)</f>
        <v>#DIV/0!</v>
      </c>
      <c r="V88" s="730" t="e">
        <f>+($O88*Schweine_Werte!$HX$15+$P88*Schweine_Werte!$HY$15)/SUM($O88:$P88)</f>
        <v>#DIV/0!</v>
      </c>
      <c r="W88" s="785" t="e">
        <f>($J88*0.055+T88*0.365*0.86*$F88-$K88*0.018)/L88*100</f>
        <v>#DIV/0!</v>
      </c>
      <c r="X88" s="785" t="e">
        <f>($J88*0.055+U88*0.365*0.86*$F88-$K88*0.018/2)/M88*100</f>
        <v>#DIV/0!</v>
      </c>
      <c r="Y88" s="730" t="e">
        <f>($J88*0.055+V88*0.365*0.86*$F88)/N88*100</f>
        <v>#DIV/0!</v>
      </c>
      <c r="Z88" s="730" t="e">
        <f>IF($B92=$A$8,SUMPRODUCT($BT$4:$BT$31,Schweine_Werte!$HH$4:$HH$31,Schweine_Werte!$HI$4:$HI$31)/SUMPRODUCT($BT$4:$BT$31,Schweine_Werte!$HH$4:$HH$31),IF($B92=$A$7,SUMPRODUCT($BT$4:$BT$31,Schweine_Werte!$GT$4:$GT$31,Schweine_Werte!$GU$4:$GU$31)/SUMPRODUCT($BT$4:$BT$31,Schweine_Werte!$GT$4:$GT$31),IF($B92=$A$6,SUMPRODUCT($BT$4:$BT$31,Schweine_Werte!$GF$4:$GF$31,Schweine_Werte!$GG$4:$GG$31)/SUMPRODUCT($BT$4:$BT$31,Schweine_Werte!$GF$4:$GF$31),SUMPRODUCT($BT$4:$BT$31,Schweine_Werte!$FR$4:$FR$31,Schweine_Werte!$FS$4:$FS$31)/SUMPRODUCT($BT$4:$BT$31,Schweine_Werte!$FR$4:$FR$31))))</f>
        <v>#DIV/0!</v>
      </c>
      <c r="AA88" s="730"/>
      <c r="AB88" s="730">
        <f>IF($B92=$A$8,SUMIF(Schweine_Werte!$AO$4:$AO$31,$C92,Schweine_Werte!$HI$4:$HI$31),IF($B92=$A$7,SUMIF(Schweine_Werte!$AO$4:$AO$31,$C92,Schweine_Werte!$GU$4:$GU$31),IF($B92=$A$6,SUMIF(Schweine_Werte!$AO$4:$AO$31,$C92,Schweine_Werte!$GG$4:$GG$31),SUMIF(Schweine_Werte!$AO$4:$AO$31,$C92,Schweine_Werte!$FS$4:$FS$31))))</f>
        <v>0</v>
      </c>
      <c r="AC88" s="730"/>
      <c r="AD88" s="730">
        <f>IF($B92=$A$8,SUMIF(Schweine_Werte!$AO$4:$AO$31,$D92,Schweine_Werte!$HI$4:$HI$31),IF($B92=$A$7,SUMIF(Schweine_Werte!$AO$4:$AO$31,$D92,Schweine_Werte!$GU$4:$GU$31),IF($B92=$A$6,SUMIF(Schweine_Werte!$AO$4:$AO$31,$D92,Schweine_Werte!$GG$4:$GG$31),SUMIF(Schweine_Werte!$AO$4:$AO$31,$D92,Schweine_Werte!$FS$4:$FS$31))))</f>
        <v>0</v>
      </c>
      <c r="AE88" s="730"/>
      <c r="AF88" s="730"/>
      <c r="AG88" s="730" t="e">
        <f>IF($B92=$A$8,SUMPRODUCT($BT$4:$BT$31,Schweine_Werte!$HH$4:$HH$31)/SUM($BT$4:$BT$31),IF($B92=$A$7,SUMPRODUCT($BT$4:$BT$31,Schweine_Werte!$GT$4:$GT$31)/SUM($BT$4:$BT$31),IF($B92=$A$6,SUMPRODUCT($BT$4:$BT$31,Schweine_Werte!$GF$4:$GF$31)/SUM($BT$4:$BT$31),SUMPRODUCT($BT$4:$BT$31,Schweine_Werte!$FR$4:$FR$31)/SUM($BT$4:$BT$31))))</f>
        <v>#DIV/0!</v>
      </c>
      <c r="AH88" s="730"/>
      <c r="AI88" s="730"/>
      <c r="AJ88" s="730" t="e">
        <f>IF($B92=$A$8,SUMPRODUCT($BT$4:$BT$31,Schweine_Werte!$HH$4:$HH$31,Schweine_Werte!$HJ$4:$HJ$31)/SUMPRODUCT($BT$4:$BT$31,Schweine_Werte!$HH$4:$HH$31),IF($B92=$A$7,SUMPRODUCT($BT$4:$BT$31,Schweine_Werte!$GT$4:$GT$31,Schweine_Werte!$GV$4:$GV$31)/SUMPRODUCT($BT$4:$BT$31,Schweine_Werte!$GT$4:$GT$31),IF($B92=$A$6,SUMPRODUCT($BT$4:$BT$31,Schweine_Werte!$GF$4:$GF$31,Schweine_Werte!$GH$4:$GH$31)/SUMPRODUCT($BT$4:$BT$31,Schweine_Werte!$GF$4:$GF$31),SUMPRODUCT($BT$4:$BT$31,Schweine_Werte!$FR$4:$FR$31,Schweine_Werte!$FT$4:$FT$31)/SUMPRODUCT($BT$4:$BT$31,Schweine_Werte!$FR$4:$FR$31))))</f>
        <v>#DIV/0!</v>
      </c>
      <c r="AK88" s="730"/>
      <c r="AL88" s="730">
        <f>IF($B92=$A$8,SUMIF(Schweine_Werte!$AO$4:$AO$31,$C92,Schweine_Werte!$HJ$4:$HJ$31),IF($B92=$A$7,SUMIF(Schweine_Werte!$AO$4:$AO$31,$C92,Schweine_Werte!$GV$4:$GV$31),IF($B92=$A$6,SUMIF(Schweine_Werte!$AO$4:$AO$31,$C92,Schweine_Werte!$GH$4:$GH$31),SUMIF(Schweine_Werte!$AO$4:$AO$31,$C92,Schweine_Werte!$FT$4:$FT$31))))</f>
        <v>0</v>
      </c>
      <c r="AM88" s="730"/>
      <c r="AN88" s="730">
        <f>IF($B92=$A$8,SUMIF(Schweine_Werte!$AO$4:$AO$31,$D92,Schweine_Werte!$HJ$4:$HJ$31),IF($B92=$A$7,SUMIF(Schweine_Werte!$AO$4:$AO$31,$D92,Schweine_Werte!$GV$4:$GV$31),IF($B92=$A$6,SUMIF(Schweine_Werte!$AO$4:$AO$31,$D92,Schweine_Werte!$GH$4:$GH$31),SUMIF(Schweine_Werte!$AO$4:$AO$31,$D92,Schweine_Werte!$FT$4:$FT$31))))</f>
        <v>0</v>
      </c>
      <c r="AO88" s="730"/>
      <c r="AR88" s="806">
        <v>92</v>
      </c>
      <c r="AS88" s="795">
        <f>IF(OR($C$12=$AR88,$D$12=$AR88),Schweine_Werte!$C88*0.5,IF(OR($C$12&gt;$AR88,$D$12&lt;$AR88),0,Schweine_Werte!$C88))</f>
        <v>0</v>
      </c>
      <c r="AT88" s="730">
        <f>IF(OR($C$24=$AR88,$D$24=$AR88),Schweine_Werte!$C88*0.5,IF(OR($C$24&gt;$AR88,$D$24&lt;$AR88),0,Schweine_Werte!$C88))</f>
        <v>0</v>
      </c>
      <c r="AU88" s="795">
        <f>IF(OR($C$36=$AR88,$D$36=$AR88),Schweine_Werte!$C88*0.5,IF(OR($C$36&gt;$AR88,$D$36&lt;$AR88),0,Schweine_Werte!$C88))</f>
        <v>0</v>
      </c>
      <c r="AV88" s="795">
        <f>IF(OR($C$48=$AR88,$D$48=$AR88),Schweine_Werte!$C88*0.5,IF(OR($C$48&gt;$AR88,$D$48&lt;$AR88),0,Schweine_Werte!$C88))</f>
        <v>0</v>
      </c>
      <c r="AW88" s="795">
        <f>IF(OR($C$60=$AR88,$D$60=$AR88),Schweine_Werte!$C88*0.5,IF(OR($C$60&gt;$AR88,$D$60&lt;$AR88),0,Schweine_Werte!$C88))</f>
        <v>0</v>
      </c>
      <c r="AX88" s="795">
        <f>IF(OR($C$12=$AR88,$D$12=$AR88),Schweine_Werte!$E88*0.5,IF(OR($C$12&gt;$AR88,$D$12&lt;$AR88),0,Schweine_Werte!$E88))</f>
        <v>0</v>
      </c>
      <c r="AY88" s="730">
        <f>IF(OR($C$24=$AR88,$D$24=$AR88),Schweine_Werte!$E88*0.5,IF(OR($C$24&gt;$AR88,$D$24&lt;$AR88),0,Schweine_Werte!$E88))</f>
        <v>0</v>
      </c>
      <c r="AZ88" s="730">
        <f>IF(OR($C$36=$AR88,$D$36=$AR88),Schweine_Werte!$E88*0.5,IF(OR($C$36&gt;$AR88,$D$36&lt;$AR88),0,Schweine_Werte!$E88))</f>
        <v>0</v>
      </c>
      <c r="BA88" s="730">
        <f>IF(OR($C$48=$AR88,$D$48=$AR88),Schweine_Werte!$E88*0.5,IF(OR($C$48&gt;$AR88,$D$48&lt;$AR88),0,Schweine_Werte!$E88))</f>
        <v>0</v>
      </c>
      <c r="BB88" s="730">
        <f>IF(OR($C$60=$AR88,$D$60=$AR88),Schweine_Werte!$E88*0.5,IF(OR($C$60&gt;$AR88,$D$60&lt;$AR88),0,Schweine_Werte!$E88))</f>
        <v>0</v>
      </c>
      <c r="BC88" s="795">
        <f>IF(OR($C$12=$AR88,$D$12=$AR88),Schweine_Werte!$G88*0.5,IF(OR($C$12&gt;$AR88,$D$12&lt;$AR88),0,Schweine_Werte!$G88))</f>
        <v>0</v>
      </c>
      <c r="BD88" s="730">
        <f>IF(OR($C$24=$AR88,$D$24=$AR88),Schweine_Werte!$G88*0.5,IF(OR($C$24&gt;$AR88,$D$24&lt;$AR88),0,Schweine_Werte!$G88))</f>
        <v>0</v>
      </c>
      <c r="BE88" s="730">
        <f>IF(OR($C$36=$AR88,$D$36=$AR88),Schweine_Werte!$G88*0.5,IF(OR($C$36&gt;$AR88,$D$36&lt;$AR88),0,Schweine_Werte!$G88))</f>
        <v>0</v>
      </c>
      <c r="BF88" s="730">
        <f>IF(OR($C$48=$AR88,$D$48=$AR88),Schweine_Werte!$G88*0.5,IF(OR($C$48&gt;$AR88,$D$48&lt;$AR88),0,Schweine_Werte!$G88))</f>
        <v>0</v>
      </c>
      <c r="BG88" s="730">
        <f>IF(OR($C$60=$AR88,$D$60=$AR88),Schweine_Werte!$G88*0.5,IF(OR($C$60&gt;$AR88,$D$60&lt;$AR88),0,Schweine_Werte!$G88))</f>
        <v>0</v>
      </c>
      <c r="BH88" s="795">
        <f>IF(OR($C$12=$AR88,$D$12=$AR88),Schweine_Werte!$I88*0.5,IF(OR($C$12&gt;$AR88,$D$12&lt;$AR88),0,Schweine_Werte!$I88))</f>
        <v>0</v>
      </c>
      <c r="BI88" s="730">
        <f>IF(OR($C$24=$AR88,$D$24=$AR88),Schweine_Werte!$I88*0.5,IF(OR($C$24&gt;$AR88,$D$24&lt;$AR88),0,Schweine_Werte!$I88))</f>
        <v>0</v>
      </c>
      <c r="BJ88" s="730">
        <f>IF(OR($C$36=$AR88,$D$36=$AR88),Schweine_Werte!$I88*0.5,IF(OR($C$36&gt;$AR88,$D$36&lt;$AR88),0,Schweine_Werte!$I88))</f>
        <v>0</v>
      </c>
      <c r="BK88" s="730">
        <f>IF(OR($C$48=$AR88,$D$48=$AR88),Schweine_Werte!$I88*0.5,IF(OR($C$48&gt;$AR88,$D$48&lt;$AR88),0,Schweine_Werte!$I88))</f>
        <v>0</v>
      </c>
      <c r="BL88" s="730">
        <f>IF(OR($C$60=$AR88,$D$60=$AR88),Schweine_Werte!$I88*0.5,IF(OR($C$60&gt;$AR88,$D$60&lt;$AR88),0,Schweine_Werte!$I88))</f>
        <v>0</v>
      </c>
      <c r="BM88" s="795"/>
      <c r="BN88" s="730"/>
      <c r="BO88" s="730"/>
      <c r="BP88" s="730"/>
      <c r="BQ88" s="730"/>
      <c r="BR88" s="795">
        <f>IF(OR($C$74=$AR88,$D$74=$AR88),Schweine_Werte!$M88*0.5,IF(OR($C$74&gt;$AR88,$D$74&lt;$AR88),0,Schweine_Werte!$M88))</f>
        <v>0</v>
      </c>
      <c r="BS88" s="795">
        <f>IF(OR($C$83=$AR88,$D$83=$AR88),Schweine_Werte!$M88*0.5,IF(OR($C$83&gt;$AR88,$D$83&lt;$AR88),0,Schweine_Werte!$M88))</f>
        <v>0</v>
      </c>
      <c r="BT88" s="797">
        <f>IF(OR($C$92=$AR88,$D$92=$AR88),Schweine_Werte!$M88*0.5,IF(OR($C$92&gt;$AR88,$D$92&lt;$AR88),0,Schweine_Werte!$M88))</f>
        <v>0</v>
      </c>
      <c r="BU88" s="797">
        <f>IF(OR($C$101=$AR88,$D$101=$AR88),Schweine_Werte!$M88*0.5,IF(OR($C$101&gt;$AR88,$D$101&lt;$AR88),0,Schweine_Werte!$M88))</f>
        <v>0</v>
      </c>
      <c r="BV88" s="797">
        <f>IF(OR($C$110=$AR88,$D$110=$AR88),Schweine_Werte!$M88*0.5,IF(OR($C$110&gt;$AR88,$D$110&lt;$AR88),0,Schweine_Werte!$M88))</f>
        <v>0</v>
      </c>
      <c r="BW88" s="797">
        <f>IF(OR(8=$AR88,$E$127=$AR88),Schweine_Werte!$M88*0.5,IF(OR(8&gt;$AR88,$E$127&lt;$AR88),0,Schweine_Werte!$M88))</f>
        <v>1.1781706701533199</v>
      </c>
      <c r="BX88" s="797">
        <f>IF(OR(8=$AR88,$E$145=$AR88),Schweine_Werte!$M88*0.5,IF(OR(8&gt;$AR88,$E$145&lt;$AR88),0,Schweine_Werte!$M88))</f>
        <v>1.1781706701533199</v>
      </c>
      <c r="BY88" s="795">
        <f>IF(OR($C$74=$AR88,$D$74=$AR88),Schweine_Werte!$O88*0.5,IF(OR($C$74&gt;$AR88,$D$74&lt;$AR88),0,Schweine_Werte!$O88))</f>
        <v>0</v>
      </c>
      <c r="BZ88" s="795">
        <f>IF(OR($C$83=$AR88,$D$83=$AR88),Schweine_Werte!$O88*0.5,IF(OR($C$83&gt;$AR88,$D$83&lt;$AR88),0,Schweine_Werte!$O88))</f>
        <v>0</v>
      </c>
      <c r="CA88" s="797">
        <f>IF(OR($C$92=$AR88,$D$92=$AR88),Schweine_Werte!$O88*0.5,IF(OR($C$92&gt;$AR88,$D$92&lt;$AR88),0,Schweine_Werte!$O88))</f>
        <v>0</v>
      </c>
      <c r="CB88" s="797">
        <f>IF(OR($C$101=$AR88,$D$101=$AR88),Schweine_Werte!$O88*0.5,IF(OR($C$101&gt;$AR88,$D$101&lt;$AR88),0,Schweine_Werte!$O88))</f>
        <v>0</v>
      </c>
      <c r="CC88" s="797">
        <f>IF(OR($C$110=$AR88,$D$110=$AR88),Schweine_Werte!$O88*0.5,IF(OR($C$110&gt;$AR88,$D$110&lt;$AR88),0,Schweine_Werte!$O88))</f>
        <v>0</v>
      </c>
    </row>
    <row r="89" spans="1:81" x14ac:dyDescent="0.25">
      <c r="B89">
        <v>500</v>
      </c>
      <c r="D89" s="730"/>
      <c r="E89" t="e">
        <f>($D92-$C92)*1000/SUM($CA$4:$CA$31)</f>
        <v>#VALUE!</v>
      </c>
      <c r="F89" s="730" t="e">
        <f>SUMPRODUCT($CA$4:$CA$31,Schweine_Werte!$W$4:$W$31)/SUM($CA$4:$CA$31)</f>
        <v>#DIV/0!</v>
      </c>
      <c r="G89" s="730" t="e">
        <f>IF($B92=$A$8,SUMPRODUCT($CA$4:$CA$31,Schweine_Werte!HK$4:HK$31)/SUM($CA$4:$CA$31),IF($B92=$A$7,SUMPRODUCT($CA$4:$CA$31,Schweine_Werte!GW$4:GW$31)/SUM($CA$4:$CA$31),IF($B92=$A$6,SUMPRODUCT($CA$4:$CA$31,Schweine_Werte!GI$4:GI$31)/SUM($CA$4:$CA$31),SUMPRODUCT($CA$4:$CA$31,Schweine_Werte!FU$4:FU$31)/SUM($CA$4:$CA$31))))</f>
        <v>#DIV/0!</v>
      </c>
      <c r="H89" s="730" t="e">
        <f>IF($B92=$A$8,SUMPRODUCT($CA$4:$CA$31,Schweine_Werte!HL$4:HL$31)/SUM($CA$4:$CA$31),IF($B92=$A$7,SUMPRODUCT($CA$4:$CA$31,Schweine_Werte!GX$4:GX$31)/SUM($CA$4:$CA$31),IF($B92=$A$6,SUMPRODUCT($CA$4:$CA$31,Schweine_Werte!GJ$4:GJ$31)/SUM($CA$4:$CA$31),SUMPRODUCT($CA$4:$CA$31,Schweine_Werte!FV$4:FV$31)/SUM($CA$4:$CA$31))))</f>
        <v>#DIV/0!</v>
      </c>
      <c r="I89" s="730" t="e">
        <f>IF($B92=$A$8,SUMPRODUCT($CA$4:$CA$31,Schweine_Werte!HM$4:HM$31)/SUM($CA$4:$CA$31),IF($B92=$A$7,SUMPRODUCT($CA$4:$CA$31,Schweine_Werte!GY$4:GY$31)/SUM($CA$4:$CA$31),IF($B92=$A$6,SUMPRODUCT($CA$4:$CA$31,Schweine_Werte!GK$4:GK$31)/SUM($CA$4:$CA$31),SUMPRODUCT($CA$4:$CA$31,Schweine_Werte!FW$4:FW$31)/SUM($CA$4:$CA$31))))</f>
        <v>#DIV/0!</v>
      </c>
      <c r="J89" s="730" t="e">
        <f>SUMPRODUCT($CA$4:$CA$31,Schweine_Werte!$AE$4:$AE$31)/SUM($CA$4:$CA$31)</f>
        <v>#DIV/0!</v>
      </c>
      <c r="K89" s="730" t="e">
        <f>SUMPRODUCT($CA$4:$CA$31,Schweine_Werte!$AM$4:$AM$31)/SUM($CA$4:$CA$31)</f>
        <v>#DIV/0!</v>
      </c>
      <c r="L89" s="730" t="e">
        <f>T89*$F89*365/1000+$J89-$K89</f>
        <v>#DIV/0!</v>
      </c>
      <c r="M89" s="730" t="e">
        <f>U89*$F89*365/1000+$J89-$K89/2</f>
        <v>#DIV/0!</v>
      </c>
      <c r="N89" s="730" t="e">
        <f>V89*$F89*365/1000+$J89</f>
        <v>#DIV/0!</v>
      </c>
      <c r="O89" s="730">
        <f>IF($C92&lt;28,SUM($CA$4:$CA$23)+IF($D92&gt;28,$CA$24*0.5,$CA$24),0)</f>
        <v>0</v>
      </c>
      <c r="P89" s="730">
        <f>IF($D92&gt;28,SUM($CA$25:$CA$31)+IF($C92&lt;28,$CA$24*0.5,$CA$24),0)</f>
        <v>0</v>
      </c>
      <c r="Q89" s="730" t="e">
        <f t="shared" si="46"/>
        <v>#DIV/0!</v>
      </c>
      <c r="R89" s="730" t="e">
        <f t="shared" si="46"/>
        <v>#DIV/0!</v>
      </c>
      <c r="S89" s="730" t="e">
        <f t="shared" si="46"/>
        <v>#DIV/0!</v>
      </c>
      <c r="T89" s="730" t="e">
        <f>+($O89*Schweine_Werte!$HT$16+$P89*Schweine_Werte!$HU$16)/SUM($O89:$P89)</f>
        <v>#DIV/0!</v>
      </c>
      <c r="U89" s="730" t="e">
        <f>+($O89*Schweine_Werte!$HV$16+$P89*Schweine_Werte!$HW$16)/SUM($O89:$P89)</f>
        <v>#DIV/0!</v>
      </c>
      <c r="V89" s="730" t="e">
        <f>+($O89*Schweine_Werte!$HX$16+$P89*Schweine_Werte!$HY$16)/SUM($O89:$P89)</f>
        <v>#DIV/0!</v>
      </c>
      <c r="W89" s="730" t="e">
        <f>($J89*0.055+T89*0.365*0.86*$F89-$K89*0.018)/L89*100</f>
        <v>#DIV/0!</v>
      </c>
      <c r="X89" s="730" t="e">
        <f>($J89*0.055+U89*0.365*0.86*$F89-$K89*0.018/2)/M89*100</f>
        <v>#DIV/0!</v>
      </c>
      <c r="Y89" s="730" t="e">
        <f>($J89*0.055+V89*0.365*0.86*$F89)/N89*100</f>
        <v>#DIV/0!</v>
      </c>
      <c r="Z89" s="730" t="e">
        <f>IF($B92=$A$8,SUMPRODUCT($CA$4:$CA$31,Schweine_Werte!$HN$4:$HN$31,Schweine_Werte!$HO$4:$HO$31)/SUMPRODUCT($CA$4:$CA$31,Schweine_Werte!$HN$4:$HN$31),IF($B92=$A$7,SUMPRODUCT($CA$4:$CA$31,Schweine_Werte!$GZ$4:$GZ$31,Schweine_Werte!$HA$4:$HA$31)/SUMPRODUCT($CA$4:$CA$31,Schweine_Werte!$GZ$4:$GZ$31),IF($B92=$A$6,SUMPRODUCT($CA$4:$CA$31,Schweine_Werte!$GL$4:$GL$31,Schweine_Werte!$GM$4:$GM$31)/SUMPRODUCT($CA$4:$CA$31,Schweine_Werte!$GL$4:$GL$31),SUMPRODUCT($CA$4:$CA$31,Schweine_Werte!$FX$4:$FX$31,Schweine_Werte!$FY$4:$FY$31)/SUMPRODUCT($CA$4:$CA$31,Schweine_Werte!$FX$4:$FX$31))))</f>
        <v>#DIV/0!</v>
      </c>
      <c r="AA89" s="730"/>
      <c r="AB89" s="730">
        <f>IF($B92=$A$8,SUMIF(Schweine_Werte!$AO$4:$AO$31,$C92,Schweine_Werte!$HO$4:$HO$31),IF($B92=$A$7,SUMIF(Schweine_Werte!$AO$4:$AO$31,$C92,Schweine_Werte!$HA$4:$HA$31),IF($B92=$A$6,SUMIF(Schweine_Werte!$AO$4:$AO$31,$C92,Schweine_Werte!$GM$4:$GM$31),SUMIF(Schweine_Werte!$AO$4:$AO$31,$C92,Schweine_Werte!$FY$4:$FY$31))))</f>
        <v>0</v>
      </c>
      <c r="AC89" s="730"/>
      <c r="AD89" s="730">
        <f>IF($B92=$A$8,SUMIF(Schweine_Werte!$AO$4:$AO$31,$D92,Schweine_Werte!$HO$4:$HO$31),IF($B92=$A$7,SUMIF(Schweine_Werte!$AO$4:$AO$31,$D92,Schweine_Werte!$HA$4:$HA$31),IF($B92=$A$6,SUMIF(Schweine_Werte!$AO$4:$AO$31,$D92,Schweine_Werte!$GM$4:$GM$31),SUMIF(Schweine_Werte!$AO$4:$AO$31,$D92,Schweine_Werte!$FY$4:$FY$31))))</f>
        <v>0</v>
      </c>
      <c r="AE89" s="730"/>
      <c r="AF89" s="730"/>
      <c r="AG89" s="730" t="e">
        <f>IF($B92=$A$8,SUMPRODUCT($CA$4:$CA$31,Schweine_Werte!$HN$4:$HN$31)/SUM($CA$4:$CA$31),IF($B92=$A$7,SUMPRODUCT($CA$4:$CA$31,Schweine_Werte!$GZ$4:$GZ$31)/SUM($CA$4:$CA$31),IF($B92=$A$6,SUMPRODUCT($CA$4:$CA$31,Schweine_Werte!$GL$4:$GL$31)/SUM($CA$4:$CA$31),SUMPRODUCT($CA$4:$CA$31,Schweine_Werte!$FX$4:$FX$31)/SUM($CA$4:$CA$31))))</f>
        <v>#DIV/0!</v>
      </c>
      <c r="AH89" s="730"/>
      <c r="AI89" s="730"/>
      <c r="AJ89" s="730" t="e">
        <f>IF($B92=$A$8,SUMPRODUCT($CA$4:$CA$31,Schweine_Werte!$HN$4:$HN$31,Schweine_Werte!$HP$4:$HP$31)/SUMPRODUCT($CA$4:$CA$31,Schweine_Werte!$HN$4:$HN$31),IF($B92=$A$7,SUMPRODUCT($CA$4:$CA$31,Schweine_Werte!$GZ$4:$GZ$31,Schweine_Werte!$HB$4:$HB$31)/SUMPRODUCT($CA$4:$CA$31,Schweine_Werte!$GZ$4:$GZ$31),IF($B92=$A$6,SUMPRODUCT($CA$4:$CA$31,Schweine_Werte!$GL$4:$GL$31,Schweine_Werte!$GN$4:$GN$31)/SUMPRODUCT($CA$4:$CA$31,Schweine_Werte!$GL$4:$GL$31),SUMPRODUCT($CA$4:$CA$31,Schweine_Werte!$FX$4:$FX$31,Schweine_Werte!$FZ$4:$FZ$31)/SUMPRODUCT($CA$4:$CA$31,Schweine_Werte!$FX$4:$FX$31))))</f>
        <v>#DIV/0!</v>
      </c>
      <c r="AK89" s="730"/>
      <c r="AL89" s="730">
        <f>IF($B92=$A$8,SUMIF(Schweine_Werte!$AO$4:$AO$31,$C92,Schweine_Werte!$HP$4:$HP$31),IF($B92=$A$7,SUMIF(Schweine_Werte!$AO$4:$AO$31,$C92,Schweine_Werte!$HB$4:$HB$31),IF($B92=$A$6,SUMIF(Schweine_Werte!$AO$4:$AO$31,$C92,Schweine_Werte!$GN$4:$GN$31),SUMIF(Schweine_Werte!$AO$4:$AO$31,$C92,Schweine_Werte!$FZ$4:$FZ$31))))</f>
        <v>0</v>
      </c>
      <c r="AM89" s="730"/>
      <c r="AN89" s="730">
        <f>IF($B92=$A$8,SUMIF(Schweine_Werte!$AO$4:$AO$31,$D92,Schweine_Werte!$HP$4:$HP$31),IF($B92=$A$7,SUMIF(Schweine_Werte!$AO$4:$AO$31,$D92,Schweine_Werte!$HB$4:$HB$31),IF($B92=$A$6,SUMIF(Schweine_Werte!$AO$4:$AO$31,$D92,Schweine_Werte!$GN$4:$GN$31),SUMIF(Schweine_Werte!$AO$4:$AO$31,$D92,Schweine_Werte!$FZ$4:$FZ$31))))</f>
        <v>0</v>
      </c>
      <c r="AO89" s="730"/>
      <c r="AR89" s="806">
        <v>93</v>
      </c>
      <c r="AS89" s="795">
        <f>IF(OR($C$12=$AR89,$D$12=$AR89),Schweine_Werte!$C89*0.5,IF(OR($C$12&gt;$AR89,$D$12&lt;$AR89),0,Schweine_Werte!$C89))</f>
        <v>0</v>
      </c>
      <c r="AT89" s="730">
        <f>IF(OR($C$24=$AR89,$D$24=$AR89),Schweine_Werte!$C89*0.5,IF(OR($C$24&gt;$AR89,$D$24&lt;$AR89),0,Schweine_Werte!$C89))</f>
        <v>0</v>
      </c>
      <c r="AU89" s="795">
        <f>IF(OR($C$36=$AR89,$D$36=$AR89),Schweine_Werte!$C89*0.5,IF(OR($C$36&gt;$AR89,$D$36&lt;$AR89),0,Schweine_Werte!$C89))</f>
        <v>0</v>
      </c>
      <c r="AV89" s="795">
        <f>IF(OR($C$48=$AR89,$D$48=$AR89),Schweine_Werte!$C89*0.5,IF(OR($C$48&gt;$AR89,$D$48&lt;$AR89),0,Schweine_Werte!$C89))</f>
        <v>0</v>
      </c>
      <c r="AW89" s="795">
        <f>IF(OR($C$60=$AR89,$D$60=$AR89),Schweine_Werte!$C89*0.5,IF(OR($C$60&gt;$AR89,$D$60&lt;$AR89),0,Schweine_Werte!$C89))</f>
        <v>0</v>
      </c>
      <c r="AX89" s="795">
        <f>IF(OR($C$12=$AR89,$D$12=$AR89),Schweine_Werte!$E89*0.5,IF(OR($C$12&gt;$AR89,$D$12&lt;$AR89),0,Schweine_Werte!$E89))</f>
        <v>0</v>
      </c>
      <c r="AY89" s="730">
        <f>IF(OR($C$24=$AR89,$D$24=$AR89),Schweine_Werte!$E89*0.5,IF(OR($C$24&gt;$AR89,$D$24&lt;$AR89),0,Schweine_Werte!$E89))</f>
        <v>0</v>
      </c>
      <c r="AZ89" s="730">
        <f>IF(OR($C$36=$AR89,$D$36=$AR89),Schweine_Werte!$E89*0.5,IF(OR($C$36&gt;$AR89,$D$36&lt;$AR89),0,Schweine_Werte!$E89))</f>
        <v>0</v>
      </c>
      <c r="BA89" s="730">
        <f>IF(OR($C$48=$AR89,$D$48=$AR89),Schweine_Werte!$E89*0.5,IF(OR($C$48&gt;$AR89,$D$48&lt;$AR89),0,Schweine_Werte!$E89))</f>
        <v>0</v>
      </c>
      <c r="BB89" s="730">
        <f>IF(OR($C$60=$AR89,$D$60=$AR89),Schweine_Werte!$E89*0.5,IF(OR($C$60&gt;$AR89,$D$60&lt;$AR89),0,Schweine_Werte!$E89))</f>
        <v>0</v>
      </c>
      <c r="BC89" s="795">
        <f>IF(OR($C$12=$AR89,$D$12=$AR89),Schweine_Werte!$G89*0.5,IF(OR($C$12&gt;$AR89,$D$12&lt;$AR89),0,Schweine_Werte!$G89))</f>
        <v>0</v>
      </c>
      <c r="BD89" s="730">
        <f>IF(OR($C$24=$AR89,$D$24=$AR89),Schweine_Werte!$G89*0.5,IF(OR($C$24&gt;$AR89,$D$24&lt;$AR89),0,Schweine_Werte!$G89))</f>
        <v>0</v>
      </c>
      <c r="BE89" s="730">
        <f>IF(OR($C$36=$AR89,$D$36=$AR89),Schweine_Werte!$G89*0.5,IF(OR($C$36&gt;$AR89,$D$36&lt;$AR89),0,Schweine_Werte!$G89))</f>
        <v>0</v>
      </c>
      <c r="BF89" s="730">
        <f>IF(OR($C$48=$AR89,$D$48=$AR89),Schweine_Werte!$G89*0.5,IF(OR($C$48&gt;$AR89,$D$48&lt;$AR89),0,Schweine_Werte!$G89))</f>
        <v>0</v>
      </c>
      <c r="BG89" s="730">
        <f>IF(OR($C$60=$AR89,$D$60=$AR89),Schweine_Werte!$G89*0.5,IF(OR($C$60&gt;$AR89,$D$60&lt;$AR89),0,Schweine_Werte!$G89))</f>
        <v>0</v>
      </c>
      <c r="BH89" s="795">
        <f>IF(OR($C$12=$AR89,$D$12=$AR89),Schweine_Werte!$I89*0.5,IF(OR($C$12&gt;$AR89,$D$12&lt;$AR89),0,Schweine_Werte!$I89))</f>
        <v>0</v>
      </c>
      <c r="BI89" s="730">
        <f>IF(OR($C$24=$AR89,$D$24=$AR89),Schweine_Werte!$I89*0.5,IF(OR($C$24&gt;$AR89,$D$24&lt;$AR89),0,Schweine_Werte!$I89))</f>
        <v>0</v>
      </c>
      <c r="BJ89" s="730">
        <f>IF(OR($C$36=$AR89,$D$36=$AR89),Schweine_Werte!$I89*0.5,IF(OR($C$36&gt;$AR89,$D$36&lt;$AR89),0,Schweine_Werte!$I89))</f>
        <v>0</v>
      </c>
      <c r="BK89" s="730">
        <f>IF(OR($C$48=$AR89,$D$48=$AR89),Schweine_Werte!$I89*0.5,IF(OR($C$48&gt;$AR89,$D$48&lt;$AR89),0,Schweine_Werte!$I89))</f>
        <v>0</v>
      </c>
      <c r="BL89" s="730">
        <f>IF(OR($C$60=$AR89,$D$60=$AR89),Schweine_Werte!$I89*0.5,IF(OR($C$60&gt;$AR89,$D$60&lt;$AR89),0,Schweine_Werte!$I89))</f>
        <v>0</v>
      </c>
      <c r="BM89" s="795"/>
      <c r="BN89" s="730"/>
      <c r="BO89" s="730"/>
      <c r="BP89" s="730"/>
      <c r="BQ89" s="730"/>
      <c r="BR89" s="795">
        <f>IF(OR($C$74=$AR89,$D$74=$AR89),Schweine_Werte!$M89*0.5,IF(OR($C$74&gt;$AR89,$D$74&lt;$AR89),0,Schweine_Werte!$M89))</f>
        <v>0</v>
      </c>
      <c r="BS89" s="795">
        <f>IF(OR($C$83=$AR89,$D$83=$AR89),Schweine_Werte!$M89*0.5,IF(OR($C$83&gt;$AR89,$D$83&lt;$AR89),0,Schweine_Werte!$M89))</f>
        <v>0</v>
      </c>
      <c r="BT89" s="797">
        <f>IF(OR($C$92=$AR89,$D$92=$AR89),Schweine_Werte!$M89*0.5,IF(OR($C$92&gt;$AR89,$D$92&lt;$AR89),0,Schweine_Werte!$M89))</f>
        <v>0</v>
      </c>
      <c r="BU89" s="797">
        <f>IF(OR($C$101=$AR89,$D$101=$AR89),Schweine_Werte!$M89*0.5,IF(OR($C$101&gt;$AR89,$D$101&lt;$AR89),0,Schweine_Werte!$M89))</f>
        <v>0</v>
      </c>
      <c r="BV89" s="797">
        <f>IF(OR($C$110=$AR89,$D$110=$AR89),Schweine_Werte!$M89*0.5,IF(OR($C$110&gt;$AR89,$D$110&lt;$AR89),0,Schweine_Werte!$M89))</f>
        <v>0</v>
      </c>
      <c r="BW89" s="797">
        <f>IF(OR(8=$AR89,$E$127=$AR89),Schweine_Werte!$M89*0.5,IF(OR(8&gt;$AR89,$E$127&lt;$AR89),0,Schweine_Werte!$M89))</f>
        <v>1.186462198893864</v>
      </c>
      <c r="BX89" s="797">
        <f>IF(OR(8=$AR89,$E$145=$AR89),Schweine_Werte!$M89*0.5,IF(OR(8&gt;$AR89,$E$145&lt;$AR89),0,Schweine_Werte!$M89))</f>
        <v>1.186462198893864</v>
      </c>
      <c r="BY89" s="795">
        <f>IF(OR($C$74=$AR89,$D$74=$AR89),Schweine_Werte!$O89*0.5,IF(OR($C$74&gt;$AR89,$D$74&lt;$AR89),0,Schweine_Werte!$O89))</f>
        <v>0</v>
      </c>
      <c r="BZ89" s="795">
        <f>IF(OR($C$83=$AR89,$D$83=$AR89),Schweine_Werte!$O89*0.5,IF(OR($C$83&gt;$AR89,$D$83&lt;$AR89),0,Schweine_Werte!$O89))</f>
        <v>0</v>
      </c>
      <c r="CA89" s="797">
        <f>IF(OR($C$92=$AR89,$D$92=$AR89),Schweine_Werte!$O89*0.5,IF(OR($C$92&gt;$AR89,$D$92&lt;$AR89),0,Schweine_Werte!$O89))</f>
        <v>0</v>
      </c>
      <c r="CB89" s="797">
        <f>IF(OR($C$101=$AR89,$D$101=$AR89),Schweine_Werte!$O89*0.5,IF(OR($C$101&gt;$AR89,$D$101&lt;$AR89),0,Schweine_Werte!$O89))</f>
        <v>0</v>
      </c>
      <c r="CC89" s="797">
        <f>IF(OR($C$110=$AR89,$D$110=$AR89),Schweine_Werte!$O89*0.5,IF(OR($C$110&gt;$AR89,$D$110&lt;$AR89),0,Schweine_Werte!$O89))</f>
        <v>0</v>
      </c>
    </row>
    <row r="90" spans="1:81" ht="15.6" x14ac:dyDescent="0.3">
      <c r="F90" s="357"/>
      <c r="G90" s="1626" t="s">
        <v>7713</v>
      </c>
      <c r="H90" s="1627"/>
      <c r="I90" s="1628"/>
      <c r="J90" s="1039" t="s">
        <v>596</v>
      </c>
      <c r="K90" s="1039" t="s">
        <v>226</v>
      </c>
      <c r="L90" s="1621" t="s">
        <v>7714</v>
      </c>
      <c r="M90" s="1622"/>
      <c r="N90" s="1623"/>
      <c r="O90" s="1621" t="s">
        <v>7715</v>
      </c>
      <c r="P90" s="1623"/>
      <c r="Q90" s="1621" t="s">
        <v>7770</v>
      </c>
      <c r="R90" s="1622"/>
      <c r="S90" s="1623"/>
      <c r="T90" s="1621" t="s">
        <v>7716</v>
      </c>
      <c r="U90" s="1622"/>
      <c r="V90" s="1623"/>
      <c r="W90" s="1621" t="s">
        <v>7798</v>
      </c>
      <c r="X90" s="1622"/>
      <c r="Y90" s="1623"/>
      <c r="Z90" s="1632" t="s">
        <v>7799</v>
      </c>
      <c r="AA90" s="1633"/>
      <c r="AB90" s="1632" t="s">
        <v>7800</v>
      </c>
      <c r="AC90" s="1633"/>
      <c r="AD90" s="1632" t="s">
        <v>7801</v>
      </c>
      <c r="AE90" s="1633"/>
      <c r="AF90" s="1040" t="s">
        <v>7910</v>
      </c>
      <c r="AG90" s="1624" t="s">
        <v>7804</v>
      </c>
      <c r="AH90" s="1625"/>
      <c r="AI90" s="1148" t="s">
        <v>7911</v>
      </c>
      <c r="AJ90" s="1632" t="s">
        <v>7799</v>
      </c>
      <c r="AK90" s="1633"/>
      <c r="AL90" s="1632" t="s">
        <v>7800</v>
      </c>
      <c r="AM90" s="1633"/>
      <c r="AN90" s="1632" t="s">
        <v>7801</v>
      </c>
      <c r="AO90" s="1633"/>
      <c r="AR90" s="806">
        <v>94</v>
      </c>
      <c r="AS90" s="795">
        <f>IF(OR($C$12=$AR90,$D$12=$AR90),Schweine_Werte!$C90*0.5,IF(OR($C$12&gt;$AR90,$D$12&lt;$AR90),0,Schweine_Werte!$C90))</f>
        <v>0</v>
      </c>
      <c r="AT90" s="730">
        <f>IF(OR($C$24=$AR90,$D$24=$AR90),Schweine_Werte!$C90*0.5,IF(OR($C$24&gt;$AR90,$D$24&lt;$AR90),0,Schweine_Werte!$C90))</f>
        <v>0</v>
      </c>
      <c r="AU90" s="795">
        <f>IF(OR($C$36=$AR90,$D$36=$AR90),Schweine_Werte!$C90*0.5,IF(OR($C$36&gt;$AR90,$D$36&lt;$AR90),0,Schweine_Werte!$C90))</f>
        <v>0</v>
      </c>
      <c r="AV90" s="795">
        <f>IF(OR($C$48=$AR90,$D$48=$AR90),Schweine_Werte!$C90*0.5,IF(OR($C$48&gt;$AR90,$D$48&lt;$AR90),0,Schweine_Werte!$C90))</f>
        <v>0</v>
      </c>
      <c r="AW90" s="795">
        <f>IF(OR($C$60=$AR90,$D$60=$AR90),Schweine_Werte!$C90*0.5,IF(OR($C$60&gt;$AR90,$D$60&lt;$AR90),0,Schweine_Werte!$C90))</f>
        <v>0</v>
      </c>
      <c r="AX90" s="795">
        <f>IF(OR($C$12=$AR90,$D$12=$AR90),Schweine_Werte!$E90*0.5,IF(OR($C$12&gt;$AR90,$D$12&lt;$AR90),0,Schweine_Werte!$E90))</f>
        <v>0</v>
      </c>
      <c r="AY90" s="730">
        <f>IF(OR($C$24=$AR90,$D$24=$AR90),Schweine_Werte!$E90*0.5,IF(OR($C$24&gt;$AR90,$D$24&lt;$AR90),0,Schweine_Werte!$E90))</f>
        <v>0</v>
      </c>
      <c r="AZ90" s="730">
        <f>IF(OR($C$36=$AR90,$D$36=$AR90),Schweine_Werte!$E90*0.5,IF(OR($C$36&gt;$AR90,$D$36&lt;$AR90),0,Schweine_Werte!$E90))</f>
        <v>0</v>
      </c>
      <c r="BA90" s="730">
        <f>IF(OR($C$48=$AR90,$D$48=$AR90),Schweine_Werte!$E90*0.5,IF(OR($C$48&gt;$AR90,$D$48&lt;$AR90),0,Schweine_Werte!$E90))</f>
        <v>0</v>
      </c>
      <c r="BB90" s="730">
        <f>IF(OR($C$60=$AR90,$D$60=$AR90),Schweine_Werte!$E90*0.5,IF(OR($C$60&gt;$AR90,$D$60&lt;$AR90),0,Schweine_Werte!$E90))</f>
        <v>0</v>
      </c>
      <c r="BC90" s="795">
        <f>IF(OR($C$12=$AR90,$D$12=$AR90),Schweine_Werte!$G90*0.5,IF(OR($C$12&gt;$AR90,$D$12&lt;$AR90),0,Schweine_Werte!$G90))</f>
        <v>0</v>
      </c>
      <c r="BD90" s="730">
        <f>IF(OR($C$24=$AR90,$D$24=$AR90),Schweine_Werte!$G90*0.5,IF(OR($C$24&gt;$AR90,$D$24&lt;$AR90),0,Schweine_Werte!$G90))</f>
        <v>0</v>
      </c>
      <c r="BE90" s="730">
        <f>IF(OR($C$36=$AR90,$D$36=$AR90),Schweine_Werte!$G90*0.5,IF(OR($C$36&gt;$AR90,$D$36&lt;$AR90),0,Schweine_Werte!$G90))</f>
        <v>0</v>
      </c>
      <c r="BF90" s="730">
        <f>IF(OR($C$48=$AR90,$D$48=$AR90),Schweine_Werte!$G90*0.5,IF(OR($C$48&gt;$AR90,$D$48&lt;$AR90),0,Schweine_Werte!$G90))</f>
        <v>0</v>
      </c>
      <c r="BG90" s="730">
        <f>IF(OR($C$60=$AR90,$D$60=$AR90),Schweine_Werte!$G90*0.5,IF(OR($C$60&gt;$AR90,$D$60&lt;$AR90),0,Schweine_Werte!$G90))</f>
        <v>0</v>
      </c>
      <c r="BH90" s="795">
        <f>IF(OR($C$12=$AR90,$D$12=$AR90),Schweine_Werte!$I90*0.5,IF(OR($C$12&gt;$AR90,$D$12&lt;$AR90),0,Schweine_Werte!$I90))</f>
        <v>0</v>
      </c>
      <c r="BI90" s="730">
        <f>IF(OR($C$24=$AR90,$D$24=$AR90),Schweine_Werte!$I90*0.5,IF(OR($C$24&gt;$AR90,$D$24&lt;$AR90),0,Schweine_Werte!$I90))</f>
        <v>0</v>
      </c>
      <c r="BJ90" s="730">
        <f>IF(OR($C$36=$AR90,$D$36=$AR90),Schweine_Werte!$I90*0.5,IF(OR($C$36&gt;$AR90,$D$36&lt;$AR90),0,Schweine_Werte!$I90))</f>
        <v>0</v>
      </c>
      <c r="BK90" s="730">
        <f>IF(OR($C$48=$AR90,$D$48=$AR90),Schweine_Werte!$I90*0.5,IF(OR($C$48&gt;$AR90,$D$48&lt;$AR90),0,Schweine_Werte!$I90))</f>
        <v>0</v>
      </c>
      <c r="BL90" s="730">
        <f>IF(OR($C$60=$AR90,$D$60=$AR90),Schweine_Werte!$I90*0.5,IF(OR($C$60&gt;$AR90,$D$60&lt;$AR90),0,Schweine_Werte!$I90))</f>
        <v>0</v>
      </c>
      <c r="BM90" s="795"/>
      <c r="BN90" s="730"/>
      <c r="BO90" s="730"/>
      <c r="BP90" s="730"/>
      <c r="BQ90" s="730"/>
      <c r="BR90" s="795">
        <f>IF(OR($C$74=$AR90,$D$74=$AR90),Schweine_Werte!$M90*0.5,IF(OR($C$74&gt;$AR90,$D$74&lt;$AR90),0,Schweine_Werte!$M90))</f>
        <v>0</v>
      </c>
      <c r="BS90" s="795">
        <f>IF(OR($C$83=$AR90,$D$83=$AR90),Schweine_Werte!$M90*0.5,IF(OR($C$83&gt;$AR90,$D$83&lt;$AR90),0,Schweine_Werte!$M90))</f>
        <v>0</v>
      </c>
      <c r="BT90" s="797">
        <f>IF(OR($C$92=$AR90,$D$92=$AR90),Schweine_Werte!$M90*0.5,IF(OR($C$92&gt;$AR90,$D$92&lt;$AR90),0,Schweine_Werte!$M90))</f>
        <v>0</v>
      </c>
      <c r="BU90" s="797">
        <f>IF(OR($C$101=$AR90,$D$101=$AR90),Schweine_Werte!$M90*0.5,IF(OR($C$101&gt;$AR90,$D$101&lt;$AR90),0,Schweine_Werte!$M90))</f>
        <v>0</v>
      </c>
      <c r="BV90" s="797">
        <f>IF(OR($C$110=$AR90,$D$110=$AR90),Schweine_Werte!$M90*0.5,IF(OR($C$110&gt;$AR90,$D$110&lt;$AR90),0,Schweine_Werte!$M90))</f>
        <v>0</v>
      </c>
      <c r="BW90" s="797">
        <f>IF(OR(8=$AR90,$E$127=$AR90),Schweine_Werte!$M90*0.5,IF(OR(8&gt;$AR90,$E$127&lt;$AR90),0,Schweine_Werte!$M90))</f>
        <v>1.1952918899533977</v>
      </c>
      <c r="BX90" s="797">
        <f>IF(OR(8=$AR90,$E$145=$AR90),Schweine_Werte!$M90*0.5,IF(OR(8&gt;$AR90,$E$145&lt;$AR90),0,Schweine_Werte!$M90))</f>
        <v>1.1952918899533977</v>
      </c>
      <c r="BY90" s="795">
        <f>IF(OR($C$74=$AR90,$D$74=$AR90),Schweine_Werte!$O90*0.5,IF(OR($C$74&gt;$AR90,$D$74&lt;$AR90),0,Schweine_Werte!$O90))</f>
        <v>0</v>
      </c>
      <c r="BZ90" s="795">
        <f>IF(OR($C$83=$AR90,$D$83=$AR90),Schweine_Werte!$O90*0.5,IF(OR($C$83&gt;$AR90,$D$83&lt;$AR90),0,Schweine_Werte!$O90))</f>
        <v>0</v>
      </c>
      <c r="CA90" s="797">
        <f>IF(OR($C$92=$AR90,$D$92=$AR90),Schweine_Werte!$O90*0.5,IF(OR($C$92&gt;$AR90,$D$92&lt;$AR90),0,Schweine_Werte!$O90))</f>
        <v>0</v>
      </c>
      <c r="CB90" s="797">
        <f>IF(OR($C$101=$AR90,$D$101=$AR90),Schweine_Werte!$O90*0.5,IF(OR($C$101&gt;$AR90,$D$101&lt;$AR90),0,Schweine_Werte!$O90))</f>
        <v>0</v>
      </c>
      <c r="CC90" s="797">
        <f>IF(OR($C$110=$AR90,$D$110=$AR90),Schweine_Werte!$O90*0.5,IF(OR($C$110&gt;$AR90,$D$110&lt;$AR90),0,Schweine_Werte!$O90))</f>
        <v>0</v>
      </c>
    </row>
    <row r="91" spans="1:81" ht="18" x14ac:dyDescent="0.25">
      <c r="B91" s="800" t="s">
        <v>7717</v>
      </c>
      <c r="C91" s="801" t="s">
        <v>7657</v>
      </c>
      <c r="D91" s="801" t="s">
        <v>7718</v>
      </c>
      <c r="E91" s="801" t="s">
        <v>7659</v>
      </c>
      <c r="F91" s="747" t="s">
        <v>196</v>
      </c>
      <c r="G91" s="675" t="s">
        <v>4</v>
      </c>
      <c r="H91" s="675" t="s">
        <v>7719</v>
      </c>
      <c r="I91" s="675" t="s">
        <v>7720</v>
      </c>
      <c r="J91" s="676" t="s">
        <v>7721</v>
      </c>
      <c r="K91" s="676" t="s">
        <v>7721</v>
      </c>
      <c r="L91" s="677" t="s">
        <v>39</v>
      </c>
      <c r="M91" s="677" t="s">
        <v>7722</v>
      </c>
      <c r="N91" s="677" t="s">
        <v>41</v>
      </c>
      <c r="O91" s="678" t="s">
        <v>0</v>
      </c>
      <c r="P91" s="678" t="s">
        <v>8</v>
      </c>
      <c r="Q91" s="677" t="s">
        <v>39</v>
      </c>
      <c r="R91" s="677" t="s">
        <v>40</v>
      </c>
      <c r="S91" s="677" t="s">
        <v>41</v>
      </c>
      <c r="T91" s="677" t="s">
        <v>39</v>
      </c>
      <c r="U91" s="677" t="s">
        <v>40</v>
      </c>
      <c r="V91" s="677" t="s">
        <v>41</v>
      </c>
      <c r="W91" s="676" t="s">
        <v>7696</v>
      </c>
      <c r="X91" s="676" t="s">
        <v>7697</v>
      </c>
      <c r="Y91" s="676" t="s">
        <v>7698</v>
      </c>
      <c r="Z91" s="802" t="s">
        <v>7802</v>
      </c>
      <c r="AA91" s="802" t="s">
        <v>7803</v>
      </c>
      <c r="AB91" s="802" t="s">
        <v>7802</v>
      </c>
      <c r="AC91" s="802" t="s">
        <v>7803</v>
      </c>
      <c r="AD91" s="802" t="s">
        <v>7802</v>
      </c>
      <c r="AE91" s="802" t="s">
        <v>7803</v>
      </c>
      <c r="AF91" s="802" t="s">
        <v>7912</v>
      </c>
      <c r="AG91" s="1049" t="s">
        <v>7913</v>
      </c>
      <c r="AH91" s="802" t="s">
        <v>7914</v>
      </c>
      <c r="AI91" s="802"/>
      <c r="AJ91" s="802" t="s">
        <v>7778</v>
      </c>
      <c r="AK91" s="802" t="s">
        <v>7805</v>
      </c>
      <c r="AL91" s="802" t="s">
        <v>7806</v>
      </c>
      <c r="AM91" s="802" t="s">
        <v>7807</v>
      </c>
      <c r="AN91" s="802" t="s">
        <v>7806</v>
      </c>
      <c r="AO91" s="802" t="s">
        <v>7808</v>
      </c>
      <c r="AR91" s="806">
        <v>95</v>
      </c>
      <c r="AS91" s="795">
        <f>IF(OR($C$12=$AR91,$D$12=$AR91),Schweine_Werte!$C91*0.5,IF(OR($C$12&gt;$AR91,$D$12&lt;$AR91),0,Schweine_Werte!$C91))</f>
        <v>0</v>
      </c>
      <c r="AT91" s="730">
        <f>IF(OR($C$24=$AR91,$D$24=$AR91),Schweine_Werte!$C91*0.5,IF(OR($C$24&gt;$AR91,$D$24&lt;$AR91),0,Schweine_Werte!$C91))</f>
        <v>0</v>
      </c>
      <c r="AU91" s="795">
        <f>IF(OR($C$36=$AR91,$D$36=$AR91),Schweine_Werte!$C91*0.5,IF(OR($C$36&gt;$AR91,$D$36&lt;$AR91),0,Schweine_Werte!$C91))</f>
        <v>0</v>
      </c>
      <c r="AV91" s="795">
        <f>IF(OR($C$48=$AR91,$D$48=$AR91),Schweine_Werte!$C91*0.5,IF(OR($C$48&gt;$AR91,$D$48&lt;$AR91),0,Schweine_Werte!$C91))</f>
        <v>0</v>
      </c>
      <c r="AW91" s="795">
        <f>IF(OR($C$60=$AR91,$D$60=$AR91),Schweine_Werte!$C91*0.5,IF(OR($C$60&gt;$AR91,$D$60&lt;$AR91),0,Schweine_Werte!$C91))</f>
        <v>0</v>
      </c>
      <c r="AX91" s="795">
        <f>IF(OR($C$12=$AR91,$D$12=$AR91),Schweine_Werte!$E91*0.5,IF(OR($C$12&gt;$AR91,$D$12&lt;$AR91),0,Schweine_Werte!$E91))</f>
        <v>0</v>
      </c>
      <c r="AY91" s="730">
        <f>IF(OR($C$24=$AR91,$D$24=$AR91),Schweine_Werte!$E91*0.5,IF(OR($C$24&gt;$AR91,$D$24&lt;$AR91),0,Schweine_Werte!$E91))</f>
        <v>0</v>
      </c>
      <c r="AZ91" s="730">
        <f>IF(OR($C$36=$AR91,$D$36=$AR91),Schweine_Werte!$E91*0.5,IF(OR($C$36&gt;$AR91,$D$36&lt;$AR91),0,Schweine_Werte!$E91))</f>
        <v>0</v>
      </c>
      <c r="BA91" s="730">
        <f>IF(OR($C$48=$AR91,$D$48=$AR91),Schweine_Werte!$E91*0.5,IF(OR($C$48&gt;$AR91,$D$48&lt;$AR91),0,Schweine_Werte!$E91))</f>
        <v>0</v>
      </c>
      <c r="BB91" s="730">
        <f>IF(OR($C$60=$AR91,$D$60=$AR91),Schweine_Werte!$E91*0.5,IF(OR($C$60&gt;$AR91,$D$60&lt;$AR91),0,Schweine_Werte!$E91))</f>
        <v>0</v>
      </c>
      <c r="BC91" s="795">
        <f>IF(OR($C$12=$AR91,$D$12=$AR91),Schweine_Werte!$G91*0.5,IF(OR($C$12&gt;$AR91,$D$12&lt;$AR91),0,Schweine_Werte!$G91))</f>
        <v>0</v>
      </c>
      <c r="BD91" s="730">
        <f>IF(OR($C$24=$AR91,$D$24=$AR91),Schweine_Werte!$G91*0.5,IF(OR($C$24&gt;$AR91,$D$24&lt;$AR91),0,Schweine_Werte!$G91))</f>
        <v>0</v>
      </c>
      <c r="BE91" s="730">
        <f>IF(OR($C$36=$AR91,$D$36=$AR91),Schweine_Werte!$G91*0.5,IF(OR($C$36&gt;$AR91,$D$36&lt;$AR91),0,Schweine_Werte!$G91))</f>
        <v>0</v>
      </c>
      <c r="BF91" s="730">
        <f>IF(OR($C$48=$AR91,$D$48=$AR91),Schweine_Werte!$G91*0.5,IF(OR($C$48&gt;$AR91,$D$48&lt;$AR91),0,Schweine_Werte!$G91))</f>
        <v>0</v>
      </c>
      <c r="BG91" s="730">
        <f>IF(OR($C$60=$AR91,$D$60=$AR91),Schweine_Werte!$G91*0.5,IF(OR($C$60&gt;$AR91,$D$60&lt;$AR91),0,Schweine_Werte!$G91))</f>
        <v>0</v>
      </c>
      <c r="BH91" s="795">
        <f>IF(OR($C$12=$AR91,$D$12=$AR91),Schweine_Werte!$I91*0.5,IF(OR($C$12&gt;$AR91,$D$12&lt;$AR91),0,Schweine_Werte!$I91))</f>
        <v>0</v>
      </c>
      <c r="BI91" s="730">
        <f>IF(OR($C$24=$AR91,$D$24=$AR91),Schweine_Werte!$I91*0.5,IF(OR($C$24&gt;$AR91,$D$24&lt;$AR91),0,Schweine_Werte!$I91))</f>
        <v>0</v>
      </c>
      <c r="BJ91" s="730">
        <f>IF(OR($C$36=$AR91,$D$36=$AR91),Schweine_Werte!$I91*0.5,IF(OR($C$36&gt;$AR91,$D$36&lt;$AR91),0,Schweine_Werte!$I91))</f>
        <v>0</v>
      </c>
      <c r="BK91" s="730">
        <f>IF(OR($C$48=$AR91,$D$48=$AR91),Schweine_Werte!$I91*0.5,IF(OR($C$48&gt;$AR91,$D$48&lt;$AR91),0,Schweine_Werte!$I91))</f>
        <v>0</v>
      </c>
      <c r="BL91" s="730">
        <f>IF(OR($C$60=$AR91,$D$60=$AR91),Schweine_Werte!$I91*0.5,IF(OR($C$60&gt;$AR91,$D$60&lt;$AR91),0,Schweine_Werte!$I91))</f>
        <v>0</v>
      </c>
      <c r="BM91" s="795"/>
      <c r="BN91" s="730"/>
      <c r="BO91" s="730"/>
      <c r="BP91" s="730"/>
      <c r="BQ91" s="730"/>
      <c r="BR91" s="795">
        <f>IF(OR($C$74=$AR91,$D$74=$AR91),Schweine_Werte!$M91*0.5,IF(OR($C$74&gt;$AR91,$D$74&lt;$AR91),0,Schweine_Werte!$M91))</f>
        <v>0</v>
      </c>
      <c r="BS91" s="795">
        <f>IF(OR($C$83=$AR91,$D$83=$AR91),Schweine_Werte!$M91*0.5,IF(OR($C$83&gt;$AR91,$D$83&lt;$AR91),0,Schweine_Werte!$M91))</f>
        <v>0</v>
      </c>
      <c r="BT91" s="797">
        <f>IF(OR($C$92=$AR91,$D$92=$AR91),Schweine_Werte!$M91*0.5,IF(OR($C$92&gt;$AR91,$D$92&lt;$AR91),0,Schweine_Werte!$M91))</f>
        <v>0</v>
      </c>
      <c r="BU91" s="797">
        <f>IF(OR($C$101=$AR91,$D$101=$AR91),Schweine_Werte!$M91*0.5,IF(OR($C$101&gt;$AR91,$D$101&lt;$AR91),0,Schweine_Werte!$M91))</f>
        <v>0</v>
      </c>
      <c r="BV91" s="797">
        <f>IF(OR($C$110=$AR91,$D$110=$AR91),Schweine_Werte!$M91*0.5,IF(OR($C$110&gt;$AR91,$D$110&lt;$AR91),0,Schweine_Werte!$M91))</f>
        <v>0</v>
      </c>
      <c r="BW91" s="797">
        <f>IF(OR(8=$AR91,$E$127=$AR91),Schweine_Werte!$M91*0.5,IF(OR(8&gt;$AR91,$E$127&lt;$AR91),0,Schweine_Werte!$M91))</f>
        <v>1.2046808919230616</v>
      </c>
      <c r="BX91" s="797">
        <f>IF(OR(8=$AR91,$E$145=$AR91),Schweine_Werte!$M91*0.5,IF(OR(8&gt;$AR91,$E$145&lt;$AR91),0,Schweine_Werte!$M91))</f>
        <v>1.2046808919230616</v>
      </c>
      <c r="BY91" s="795">
        <f>IF(OR($C$74=$AR91,$D$74=$AR91),Schweine_Werte!$O91*0.5,IF(OR($C$74&gt;$AR91,$D$74&lt;$AR91),0,Schweine_Werte!$O91))</f>
        <v>0</v>
      </c>
      <c r="BZ91" s="795">
        <f>IF(OR($C$83=$AR91,$D$83=$AR91),Schweine_Werte!$O91*0.5,IF(OR($C$83&gt;$AR91,$D$83&lt;$AR91),0,Schweine_Werte!$O91))</f>
        <v>0</v>
      </c>
      <c r="CA91" s="797">
        <f>IF(OR($C$92=$AR91,$D$92=$AR91),Schweine_Werte!$O91*0.5,IF(OR($C$92&gt;$AR91,$D$92&lt;$AR91),0,Schweine_Werte!$O91))</f>
        <v>0</v>
      </c>
      <c r="CB91" s="797">
        <f>IF(OR($C$101=$AR91,$D$101=$AR91),Schweine_Werte!$O91*0.5,IF(OR($C$101&gt;$AR91,$D$101&lt;$AR91),0,Schweine_Werte!$O91))</f>
        <v>0</v>
      </c>
      <c r="CC91" s="797">
        <f>IF(OR($C$110=$AR91,$D$110=$AR91),Schweine_Werte!$O91*0.5,IF(OR($C$110&gt;$AR91,$D$110&lt;$AR91),0,Schweine_Werte!$O91))</f>
        <v>0</v>
      </c>
    </row>
    <row r="92" spans="1:81" ht="15.6" x14ac:dyDescent="0.3">
      <c r="A92" t="s">
        <v>7793</v>
      </c>
      <c r="B92" s="816" t="str">
        <f>IF('Abweichende Werte'!X7=1,'Abweichende Werte'!F7,"")</f>
        <v/>
      </c>
      <c r="C92" s="679" t="str">
        <f>IF('Abweichende Werte'!X7=1,'Abweichende Werte'!J7,"")</f>
        <v/>
      </c>
      <c r="D92" s="680" t="str">
        <f>IF('Abweichende Werte'!X7=1,'Abweichende Werte'!M7,"")</f>
        <v/>
      </c>
      <c r="E92" s="680" t="str">
        <f>IF('Abweichende Werte'!X7=1,'Abweichende Werte'!P7,"")</f>
        <v/>
      </c>
      <c r="F92" s="803" t="e">
        <f>IF($E92&lt;=$E88,F88,IF(AND($E92&gt;$E88,$E92&lt;=$E89),F88+(F89-F88)/($E89-$E88)*($E92-$E88),IF($E92&gt;$E89,F89)))</f>
        <v>#VALUE!</v>
      </c>
      <c r="G92" s="803" t="e">
        <f t="shared" ref="G92:N92" si="47">IF($E92&lt;=$E88,G88,IF(AND($E92&gt;$E88,$E92&lt;=$E89),G88+(G89-G88)/($E89-$E88)*($E92-$E88),IF($E92&gt;$E89,G89)))</f>
        <v>#VALUE!</v>
      </c>
      <c r="H92" s="803" t="e">
        <f t="shared" si="47"/>
        <v>#VALUE!</v>
      </c>
      <c r="I92" s="803" t="e">
        <f t="shared" si="47"/>
        <v>#VALUE!</v>
      </c>
      <c r="J92" s="803" t="e">
        <f t="shared" si="47"/>
        <v>#VALUE!</v>
      </c>
      <c r="K92" s="803" t="e">
        <f t="shared" si="47"/>
        <v>#VALUE!</v>
      </c>
      <c r="L92" s="803" t="e">
        <f t="shared" si="47"/>
        <v>#VALUE!</v>
      </c>
      <c r="M92" s="803" t="e">
        <f t="shared" si="47"/>
        <v>#VALUE!</v>
      </c>
      <c r="N92" s="803" t="e">
        <f t="shared" si="47"/>
        <v>#VALUE!</v>
      </c>
      <c r="O92" s="804">
        <v>5.5</v>
      </c>
      <c r="P92" s="804">
        <v>1.8</v>
      </c>
      <c r="Q92" s="803" t="e">
        <f t="shared" ref="Q92:Z92" si="48">IF($E92&lt;=$E88,Q88,IF(AND($E92&gt;$E88,$E92&lt;=$E89),Q88+(Q89-Q88)/($E89-$E88)*($E92-$E88),IF($E92&gt;$E89,Q89)))</f>
        <v>#VALUE!</v>
      </c>
      <c r="R92" s="803" t="e">
        <f t="shared" si="48"/>
        <v>#VALUE!</v>
      </c>
      <c r="S92" s="803" t="e">
        <f t="shared" si="48"/>
        <v>#VALUE!</v>
      </c>
      <c r="T92" s="803" t="e">
        <f t="shared" si="48"/>
        <v>#VALUE!</v>
      </c>
      <c r="U92" s="803" t="e">
        <f t="shared" si="48"/>
        <v>#VALUE!</v>
      </c>
      <c r="V92" s="803" t="e">
        <f t="shared" si="48"/>
        <v>#VALUE!</v>
      </c>
      <c r="W92" s="803" t="e">
        <f t="shared" si="48"/>
        <v>#VALUE!</v>
      </c>
      <c r="X92" s="803" t="e">
        <f t="shared" si="48"/>
        <v>#VALUE!</v>
      </c>
      <c r="Y92" s="803" t="e">
        <f t="shared" si="48"/>
        <v>#VALUE!</v>
      </c>
      <c r="Z92" s="803" t="e">
        <f t="shared" si="48"/>
        <v>#VALUE!</v>
      </c>
      <c r="AA92" s="805" t="e">
        <f>+Z92*6.25</f>
        <v>#VALUE!</v>
      </c>
      <c r="AB92" s="803" t="e">
        <f>IF($E92&lt;=$E88,AB88,IF(AND($E92&gt;$E88,$E92&lt;=$E89),AB88+(AB89-AB88)/($E89-$E88)*($E92-$E88),IF($E92&gt;$E89,AB89)))</f>
        <v>#VALUE!</v>
      </c>
      <c r="AC92" s="805" t="e">
        <f>+AB92*6.25</f>
        <v>#VALUE!</v>
      </c>
      <c r="AD92" s="803" t="e">
        <f>IF($E92&lt;=$E88,AD88,IF(AND($E92&gt;$E88,$E92&lt;=$E89),AD88+(AD89-AD88)/($E89-$E88)*($E92-$E88),IF($E92&gt;$E89,AD89)))</f>
        <v>#VALUE!</v>
      </c>
      <c r="AE92" s="805" t="e">
        <f>+AD92*6.25</f>
        <v>#VALUE!</v>
      </c>
      <c r="AF92" s="805" t="e">
        <f>365/((D92-C92)/E92*1000)</f>
        <v>#VALUE!</v>
      </c>
      <c r="AG92" s="803" t="e">
        <f>IF($E92&lt;=$E88,AG88,IF(AND($E92&gt;$E88,$E92&lt;=$E89),AG88+(AG89-AG88)/($E89-$E88)*($E92-$E88),IF($E92&gt;$E89,AG89)))</f>
        <v>#VALUE!</v>
      </c>
      <c r="AH92" s="805" t="e">
        <f>+AG92/AF92</f>
        <v>#VALUE!</v>
      </c>
      <c r="AI92" s="805" t="e">
        <f>+CONCATENATE(ROUND(AH92/(D92-C92),1)," : 1")</f>
        <v>#VALUE!</v>
      </c>
      <c r="AJ92" s="803" t="e">
        <f>IF($E92&lt;=$E88,AJ88,IF(AND($E92&gt;$E88,$E92&lt;=$E89),AJ88+(AJ89-AJ88)/($E89-$E88)*($E92-$E88),IF($E92&gt;$E89,AJ89)))</f>
        <v>#VALUE!</v>
      </c>
      <c r="AK92" s="805" t="e">
        <f>+AJ92/2.291</f>
        <v>#VALUE!</v>
      </c>
      <c r="AL92" s="803" t="e">
        <f>IF($E92&lt;=$E88,AL88,IF(AND($E92&gt;$E88,$E92&lt;=$E89),AL88+(AL89-AL88)/($E89-$E88)*($E92-$E88),IF($E92&gt;$E89,AL89)))</f>
        <v>#VALUE!</v>
      </c>
      <c r="AM92" s="805" t="e">
        <f>+AL92/2.291</f>
        <v>#VALUE!</v>
      </c>
      <c r="AN92" s="803" t="e">
        <f>IF($E92&lt;=$E88,AN88,IF(AND($E92&gt;$E88,$E92&lt;=$E89),AN88+(AN89-AN88)/($E89-$E88)*($E92-$E88),IF($E92&gt;$E89,AN89)))</f>
        <v>#VALUE!</v>
      </c>
      <c r="AO92" s="805" t="e">
        <f>+AN92/2.291</f>
        <v>#VALUE!</v>
      </c>
      <c r="AP92" s="730"/>
      <c r="AR92" s="806">
        <v>96</v>
      </c>
      <c r="AS92" s="795">
        <f>IF(OR($C$12=$AR92,$D$12=$AR92),Schweine_Werte!$C92*0.5,IF(OR($C$12&gt;$AR92,$D$12&lt;$AR92),0,Schweine_Werte!$C92))</f>
        <v>0</v>
      </c>
      <c r="AT92" s="730">
        <f>IF(OR($C$24=$AR92,$D$24=$AR92),Schweine_Werte!$C92*0.5,IF(OR($C$24&gt;$AR92,$D$24&lt;$AR92),0,Schweine_Werte!$C92))</f>
        <v>0</v>
      </c>
      <c r="AU92" s="795">
        <f>IF(OR($C$36=$AR92,$D$36=$AR92),Schweine_Werte!$C92*0.5,IF(OR($C$36&gt;$AR92,$D$36&lt;$AR92),0,Schweine_Werte!$C92))</f>
        <v>0</v>
      </c>
      <c r="AV92" s="795">
        <f>IF(OR($C$48=$AR92,$D$48=$AR92),Schweine_Werte!$C92*0.5,IF(OR($C$48&gt;$AR92,$D$48&lt;$AR92),0,Schweine_Werte!$C92))</f>
        <v>0</v>
      </c>
      <c r="AW92" s="795">
        <f>IF(OR($C$60=$AR92,$D$60=$AR92),Schweine_Werte!$C92*0.5,IF(OR($C$60&gt;$AR92,$D$60&lt;$AR92),0,Schweine_Werte!$C92))</f>
        <v>0</v>
      </c>
      <c r="AX92" s="795">
        <f>IF(OR($C$12=$AR92,$D$12=$AR92),Schweine_Werte!$E92*0.5,IF(OR($C$12&gt;$AR92,$D$12&lt;$AR92),0,Schweine_Werte!$E92))</f>
        <v>0</v>
      </c>
      <c r="AY92" s="730">
        <f>IF(OR($C$24=$AR92,$D$24=$AR92),Schweine_Werte!$E92*0.5,IF(OR($C$24&gt;$AR92,$D$24&lt;$AR92),0,Schweine_Werte!$E92))</f>
        <v>0</v>
      </c>
      <c r="AZ92" s="730">
        <f>IF(OR($C$36=$AR92,$D$36=$AR92),Schweine_Werte!$E92*0.5,IF(OR($C$36&gt;$AR92,$D$36&lt;$AR92),0,Schweine_Werte!$E92))</f>
        <v>0</v>
      </c>
      <c r="BA92" s="730">
        <f>IF(OR($C$48=$AR92,$D$48=$AR92),Schweine_Werte!$E92*0.5,IF(OR($C$48&gt;$AR92,$D$48&lt;$AR92),0,Schweine_Werte!$E92))</f>
        <v>0</v>
      </c>
      <c r="BB92" s="730">
        <f>IF(OR($C$60=$AR92,$D$60=$AR92),Schweine_Werte!$E92*0.5,IF(OR($C$60&gt;$AR92,$D$60&lt;$AR92),0,Schweine_Werte!$E92))</f>
        <v>0</v>
      </c>
      <c r="BC92" s="795">
        <f>IF(OR($C$12=$AR92,$D$12=$AR92),Schweine_Werte!$G92*0.5,IF(OR($C$12&gt;$AR92,$D$12&lt;$AR92),0,Schweine_Werte!$G92))</f>
        <v>0</v>
      </c>
      <c r="BD92" s="730">
        <f>IF(OR($C$24=$AR92,$D$24=$AR92),Schweine_Werte!$G92*0.5,IF(OR($C$24&gt;$AR92,$D$24&lt;$AR92),0,Schweine_Werte!$G92))</f>
        <v>0</v>
      </c>
      <c r="BE92" s="730">
        <f>IF(OR($C$36=$AR92,$D$36=$AR92),Schweine_Werte!$G92*0.5,IF(OR($C$36&gt;$AR92,$D$36&lt;$AR92),0,Schweine_Werte!$G92))</f>
        <v>0</v>
      </c>
      <c r="BF92" s="730">
        <f>IF(OR($C$48=$AR92,$D$48=$AR92),Schweine_Werte!$G92*0.5,IF(OR($C$48&gt;$AR92,$D$48&lt;$AR92),0,Schweine_Werte!$G92))</f>
        <v>0</v>
      </c>
      <c r="BG92" s="730">
        <f>IF(OR($C$60=$AR92,$D$60=$AR92),Schweine_Werte!$G92*0.5,IF(OR($C$60&gt;$AR92,$D$60&lt;$AR92),0,Schweine_Werte!$G92))</f>
        <v>0</v>
      </c>
      <c r="BH92" s="795">
        <f>IF(OR($C$12=$AR92,$D$12=$AR92),Schweine_Werte!$I92*0.5,IF(OR($C$12&gt;$AR92,$D$12&lt;$AR92),0,Schweine_Werte!$I92))</f>
        <v>0</v>
      </c>
      <c r="BI92" s="730">
        <f>IF(OR($C$24=$AR92,$D$24=$AR92),Schweine_Werte!$I92*0.5,IF(OR($C$24&gt;$AR92,$D$24&lt;$AR92),0,Schweine_Werte!$I92))</f>
        <v>0</v>
      </c>
      <c r="BJ92" s="730">
        <f>IF(OR($C$36=$AR92,$D$36=$AR92),Schweine_Werte!$I92*0.5,IF(OR($C$36&gt;$AR92,$D$36&lt;$AR92),0,Schweine_Werte!$I92))</f>
        <v>0</v>
      </c>
      <c r="BK92" s="730">
        <f>IF(OR($C$48=$AR92,$D$48=$AR92),Schweine_Werte!$I92*0.5,IF(OR($C$48&gt;$AR92,$D$48&lt;$AR92),0,Schweine_Werte!$I92))</f>
        <v>0</v>
      </c>
      <c r="BL92" s="730">
        <f>IF(OR($C$60=$AR92,$D$60=$AR92),Schweine_Werte!$I92*0.5,IF(OR($C$60&gt;$AR92,$D$60&lt;$AR92),0,Schweine_Werte!$I92))</f>
        <v>0</v>
      </c>
      <c r="BM92" s="795"/>
      <c r="BN92" s="730"/>
      <c r="BO92" s="730"/>
      <c r="BP92" s="730"/>
      <c r="BQ92" s="730"/>
      <c r="BR92" s="795">
        <f>IF(OR($C$74=$AR92,$D$74=$AR92),Schweine_Werte!$M92*0.5,IF(OR($C$74&gt;$AR92,$D$74&lt;$AR92),0,Schweine_Werte!$M92))</f>
        <v>0</v>
      </c>
      <c r="BS92" s="795">
        <f>IF(OR($C$83=$AR92,$D$83=$AR92),Schweine_Werte!$M92*0.5,IF(OR($C$83&gt;$AR92,$D$83&lt;$AR92),0,Schweine_Werte!$M92))</f>
        <v>0</v>
      </c>
      <c r="BT92" s="797">
        <f>IF(OR($C$92=$AR92,$D$92=$AR92),Schweine_Werte!$M92*0.5,IF(OR($C$92&gt;$AR92,$D$92&lt;$AR92),0,Schweine_Werte!$M92))</f>
        <v>0</v>
      </c>
      <c r="BU92" s="797">
        <f>IF(OR($C$101=$AR92,$D$101=$AR92),Schweine_Werte!$M92*0.5,IF(OR($C$101&gt;$AR92,$D$101&lt;$AR92),0,Schweine_Werte!$M92))</f>
        <v>0</v>
      </c>
      <c r="BV92" s="797">
        <f>IF(OR($C$110=$AR92,$D$110=$AR92),Schweine_Werte!$M92*0.5,IF(OR($C$110&gt;$AR92,$D$110&lt;$AR92),0,Schweine_Werte!$M92))</f>
        <v>0</v>
      </c>
      <c r="BW92" s="797">
        <f>IF(OR(8=$AR92,$E$127=$AR92),Schweine_Werte!$M92*0.5,IF(OR(8&gt;$AR92,$E$127&lt;$AR92),0,Schweine_Werte!$M92))</f>
        <v>1.2146521797033036</v>
      </c>
      <c r="BX92" s="797">
        <f>IF(OR(8=$AR92,$E$145=$AR92),Schweine_Werte!$M92*0.5,IF(OR(8&gt;$AR92,$E$145&lt;$AR92),0,Schweine_Werte!$M92))</f>
        <v>1.2146521797033036</v>
      </c>
      <c r="BY92" s="795">
        <f>IF(OR($C$74=$AR92,$D$74=$AR92),Schweine_Werte!$O92*0.5,IF(OR($C$74&gt;$AR92,$D$74&lt;$AR92),0,Schweine_Werte!$O92))</f>
        <v>0</v>
      </c>
      <c r="BZ92" s="795">
        <f>IF(OR($C$83=$AR92,$D$83=$AR92),Schweine_Werte!$O92*0.5,IF(OR($C$83&gt;$AR92,$D$83&lt;$AR92),0,Schweine_Werte!$O92))</f>
        <v>0</v>
      </c>
      <c r="CA92" s="797">
        <f>IF(OR($C$92=$AR92,$D$92=$AR92),Schweine_Werte!$O92*0.5,IF(OR($C$92&gt;$AR92,$D$92&lt;$AR92),0,Schweine_Werte!$O92))</f>
        <v>0</v>
      </c>
      <c r="CB92" s="797">
        <f>IF(OR($C$101=$AR92,$D$101=$AR92),Schweine_Werte!$O92*0.5,IF(OR($C$101&gt;$AR92,$D$101&lt;$AR92),0,Schweine_Werte!$O92))</f>
        <v>0</v>
      </c>
      <c r="CC92" s="797">
        <f>IF(OR($C$110=$AR92,$D$110=$AR92),Schweine_Werte!$O92*0.5,IF(OR($C$110&gt;$AR92,$D$110&lt;$AR92),0,Schweine_Werte!$O92))</f>
        <v>0</v>
      </c>
    </row>
    <row r="93" spans="1:81" x14ac:dyDescent="0.25">
      <c r="AR93" s="806">
        <v>97</v>
      </c>
      <c r="AS93" s="795">
        <f>IF(OR($C$12=$AR93,$D$12=$AR93),Schweine_Werte!$C93*0.5,IF(OR($C$12&gt;$AR93,$D$12&lt;$AR93),0,Schweine_Werte!$C93))</f>
        <v>0</v>
      </c>
      <c r="AT93" s="730">
        <f>IF(OR($C$24=$AR93,$D$24=$AR93),Schweine_Werte!$C93*0.5,IF(OR($C$24&gt;$AR93,$D$24&lt;$AR93),0,Schweine_Werte!$C93))</f>
        <v>0</v>
      </c>
      <c r="AU93" s="795">
        <f>IF(OR($C$36=$AR93,$D$36=$AR93),Schweine_Werte!$C93*0.5,IF(OR($C$36&gt;$AR93,$D$36&lt;$AR93),0,Schweine_Werte!$C93))</f>
        <v>0</v>
      </c>
      <c r="AV93" s="795">
        <f>IF(OR($C$48=$AR93,$D$48=$AR93),Schweine_Werte!$C93*0.5,IF(OR($C$48&gt;$AR93,$D$48&lt;$AR93),0,Schweine_Werte!$C93))</f>
        <v>0</v>
      </c>
      <c r="AW93" s="795">
        <f>IF(OR($C$60=$AR93,$D$60=$AR93),Schweine_Werte!$C93*0.5,IF(OR($C$60&gt;$AR93,$D$60&lt;$AR93),0,Schweine_Werte!$C93))</f>
        <v>0</v>
      </c>
      <c r="AX93" s="795">
        <f>IF(OR($C$12=$AR93,$D$12=$AR93),Schweine_Werte!$E93*0.5,IF(OR($C$12&gt;$AR93,$D$12&lt;$AR93),0,Schweine_Werte!$E93))</f>
        <v>0</v>
      </c>
      <c r="AY93" s="730">
        <f>IF(OR($C$24=$AR93,$D$24=$AR93),Schweine_Werte!$E93*0.5,IF(OR($C$24&gt;$AR93,$D$24&lt;$AR93),0,Schweine_Werte!$E93))</f>
        <v>0</v>
      </c>
      <c r="AZ93" s="730">
        <f>IF(OR($C$36=$AR93,$D$36=$AR93),Schweine_Werte!$E93*0.5,IF(OR($C$36&gt;$AR93,$D$36&lt;$AR93),0,Schweine_Werte!$E93))</f>
        <v>0</v>
      </c>
      <c r="BA93" s="730">
        <f>IF(OR($C$48=$AR93,$D$48=$AR93),Schweine_Werte!$E93*0.5,IF(OR($C$48&gt;$AR93,$D$48&lt;$AR93),0,Schweine_Werte!$E93))</f>
        <v>0</v>
      </c>
      <c r="BB93" s="730">
        <f>IF(OR($C$60=$AR93,$D$60=$AR93),Schweine_Werte!$E93*0.5,IF(OR($C$60&gt;$AR93,$D$60&lt;$AR93),0,Schweine_Werte!$E93))</f>
        <v>0</v>
      </c>
      <c r="BC93" s="795">
        <f>IF(OR($C$12=$AR93,$D$12=$AR93),Schweine_Werte!$G93*0.5,IF(OR($C$12&gt;$AR93,$D$12&lt;$AR93),0,Schweine_Werte!$G93))</f>
        <v>0</v>
      </c>
      <c r="BD93" s="730">
        <f>IF(OR($C$24=$AR93,$D$24=$AR93),Schweine_Werte!$G93*0.5,IF(OR($C$24&gt;$AR93,$D$24&lt;$AR93),0,Schweine_Werte!$G93))</f>
        <v>0</v>
      </c>
      <c r="BE93" s="730">
        <f>IF(OR($C$36=$AR93,$D$36=$AR93),Schweine_Werte!$G93*0.5,IF(OR($C$36&gt;$AR93,$D$36&lt;$AR93),0,Schweine_Werte!$G93))</f>
        <v>0</v>
      </c>
      <c r="BF93" s="730">
        <f>IF(OR($C$48=$AR93,$D$48=$AR93),Schweine_Werte!$G93*0.5,IF(OR($C$48&gt;$AR93,$D$48&lt;$AR93),0,Schweine_Werte!$G93))</f>
        <v>0</v>
      </c>
      <c r="BG93" s="730">
        <f>IF(OR($C$60=$AR93,$D$60=$AR93),Schweine_Werte!$G93*0.5,IF(OR($C$60&gt;$AR93,$D$60&lt;$AR93),0,Schweine_Werte!$G93))</f>
        <v>0</v>
      </c>
      <c r="BH93" s="795">
        <f>IF(OR($C$12=$AR93,$D$12=$AR93),Schweine_Werte!$I93*0.5,IF(OR($C$12&gt;$AR93,$D$12&lt;$AR93),0,Schweine_Werte!$I93))</f>
        <v>0</v>
      </c>
      <c r="BI93" s="730">
        <f>IF(OR($C$24=$AR93,$D$24=$AR93),Schweine_Werte!$I93*0.5,IF(OR($C$24&gt;$AR93,$D$24&lt;$AR93),0,Schweine_Werte!$I93))</f>
        <v>0</v>
      </c>
      <c r="BJ93" s="730">
        <f>IF(OR($C$36=$AR93,$D$36=$AR93),Schweine_Werte!$I93*0.5,IF(OR($C$36&gt;$AR93,$D$36&lt;$AR93),0,Schweine_Werte!$I93))</f>
        <v>0</v>
      </c>
      <c r="BK93" s="730">
        <f>IF(OR($C$48=$AR93,$D$48=$AR93),Schweine_Werte!$I93*0.5,IF(OR($C$48&gt;$AR93,$D$48&lt;$AR93),0,Schweine_Werte!$I93))</f>
        <v>0</v>
      </c>
      <c r="BL93" s="730">
        <f>IF(OR($C$60=$AR93,$D$60=$AR93),Schweine_Werte!$I93*0.5,IF(OR($C$60&gt;$AR93,$D$60&lt;$AR93),0,Schweine_Werte!$I93))</f>
        <v>0</v>
      </c>
      <c r="BM93" s="795"/>
      <c r="BN93" s="730"/>
      <c r="BO93" s="730"/>
      <c r="BP93" s="730"/>
      <c r="BQ93" s="730"/>
      <c r="BR93" s="795">
        <f>IF(OR($C$74=$AR93,$D$74=$AR93),Schweine_Werte!$M93*0.5,IF(OR($C$74&gt;$AR93,$D$74&lt;$AR93),0,Schweine_Werte!$M93))</f>
        <v>0</v>
      </c>
      <c r="BS93" s="795">
        <f>IF(OR($C$83=$AR93,$D$83=$AR93),Schweine_Werte!$M93*0.5,IF(OR($C$83&gt;$AR93,$D$83&lt;$AR93),0,Schweine_Werte!$M93))</f>
        <v>0</v>
      </c>
      <c r="BT93" s="797">
        <f>IF(OR($C$92=$AR93,$D$92=$AR93),Schweine_Werte!$M93*0.5,IF(OR($C$92&gt;$AR93,$D$92&lt;$AR93),0,Schweine_Werte!$M93))</f>
        <v>0</v>
      </c>
      <c r="BU93" s="797">
        <f>IF(OR($C$101=$AR93,$D$101=$AR93),Schweine_Werte!$M93*0.5,IF(OR($C$101&gt;$AR93,$D$101&lt;$AR93),0,Schweine_Werte!$M93))</f>
        <v>0</v>
      </c>
      <c r="BV93" s="797">
        <f>IF(OR($C$110=$AR93,$D$110=$AR93),Schweine_Werte!$M93*0.5,IF(OR($C$110&gt;$AR93,$D$110&lt;$AR93),0,Schweine_Werte!$M93))</f>
        <v>0</v>
      </c>
      <c r="BW93" s="797">
        <f>IF(OR(8=$AR93,$E$127=$AR93),Schweine_Werte!$M93*0.5,IF(OR(8&gt;$AR93,$E$127&lt;$AR93),0,Schweine_Werte!$M93))</f>
        <v>1.225230707810347</v>
      </c>
      <c r="BX93" s="797">
        <f>IF(OR(8=$AR93,$E$145=$AR93),Schweine_Werte!$M93*0.5,IF(OR(8&gt;$AR93,$E$145&lt;$AR93),0,Schweine_Werte!$M93))</f>
        <v>1.225230707810347</v>
      </c>
      <c r="BY93" s="795">
        <f>IF(OR($C$74=$AR93,$D$74=$AR93),Schweine_Werte!$O93*0.5,IF(OR($C$74&gt;$AR93,$D$74&lt;$AR93),0,Schweine_Werte!$O93))</f>
        <v>0</v>
      </c>
      <c r="BZ93" s="795">
        <f>IF(OR($C$83=$AR93,$D$83=$AR93),Schweine_Werte!$O93*0.5,IF(OR($C$83&gt;$AR93,$D$83&lt;$AR93),0,Schweine_Werte!$O93))</f>
        <v>0</v>
      </c>
      <c r="CA93" s="797">
        <f>IF(OR($C$92=$AR93,$D$92=$AR93),Schweine_Werte!$O93*0.5,IF(OR($C$92&gt;$AR93,$D$92&lt;$AR93),0,Schweine_Werte!$O93))</f>
        <v>0</v>
      </c>
      <c r="CB93" s="797">
        <f>IF(OR($C$101=$AR93,$D$101=$AR93),Schweine_Werte!$O93*0.5,IF(OR($C$101&gt;$AR93,$D$101&lt;$AR93),0,Schweine_Werte!$O93))</f>
        <v>0</v>
      </c>
      <c r="CC93" s="797">
        <f>IF(OR($C$110=$AR93,$D$110=$AR93),Schweine_Werte!$O93*0.5,IF(OR($C$110&gt;$AR93,$D$110&lt;$AR93),0,Schweine_Werte!$O93))</f>
        <v>0</v>
      </c>
    </row>
    <row r="94" spans="1:81" x14ac:dyDescent="0.25">
      <c r="AR94" s="806">
        <v>98</v>
      </c>
      <c r="AS94" s="795">
        <f>IF(OR($C$12=$AR94,$D$12=$AR94),Schweine_Werte!$C94*0.5,IF(OR($C$12&gt;$AR94,$D$12&lt;$AR94),0,Schweine_Werte!$C94))</f>
        <v>0</v>
      </c>
      <c r="AT94" s="730">
        <f>IF(OR($C$24=$AR94,$D$24=$AR94),Schweine_Werte!$C94*0.5,IF(OR($C$24&gt;$AR94,$D$24&lt;$AR94),0,Schweine_Werte!$C94))</f>
        <v>0</v>
      </c>
      <c r="AU94" s="795">
        <f>IF(OR($C$36=$AR94,$D$36=$AR94),Schweine_Werte!$C94*0.5,IF(OR($C$36&gt;$AR94,$D$36&lt;$AR94),0,Schweine_Werte!$C94))</f>
        <v>0</v>
      </c>
      <c r="AV94" s="795">
        <f>IF(OR($C$48=$AR94,$D$48=$AR94),Schweine_Werte!$C94*0.5,IF(OR($C$48&gt;$AR94,$D$48&lt;$AR94),0,Schweine_Werte!$C94))</f>
        <v>0</v>
      </c>
      <c r="AW94" s="795">
        <f>IF(OR($C$60=$AR94,$D$60=$AR94),Schweine_Werte!$C94*0.5,IF(OR($C$60&gt;$AR94,$D$60&lt;$AR94),0,Schweine_Werte!$C94))</f>
        <v>0</v>
      </c>
      <c r="AX94" s="795">
        <f>IF(OR($C$12=$AR94,$D$12=$AR94),Schweine_Werte!$E94*0.5,IF(OR($C$12&gt;$AR94,$D$12&lt;$AR94),0,Schweine_Werte!$E94))</f>
        <v>0</v>
      </c>
      <c r="AY94" s="730">
        <f>IF(OR($C$24=$AR94,$D$24=$AR94),Schweine_Werte!$E94*0.5,IF(OR($C$24&gt;$AR94,$D$24&lt;$AR94),0,Schweine_Werte!$E94))</f>
        <v>0</v>
      </c>
      <c r="AZ94" s="730">
        <f>IF(OR($C$36=$AR94,$D$36=$AR94),Schweine_Werte!$E94*0.5,IF(OR($C$36&gt;$AR94,$D$36&lt;$AR94),0,Schweine_Werte!$E94))</f>
        <v>0</v>
      </c>
      <c r="BA94" s="730">
        <f>IF(OR($C$48=$AR94,$D$48=$AR94),Schweine_Werte!$E94*0.5,IF(OR($C$48&gt;$AR94,$D$48&lt;$AR94),0,Schweine_Werte!$E94))</f>
        <v>0</v>
      </c>
      <c r="BB94" s="730">
        <f>IF(OR($C$60=$AR94,$D$60=$AR94),Schweine_Werte!$E94*0.5,IF(OR($C$60&gt;$AR94,$D$60&lt;$AR94),0,Schweine_Werte!$E94))</f>
        <v>0</v>
      </c>
      <c r="BC94" s="795">
        <f>IF(OR($C$12=$AR94,$D$12=$AR94),Schweine_Werte!$G94*0.5,IF(OR($C$12&gt;$AR94,$D$12&lt;$AR94),0,Schweine_Werte!$G94))</f>
        <v>0</v>
      </c>
      <c r="BD94" s="730">
        <f>IF(OR($C$24=$AR94,$D$24=$AR94),Schweine_Werte!$G94*0.5,IF(OR($C$24&gt;$AR94,$D$24&lt;$AR94),0,Schweine_Werte!$G94))</f>
        <v>0</v>
      </c>
      <c r="BE94" s="730">
        <f>IF(OR($C$36=$AR94,$D$36=$AR94),Schweine_Werte!$G94*0.5,IF(OR($C$36&gt;$AR94,$D$36&lt;$AR94),0,Schweine_Werte!$G94))</f>
        <v>0</v>
      </c>
      <c r="BF94" s="730">
        <f>IF(OR($C$48=$AR94,$D$48=$AR94),Schweine_Werte!$G94*0.5,IF(OR($C$48&gt;$AR94,$D$48&lt;$AR94),0,Schweine_Werte!$G94))</f>
        <v>0</v>
      </c>
      <c r="BG94" s="730">
        <f>IF(OR($C$60=$AR94,$D$60=$AR94),Schweine_Werte!$G94*0.5,IF(OR($C$60&gt;$AR94,$D$60&lt;$AR94),0,Schweine_Werte!$G94))</f>
        <v>0</v>
      </c>
      <c r="BH94" s="795">
        <f>IF(OR($C$12=$AR94,$D$12=$AR94),Schweine_Werte!$I94*0.5,IF(OR($C$12&gt;$AR94,$D$12&lt;$AR94),0,Schweine_Werte!$I94))</f>
        <v>0</v>
      </c>
      <c r="BI94" s="730">
        <f>IF(OR($C$24=$AR94,$D$24=$AR94),Schweine_Werte!$I94*0.5,IF(OR($C$24&gt;$AR94,$D$24&lt;$AR94),0,Schweine_Werte!$I94))</f>
        <v>0</v>
      </c>
      <c r="BJ94" s="730">
        <f>IF(OR($C$36=$AR94,$D$36=$AR94),Schweine_Werte!$I94*0.5,IF(OR($C$36&gt;$AR94,$D$36&lt;$AR94),0,Schweine_Werte!$I94))</f>
        <v>0</v>
      </c>
      <c r="BK94" s="730">
        <f>IF(OR($C$48=$AR94,$D$48=$AR94),Schweine_Werte!$I94*0.5,IF(OR($C$48&gt;$AR94,$D$48&lt;$AR94),0,Schweine_Werte!$I94))</f>
        <v>0</v>
      </c>
      <c r="BL94" s="730">
        <f>IF(OR($C$60=$AR94,$D$60=$AR94),Schweine_Werte!$I94*0.5,IF(OR($C$60&gt;$AR94,$D$60&lt;$AR94),0,Schweine_Werte!$I94))</f>
        <v>0</v>
      </c>
      <c r="BM94" s="795"/>
      <c r="BN94" s="730"/>
      <c r="BO94" s="730"/>
      <c r="BP94" s="730"/>
      <c r="BQ94" s="730"/>
      <c r="BR94" s="795">
        <f>IF(OR($C$74=$AR94,$D$74=$AR94),Schweine_Werte!$M94*0.5,IF(OR($C$74&gt;$AR94,$D$74&lt;$AR94),0,Schweine_Werte!$M94))</f>
        <v>0</v>
      </c>
      <c r="BS94" s="795">
        <f>IF(OR($C$83=$AR94,$D$83=$AR94),Schweine_Werte!$M94*0.5,IF(OR($C$83&gt;$AR94,$D$83&lt;$AR94),0,Schweine_Werte!$M94))</f>
        <v>0</v>
      </c>
      <c r="BT94" s="797">
        <f>IF(OR($C$92=$AR94,$D$92=$AR94),Schweine_Werte!$M94*0.5,IF(OR($C$92&gt;$AR94,$D$92&lt;$AR94),0,Schweine_Werte!$M94))</f>
        <v>0</v>
      </c>
      <c r="BU94" s="797">
        <f>IF(OR($C$101=$AR94,$D$101=$AR94),Schweine_Werte!$M94*0.5,IF(OR($C$101&gt;$AR94,$D$101&lt;$AR94),0,Schweine_Werte!$M94))</f>
        <v>0</v>
      </c>
      <c r="BV94" s="797">
        <f>IF(OR($C$110=$AR94,$D$110=$AR94),Schweine_Werte!$M94*0.5,IF(OR($C$110&gt;$AR94,$D$110&lt;$AR94),0,Schweine_Werte!$M94))</f>
        <v>0</v>
      </c>
      <c r="BW94" s="797">
        <f>IF(OR(8=$AR94,$E$127=$AR94),Schweine_Werte!$M94*0.5,IF(OR(8&gt;$AR94,$E$127&lt;$AR94),0,Schweine_Werte!$M94))</f>
        <v>1.2364435817812538</v>
      </c>
      <c r="BX94" s="797">
        <f>IF(OR(8=$AR94,$E$145=$AR94),Schweine_Werte!$M94*0.5,IF(OR(8&gt;$AR94,$E$145&lt;$AR94),0,Schweine_Werte!$M94))</f>
        <v>1.2364435817812538</v>
      </c>
      <c r="BY94" s="795">
        <f>IF(OR($C$74=$AR94,$D$74=$AR94),Schweine_Werte!$O94*0.5,IF(OR($C$74&gt;$AR94,$D$74&lt;$AR94),0,Schweine_Werte!$O94))</f>
        <v>0</v>
      </c>
      <c r="BZ94" s="795">
        <f>IF(OR($C$83=$AR94,$D$83=$AR94),Schweine_Werte!$O94*0.5,IF(OR($C$83&gt;$AR94,$D$83&lt;$AR94),0,Schweine_Werte!$O94))</f>
        <v>0</v>
      </c>
      <c r="CA94" s="797">
        <f>IF(OR($C$92=$AR94,$D$92=$AR94),Schweine_Werte!$O94*0.5,IF(OR($C$92&gt;$AR94,$D$92&lt;$AR94),0,Schweine_Werte!$O94))</f>
        <v>0</v>
      </c>
      <c r="CB94" s="797">
        <f>IF(OR($C$101=$AR94,$D$101=$AR94),Schweine_Werte!$O94*0.5,IF(OR($C$101&gt;$AR94,$D$101&lt;$AR94),0,Schweine_Werte!$O94))</f>
        <v>0</v>
      </c>
      <c r="CC94" s="797">
        <f>IF(OR($C$110=$AR94,$D$110=$AR94),Schweine_Werte!$O94*0.5,IF(OR($C$110&gt;$AR94,$D$110&lt;$AR94),0,Schweine_Werte!$O94))</f>
        <v>0</v>
      </c>
    </row>
    <row r="95" spans="1:81" x14ac:dyDescent="0.25">
      <c r="Q95" s="1620" t="s">
        <v>7781</v>
      </c>
      <c r="R95" s="1620"/>
      <c r="S95" s="1620"/>
      <c r="T95" s="1620" t="s">
        <v>7782</v>
      </c>
      <c r="U95" s="1620"/>
      <c r="V95" s="1620"/>
      <c r="W95" s="1041" t="s">
        <v>7674</v>
      </c>
      <c r="X95" s="1041"/>
      <c r="Y95" s="1041"/>
      <c r="AR95" s="806">
        <v>99</v>
      </c>
      <c r="AS95" s="795">
        <f>IF(OR($C$12=$AR95,$D$12=$AR95),Schweine_Werte!$C95*0.5,IF(OR($C$12&gt;$AR95,$D$12&lt;$AR95),0,Schweine_Werte!$C95))</f>
        <v>0</v>
      </c>
      <c r="AT95" s="730">
        <f>IF(OR($C$24=$AR95,$D$24=$AR95),Schweine_Werte!$C95*0.5,IF(OR($C$24&gt;$AR95,$D$24&lt;$AR95),0,Schweine_Werte!$C95))</f>
        <v>0</v>
      </c>
      <c r="AU95" s="795">
        <f>IF(OR($C$36=$AR95,$D$36=$AR95),Schweine_Werte!$C95*0.5,IF(OR($C$36&gt;$AR95,$D$36&lt;$AR95),0,Schweine_Werte!$C95))</f>
        <v>0</v>
      </c>
      <c r="AV95" s="795">
        <f>IF(OR($C$48=$AR95,$D$48=$AR95),Schweine_Werte!$C95*0.5,IF(OR($C$48&gt;$AR95,$D$48&lt;$AR95),0,Schweine_Werte!$C95))</f>
        <v>0</v>
      </c>
      <c r="AW95" s="795">
        <f>IF(OR($C$60=$AR95,$D$60=$AR95),Schweine_Werte!$C95*0.5,IF(OR($C$60&gt;$AR95,$D$60&lt;$AR95),0,Schweine_Werte!$C95))</f>
        <v>0</v>
      </c>
      <c r="AX95" s="795">
        <f>IF(OR($C$12=$AR95,$D$12=$AR95),Schweine_Werte!$E95*0.5,IF(OR($C$12&gt;$AR95,$D$12&lt;$AR95),0,Schweine_Werte!$E95))</f>
        <v>0</v>
      </c>
      <c r="AY95" s="730">
        <f>IF(OR($C$24=$AR95,$D$24=$AR95),Schweine_Werte!$E95*0.5,IF(OR($C$24&gt;$AR95,$D$24&lt;$AR95),0,Schweine_Werte!$E95))</f>
        <v>0</v>
      </c>
      <c r="AZ95" s="730">
        <f>IF(OR($C$36=$AR95,$D$36=$AR95),Schweine_Werte!$E95*0.5,IF(OR($C$36&gt;$AR95,$D$36&lt;$AR95),0,Schweine_Werte!$E95))</f>
        <v>0</v>
      </c>
      <c r="BA95" s="730">
        <f>IF(OR($C$48=$AR95,$D$48=$AR95),Schweine_Werte!$E95*0.5,IF(OR($C$48&gt;$AR95,$D$48&lt;$AR95),0,Schweine_Werte!$E95))</f>
        <v>0</v>
      </c>
      <c r="BB95" s="730">
        <f>IF(OR($C$60=$AR95,$D$60=$AR95),Schweine_Werte!$E95*0.5,IF(OR($C$60&gt;$AR95,$D$60&lt;$AR95),0,Schweine_Werte!$E95))</f>
        <v>0</v>
      </c>
      <c r="BC95" s="795">
        <f>IF(OR($C$12=$AR95,$D$12=$AR95),Schweine_Werte!$G95*0.5,IF(OR($C$12&gt;$AR95,$D$12&lt;$AR95),0,Schweine_Werte!$G95))</f>
        <v>0</v>
      </c>
      <c r="BD95" s="730">
        <f>IF(OR($C$24=$AR95,$D$24=$AR95),Schweine_Werte!$G95*0.5,IF(OR($C$24&gt;$AR95,$D$24&lt;$AR95),0,Schweine_Werte!$G95))</f>
        <v>0</v>
      </c>
      <c r="BE95" s="730">
        <f>IF(OR($C$36=$AR95,$D$36=$AR95),Schweine_Werte!$G95*0.5,IF(OR($C$36&gt;$AR95,$D$36&lt;$AR95),0,Schweine_Werte!$G95))</f>
        <v>0</v>
      </c>
      <c r="BF95" s="730">
        <f>IF(OR($C$48=$AR95,$D$48=$AR95),Schweine_Werte!$G95*0.5,IF(OR($C$48&gt;$AR95,$D$48&lt;$AR95),0,Schweine_Werte!$G95))</f>
        <v>0</v>
      </c>
      <c r="BG95" s="730">
        <f>IF(OR($C$60=$AR95,$D$60=$AR95),Schweine_Werte!$G95*0.5,IF(OR($C$60&gt;$AR95,$D$60&lt;$AR95),0,Schweine_Werte!$G95))</f>
        <v>0</v>
      </c>
      <c r="BH95" s="795">
        <f>IF(OR($C$12=$AR95,$D$12=$AR95),Schweine_Werte!$I95*0.5,IF(OR($C$12&gt;$AR95,$D$12&lt;$AR95),0,Schweine_Werte!$I95))</f>
        <v>0</v>
      </c>
      <c r="BI95" s="730">
        <f>IF(OR($C$24=$AR95,$D$24=$AR95),Schweine_Werte!$I95*0.5,IF(OR($C$24&gt;$AR95,$D$24&lt;$AR95),0,Schweine_Werte!$I95))</f>
        <v>0</v>
      </c>
      <c r="BJ95" s="730">
        <f>IF(OR($C$36=$AR95,$D$36=$AR95),Schweine_Werte!$I95*0.5,IF(OR($C$36&gt;$AR95,$D$36&lt;$AR95),0,Schweine_Werte!$I95))</f>
        <v>0</v>
      </c>
      <c r="BK95" s="730">
        <f>IF(OR($C$48=$AR95,$D$48=$AR95),Schweine_Werte!$I95*0.5,IF(OR($C$48&gt;$AR95,$D$48&lt;$AR95),0,Schweine_Werte!$I95))</f>
        <v>0</v>
      </c>
      <c r="BL95" s="730">
        <f>IF(OR($C$60=$AR95,$D$60=$AR95),Schweine_Werte!$I95*0.5,IF(OR($C$60&gt;$AR95,$D$60&lt;$AR95),0,Schweine_Werte!$I95))</f>
        <v>0</v>
      </c>
      <c r="BM95" s="795"/>
      <c r="BN95" s="730"/>
      <c r="BO95" s="730"/>
      <c r="BP95" s="730"/>
      <c r="BQ95" s="730"/>
      <c r="BR95" s="795">
        <f>IF(OR($C$74=$AR95,$D$74=$AR95),Schweine_Werte!$M95*0.5,IF(OR($C$74&gt;$AR95,$D$74&lt;$AR95),0,Schweine_Werte!$M95))</f>
        <v>0</v>
      </c>
      <c r="BS95" s="795">
        <f>IF(OR($C$83=$AR95,$D$83=$AR95),Schweine_Werte!$M95*0.5,IF(OR($C$83&gt;$AR95,$D$83&lt;$AR95),0,Schweine_Werte!$M95))</f>
        <v>0</v>
      </c>
      <c r="BT95" s="797">
        <f>IF(OR($C$92=$AR95,$D$92=$AR95),Schweine_Werte!$M95*0.5,IF(OR($C$92&gt;$AR95,$D$92&lt;$AR95),0,Schweine_Werte!$M95))</f>
        <v>0</v>
      </c>
      <c r="BU95" s="797">
        <f>IF(OR($C$101=$AR95,$D$101=$AR95),Schweine_Werte!$M95*0.5,IF(OR($C$101&gt;$AR95,$D$101&lt;$AR95),0,Schweine_Werte!$M95))</f>
        <v>0</v>
      </c>
      <c r="BV95" s="797">
        <f>IF(OR($C$110=$AR95,$D$110=$AR95),Schweine_Werte!$M95*0.5,IF(OR($C$110&gt;$AR95,$D$110&lt;$AR95),0,Schweine_Werte!$M95))</f>
        <v>0</v>
      </c>
      <c r="BW95" s="797">
        <f>IF(OR(8=$AR95,$E$127=$AR95),Schweine_Werte!$M95*0.5,IF(OR(8&gt;$AR95,$E$127&lt;$AR95),0,Schweine_Werte!$M95))</f>
        <v>1.2483202500391168</v>
      </c>
      <c r="BX95" s="797">
        <f>IF(OR(8=$AR95,$E$145=$AR95),Schweine_Werte!$M95*0.5,IF(OR(8&gt;$AR95,$E$145&lt;$AR95),0,Schweine_Werte!$M95))</f>
        <v>1.2483202500391168</v>
      </c>
      <c r="BY95" s="795">
        <f>IF(OR($C$74=$AR95,$D$74=$AR95),Schweine_Werte!$O95*0.5,IF(OR($C$74&gt;$AR95,$D$74&lt;$AR95),0,Schweine_Werte!$O95))</f>
        <v>0</v>
      </c>
      <c r="BZ95" s="795">
        <f>IF(OR($C$83=$AR95,$D$83=$AR95),Schweine_Werte!$O95*0.5,IF(OR($C$83&gt;$AR95,$D$83&lt;$AR95),0,Schweine_Werte!$O95))</f>
        <v>0</v>
      </c>
      <c r="CA95" s="797">
        <f>IF(OR($C$92=$AR95,$D$92=$AR95),Schweine_Werte!$O95*0.5,IF(OR($C$92&gt;$AR95,$D$92&lt;$AR95),0,Schweine_Werte!$O95))</f>
        <v>0</v>
      </c>
      <c r="CB95" s="797">
        <f>IF(OR($C$101=$AR95,$D$101=$AR95),Schweine_Werte!$O95*0.5,IF(OR($C$101&gt;$AR95,$D$101&lt;$AR95),0,Schweine_Werte!$O95))</f>
        <v>0</v>
      </c>
      <c r="CC95" s="797">
        <f>IF(OR($C$110=$AR95,$D$110=$AR95),Schweine_Werte!$O95*0.5,IF(OR($C$110&gt;$AR95,$D$110&lt;$AR95),0,Schweine_Werte!$O95))</f>
        <v>0</v>
      </c>
    </row>
    <row r="96" spans="1:81" x14ac:dyDescent="0.25">
      <c r="B96" t="s">
        <v>7724</v>
      </c>
      <c r="E96" t="s">
        <v>7700</v>
      </c>
      <c r="F96" t="s">
        <v>196</v>
      </c>
      <c r="G96" t="s">
        <v>7701</v>
      </c>
      <c r="H96" t="s">
        <v>7702</v>
      </c>
      <c r="I96" t="s">
        <v>7703</v>
      </c>
      <c r="J96" t="s">
        <v>596</v>
      </c>
      <c r="K96" t="s">
        <v>7704</v>
      </c>
      <c r="L96" t="s">
        <v>7705</v>
      </c>
      <c r="M96" t="s">
        <v>7706</v>
      </c>
      <c r="N96" t="s">
        <v>7707</v>
      </c>
      <c r="O96" t="s">
        <v>7708</v>
      </c>
      <c r="P96" t="s">
        <v>7709</v>
      </c>
      <c r="Q96" t="s">
        <v>39</v>
      </c>
      <c r="R96" t="s">
        <v>40</v>
      </c>
      <c r="S96" t="s">
        <v>41</v>
      </c>
      <c r="T96" t="s">
        <v>39</v>
      </c>
      <c r="U96" t="s">
        <v>40</v>
      </c>
      <c r="V96" t="s">
        <v>41</v>
      </c>
      <c r="W96" t="s">
        <v>7687</v>
      </c>
      <c r="X96" t="s">
        <v>7688</v>
      </c>
      <c r="Y96" t="s">
        <v>7689</v>
      </c>
      <c r="AR96" s="806">
        <v>100</v>
      </c>
      <c r="AS96" s="795">
        <f>IF(OR($C$12=$AR96,$D$12=$AR96),Schweine_Werte!$C96*0.5,IF(OR($C$12&gt;$AR96,$D$12&lt;$AR96),0,Schweine_Werte!$C96))</f>
        <v>0</v>
      </c>
      <c r="AT96" s="730">
        <f>IF(OR($C$24=$AR96,$D$24=$AR96),Schweine_Werte!$C96*0.5,IF(OR($C$24&gt;$AR96,$D$24&lt;$AR96),0,Schweine_Werte!$C96))</f>
        <v>0</v>
      </c>
      <c r="AU96" s="795">
        <f>IF(OR($C$36=$AR96,$D$36=$AR96),Schweine_Werte!$C96*0.5,IF(OR($C$36&gt;$AR96,$D$36&lt;$AR96),0,Schweine_Werte!$C96))</f>
        <v>0</v>
      </c>
      <c r="AV96" s="795">
        <f>IF(OR($C$48=$AR96,$D$48=$AR96),Schweine_Werte!$C96*0.5,IF(OR($C$48&gt;$AR96,$D$48&lt;$AR96),0,Schweine_Werte!$C96))</f>
        <v>0</v>
      </c>
      <c r="AW96" s="795">
        <f>IF(OR($C$60=$AR96,$D$60=$AR96),Schweine_Werte!$C96*0.5,IF(OR($C$60&gt;$AR96,$D$60&lt;$AR96),0,Schweine_Werte!$C96))</f>
        <v>0</v>
      </c>
      <c r="AX96" s="795">
        <f>IF(OR($C$12=$AR96,$D$12=$AR96),Schweine_Werte!$E96*0.5,IF(OR($C$12&gt;$AR96,$D$12&lt;$AR96),0,Schweine_Werte!$E96))</f>
        <v>0</v>
      </c>
      <c r="AY96" s="730">
        <f>IF(OR($C$24=$AR96,$D$24=$AR96),Schweine_Werte!$E96*0.5,IF(OR($C$24&gt;$AR96,$D$24&lt;$AR96),0,Schweine_Werte!$E96))</f>
        <v>0</v>
      </c>
      <c r="AZ96" s="730">
        <f>IF(OR($C$36=$AR96,$D$36=$AR96),Schweine_Werte!$E96*0.5,IF(OR($C$36&gt;$AR96,$D$36&lt;$AR96),0,Schweine_Werte!$E96))</f>
        <v>0</v>
      </c>
      <c r="BA96" s="730">
        <f>IF(OR($C$48=$AR96,$D$48=$AR96),Schweine_Werte!$E96*0.5,IF(OR($C$48&gt;$AR96,$D$48&lt;$AR96),0,Schweine_Werte!$E96))</f>
        <v>0</v>
      </c>
      <c r="BB96" s="730">
        <f>IF(OR($C$60=$AR96,$D$60=$AR96),Schweine_Werte!$E96*0.5,IF(OR($C$60&gt;$AR96,$D$60&lt;$AR96),0,Schweine_Werte!$E96))</f>
        <v>0</v>
      </c>
      <c r="BC96" s="795">
        <f>IF(OR($C$12=$AR96,$D$12=$AR96),Schweine_Werte!$G96*0.5,IF(OR($C$12&gt;$AR96,$D$12&lt;$AR96),0,Schweine_Werte!$G96))</f>
        <v>0</v>
      </c>
      <c r="BD96" s="730">
        <f>IF(OR($C$24=$AR96,$D$24=$AR96),Schweine_Werte!$G96*0.5,IF(OR($C$24&gt;$AR96,$D$24&lt;$AR96),0,Schweine_Werte!$G96))</f>
        <v>0</v>
      </c>
      <c r="BE96" s="730">
        <f>IF(OR($C$36=$AR96,$D$36=$AR96),Schweine_Werte!$G96*0.5,IF(OR($C$36&gt;$AR96,$D$36&lt;$AR96),0,Schweine_Werte!$G96))</f>
        <v>0</v>
      </c>
      <c r="BF96" s="730">
        <f>IF(OR($C$48=$AR96,$D$48=$AR96),Schweine_Werte!$G96*0.5,IF(OR($C$48&gt;$AR96,$D$48&lt;$AR96),0,Schweine_Werte!$G96))</f>
        <v>0</v>
      </c>
      <c r="BG96" s="730">
        <f>IF(OR($C$60=$AR96,$D$60=$AR96),Schweine_Werte!$G96*0.5,IF(OR($C$60&gt;$AR96,$D$60&lt;$AR96),0,Schweine_Werte!$G96))</f>
        <v>0</v>
      </c>
      <c r="BH96" s="795">
        <f>IF(OR($C$12=$AR96,$D$12=$AR96),Schweine_Werte!$I96*0.5,IF(OR($C$12&gt;$AR96,$D$12&lt;$AR96),0,Schweine_Werte!$I96))</f>
        <v>0</v>
      </c>
      <c r="BI96" s="730">
        <f>IF(OR($C$24=$AR96,$D$24=$AR96),Schweine_Werte!$I96*0.5,IF(OR($C$24&gt;$AR96,$D$24&lt;$AR96),0,Schweine_Werte!$I96))</f>
        <v>0</v>
      </c>
      <c r="BJ96" s="730">
        <f>IF(OR($C$36=$AR96,$D$36=$AR96),Schweine_Werte!$I96*0.5,IF(OR($C$36&gt;$AR96,$D$36&lt;$AR96),0,Schweine_Werte!$I96))</f>
        <v>0</v>
      </c>
      <c r="BK96" s="730">
        <f>IF(OR($C$48=$AR96,$D$48=$AR96),Schweine_Werte!$I96*0.5,IF(OR($C$48&gt;$AR96,$D$48&lt;$AR96),0,Schweine_Werte!$I96))</f>
        <v>0</v>
      </c>
      <c r="BL96" s="730">
        <f>IF(OR($C$60=$AR96,$D$60=$AR96),Schweine_Werte!$I96*0.5,IF(OR($C$60&gt;$AR96,$D$60&lt;$AR96),0,Schweine_Werte!$I96))</f>
        <v>0</v>
      </c>
      <c r="BM96" s="795"/>
      <c r="BN96" s="730"/>
      <c r="BO96" s="730"/>
      <c r="BP96" s="730"/>
      <c r="BQ96" s="730"/>
      <c r="BR96" s="795">
        <f>IF(OR($C$74=$AR96,$D$74=$AR96),Schweine_Werte!$M96*0.5,IF(OR($C$74&gt;$AR96,$D$74&lt;$AR96),0,Schweine_Werte!$M96))</f>
        <v>0</v>
      </c>
      <c r="BS96" s="795">
        <f>IF(OR($C$83=$AR96,$D$83=$AR96),Schweine_Werte!$M96*0.5,IF(OR($C$83&gt;$AR96,$D$83&lt;$AR96),0,Schweine_Werte!$M96))</f>
        <v>0</v>
      </c>
      <c r="BT96" s="797">
        <f>IF(OR($C$92=$AR96,$D$92=$AR96),Schweine_Werte!$M96*0.5,IF(OR($C$92&gt;$AR96,$D$92&lt;$AR96),0,Schweine_Werte!$M96))</f>
        <v>0</v>
      </c>
      <c r="BU96" s="797">
        <f>IF(OR($C$101=$AR96,$D$101=$AR96),Schweine_Werte!$M96*0.5,IF(OR($C$101&gt;$AR96,$D$101&lt;$AR96),0,Schweine_Werte!$M96))</f>
        <v>0</v>
      </c>
      <c r="BV96" s="797">
        <f>IF(OR($C$110=$AR96,$D$110=$AR96),Schweine_Werte!$M96*0.5,IF(OR($C$110&gt;$AR96,$D$110&lt;$AR96),0,Schweine_Werte!$M96))</f>
        <v>0</v>
      </c>
      <c r="BW96" s="797">
        <f>IF(OR(8=$AR96,$E$127=$AR96),Schweine_Werte!$M96*0.5,IF(OR(8&gt;$AR96,$E$127&lt;$AR96),0,Schweine_Werte!$M96))</f>
        <v>1.2608927189522001</v>
      </c>
      <c r="BX96" s="797">
        <f>IF(OR(8=$AR96,$E$145=$AR96),Schweine_Werte!$M96*0.5,IF(OR(8&gt;$AR96,$E$145&lt;$AR96),0,Schweine_Werte!$M96))</f>
        <v>1.2608927189522001</v>
      </c>
      <c r="BY96" s="795">
        <f>IF(OR($C$74=$AR96,$D$74=$AR96),Schweine_Werte!$O96*0.5,IF(OR($C$74&gt;$AR96,$D$74&lt;$AR96),0,Schweine_Werte!$O96))</f>
        <v>0</v>
      </c>
      <c r="BZ96" s="795">
        <f>IF(OR($C$83=$AR96,$D$83=$AR96),Schweine_Werte!$O96*0.5,IF(OR($C$83&gt;$AR96,$D$83&lt;$AR96),0,Schweine_Werte!$O96))</f>
        <v>0</v>
      </c>
      <c r="CA96" s="797">
        <f>IF(OR($C$92=$AR96,$D$92=$AR96),Schweine_Werte!$O96*0.5,IF(OR($C$92&gt;$AR96,$D$92&lt;$AR96),0,Schweine_Werte!$O96))</f>
        <v>0</v>
      </c>
      <c r="CB96" s="797">
        <f>IF(OR($C$101=$AR96,$D$101=$AR96),Schweine_Werte!$O96*0.5,IF(OR($C$101&gt;$AR96,$D$101&lt;$AR96),0,Schweine_Werte!$O96))</f>
        <v>0</v>
      </c>
      <c r="CC96" s="797">
        <f>IF(OR($C$110=$AR96,$D$110=$AR96),Schweine_Werte!$O96*0.5,IF(OR($C$110&gt;$AR96,$D$110&lt;$AR96),0,Schweine_Werte!$O96))</f>
        <v>0</v>
      </c>
    </row>
    <row r="97" spans="1:81" x14ac:dyDescent="0.25">
      <c r="B97">
        <v>450</v>
      </c>
      <c r="D97" s="730"/>
      <c r="E97" t="e">
        <f>($D101-$C101)*1000/SUM($BU$4:$BU$31)</f>
        <v>#VALUE!</v>
      </c>
      <c r="F97" s="730" t="e">
        <f>SUMPRODUCT($BU$4:$BU$31,Schweine_Werte!$V$4:$V$31)/SUM($BU$4:$BU$31)</f>
        <v>#DIV/0!</v>
      </c>
      <c r="G97" s="730" t="e">
        <f>IF($B101=$A$8,SUMPRODUCT($BU$4:$BU$31,Schweine_Werte!HE$4:HE$31)/SUM($BU$4:$BU$31),IF($B101=$A$7,SUMPRODUCT($BU$4:$BU$31,Schweine_Werte!GQ$4:GQ$31)/SUM($BU$4:$BU$31),IF($B101=$A$6,SUMPRODUCT($BU$4:$BU$31,Schweine_Werte!GC$4:GC$31)/SUM($BU$4:$BU$31),SUMPRODUCT($BU$4:$BU$31,Schweine_Werte!FO$4:FO$31)/SUM($BU$4:$BU$31))))</f>
        <v>#DIV/0!</v>
      </c>
      <c r="H97" s="730" t="e">
        <f>IF($B101=$A$8,SUMPRODUCT($BU$4:$BU$31,Schweine_Werte!HF$4:HF$31)/SUM($BU$4:$BU$31),IF($B101=$A$7,SUMPRODUCT($BU$4:$BU$31,Schweine_Werte!GR$4:GR$31)/SUM($BU$4:$BU$31),IF($B101=$A$6,SUMPRODUCT($BU$4:$BU$31,Schweine_Werte!GD$4:GD$31)/SUM($BU$4:$BU$31),SUMPRODUCT($BU$4:$BU$31,Schweine_Werte!FP$4:FP$31)/SUM($BU$4:$BU$31))))</f>
        <v>#DIV/0!</v>
      </c>
      <c r="I97" s="730" t="e">
        <f>IF($B101=$A$8,SUMPRODUCT($BU$4:$BU$31,Schweine_Werte!HG$4:HG$31)/SUM($BU$4:$BU$31),IF($B101=$A$7,SUMPRODUCT($BU$4:$BU$31,Schweine_Werte!GS$4:GS$31)/SUM($BU$4:$BU$31),IF($B101=$A$6,SUMPRODUCT($BU$4:$BU$31,Schweine_Werte!GE$4:GE$31)/SUM($BU$4:$BU$31),SUMPRODUCT($BU$4:$BU$31,Schweine_Werte!FQ$4:FQ$31)/SUM($BU$4:$BU$31))))</f>
        <v>#DIV/0!</v>
      </c>
      <c r="J97" s="730" t="e">
        <f>SUMPRODUCT($BU$4:$BU$31,Schweine_Werte!$AD$4:$AD$31)/SUM($BU$4:$BU$31)</f>
        <v>#DIV/0!</v>
      </c>
      <c r="K97" s="730" t="e">
        <f>SUMPRODUCT($BU$4:$BU$31,Schweine_Werte!$AL$4:$AL$31)/SUM($BU$4:$BU$31)</f>
        <v>#DIV/0!</v>
      </c>
      <c r="L97" s="730" t="e">
        <f>T97*$F97*365/1000+$J97-$K97</f>
        <v>#DIV/0!</v>
      </c>
      <c r="M97" s="730" t="e">
        <f>U97*$F97*365/1000+$J97-$K97/2</f>
        <v>#DIV/0!</v>
      </c>
      <c r="N97" s="730" t="e">
        <f>V97*$F97*365/1000+$J97</f>
        <v>#DIV/0!</v>
      </c>
      <c r="O97" s="730">
        <f>IF($C101&lt;28,SUM($BU$4:$BU$23)+IF($D101&gt;28,$BU$24*0.5,$BU$24),0)</f>
        <v>0</v>
      </c>
      <c r="P97" s="730">
        <f>IF($D101&gt;28,SUM($BU$25:$BU$31)+IF($C101&lt;28,$BU$24*0.5,$BU$24),0)</f>
        <v>0</v>
      </c>
      <c r="Q97" s="730" t="e">
        <f t="shared" ref="Q97:S98" si="49">+T97*$F97</f>
        <v>#DIV/0!</v>
      </c>
      <c r="R97" s="730" t="e">
        <f t="shared" si="49"/>
        <v>#DIV/0!</v>
      </c>
      <c r="S97" s="730" t="e">
        <f t="shared" si="49"/>
        <v>#DIV/0!</v>
      </c>
      <c r="T97" s="730" t="e">
        <f>+($O97*Schweine_Werte!$HT$15+$P97*Schweine_Werte!$HU$15)/SUM($O97:$P97)</f>
        <v>#DIV/0!</v>
      </c>
      <c r="U97" s="730" t="e">
        <f>+($O97*Schweine_Werte!$HV$15+$P97*Schweine_Werte!$HW$15)/SUM($O97:$P97)</f>
        <v>#DIV/0!</v>
      </c>
      <c r="V97" s="730" t="e">
        <f>+($O97*Schweine_Werte!$HX$15+$P97*Schweine_Werte!$HY$15)/SUM($O97:$P97)</f>
        <v>#DIV/0!</v>
      </c>
      <c r="W97" s="785" t="e">
        <f>($J97*0.055+T97*0.365*0.86*$F97-$K97*0.018)/L97*100</f>
        <v>#DIV/0!</v>
      </c>
      <c r="X97" s="785" t="e">
        <f>($J97*0.055+U97*0.365*0.86*$F97-$K97*0.018/2)/M97*100</f>
        <v>#DIV/0!</v>
      </c>
      <c r="Y97" s="730" t="e">
        <f>($J97*0.055+V97*0.365*0.86*$F97)/N97*100</f>
        <v>#DIV/0!</v>
      </c>
      <c r="Z97" s="730" t="e">
        <f>IF($B101=$A$8,SUMPRODUCT($BU$4:$BU$31,Schweine_Werte!$HH$4:$HH$31,Schweine_Werte!$HI$4:$HI$31)/SUMPRODUCT($BU$4:$BU$31,Schweine_Werte!$HH$4:$HH$31),IF($B101=$A$7,SUMPRODUCT($BU$4:$BU$31,Schweine_Werte!$GT$4:$GT$31,Schweine_Werte!$GU$4:$GU$31)/SUMPRODUCT($BU$4:$BU$31,Schweine_Werte!$GT$4:$GT$31),IF($B101=$A$6,SUMPRODUCT($BU$4:$BU$31,Schweine_Werte!$GF$4:$GF$31,Schweine_Werte!$GG$4:$GG$31)/SUMPRODUCT($BU$4:$BU$31,Schweine_Werte!$GF$4:$GF$31),SUMPRODUCT($BU$4:$BU$31,Schweine_Werte!$FR$4:$FR$31,Schweine_Werte!$FS$4:$FS$31)/SUMPRODUCT($BU$4:$BU$31,Schweine_Werte!$FR$4:$FR$31))))</f>
        <v>#DIV/0!</v>
      </c>
      <c r="AA97" s="730"/>
      <c r="AB97" s="730">
        <f>IF($B101=$A$8,SUMIF(Schweine_Werte!$AO$4:$AO$31,$C101,Schweine_Werte!$HI$4:$HI$31),IF($B101=$A$7,SUMIF(Schweine_Werte!$AO$4:$AO$31,$C101,Schweine_Werte!$GU$4:$GU$31),IF($B101=$A$6,SUMIF(Schweine_Werte!$AO$4:$AO$31,$C101,Schweine_Werte!$GG$4:$GG$31),SUMIF(Schweine_Werte!$AO$4:$AO$31,$C101,Schweine_Werte!$FS$4:$FS$31))))</f>
        <v>0</v>
      </c>
      <c r="AC97" s="730"/>
      <c r="AD97" s="730">
        <f>IF($B101=$A$8,SUMIF(Schweine_Werte!$AO$4:$AO$31,$D101,Schweine_Werte!$HI$4:$HI$31),IF($B101=$A$7,SUMIF(Schweine_Werte!$AO$4:$AO$31,$D101,Schweine_Werte!$GU$4:$GU$31),IF($B101=$A$6,SUMIF(Schweine_Werte!$AO$4:$AO$31,$D101,Schweine_Werte!$GG$4:$GG$31),SUMIF(Schweine_Werte!$AO$4:$AO$31,$D101,Schweine_Werte!$FS$4:$FS$31))))</f>
        <v>0</v>
      </c>
      <c r="AE97" s="730"/>
      <c r="AF97" s="730"/>
      <c r="AG97" s="730" t="e">
        <f>IF($B101=$A$8,SUMPRODUCT($BU$4:$BU$31,Schweine_Werte!$HH$4:$HH$31)/SUM($BU$4:$BU$31),IF($B101=$A$7,SUMPRODUCT($BU$4:$BU$31,Schweine_Werte!$GT$4:$GT$31)/SUM($BU$4:$BU$31),IF($B101=$A$6,SUMPRODUCT($BU$4:$BU$31,Schweine_Werte!$GF$4:$GF$31)/SUM($BU$4:$BU$31),SUMPRODUCT($BU$4:$BU$31,Schweine_Werte!$FR$4:$FR$31)/SUM($BU$4:$BU$31))))</f>
        <v>#DIV/0!</v>
      </c>
      <c r="AH97" s="730"/>
      <c r="AI97" s="730"/>
      <c r="AJ97" s="730" t="e">
        <f>IF($B101=$A$8,SUMPRODUCT($BU$4:$BU$31,Schweine_Werte!$HH$4:$HH$31,Schweine_Werte!$HJ$4:$HJ$31)/SUMPRODUCT($BU$4:$BU$31,Schweine_Werte!$HH$4:$HH$31),IF($B101=$A$7,SUMPRODUCT($BU$4:$BU$31,Schweine_Werte!$GT$4:$GT$31,Schweine_Werte!$GV$4:$GV$31)/SUMPRODUCT($BU$4:$BU$31,Schweine_Werte!$GT$4:$GT$31),IF($B101=$A$6,SUMPRODUCT($BU$4:$BU$31,Schweine_Werte!$GF$4:$GF$31,Schweine_Werte!$GH$4:$GH$31)/SUMPRODUCT($BU$4:$BU$31,Schweine_Werte!$GF$4:$GF$31),SUMPRODUCT($BU$4:$BU$31,Schweine_Werte!$FR$4:$FR$31,Schweine_Werte!$FT$4:$FT$31)/SUMPRODUCT($BU$4:$BU$31,Schweine_Werte!$FR$4:$FR$31))))</f>
        <v>#DIV/0!</v>
      </c>
      <c r="AK97" s="730"/>
      <c r="AL97" s="730">
        <f>IF($B101=$A$8,SUMIF(Schweine_Werte!$AO$4:$AO$31,$C101,Schweine_Werte!$HJ$4:$HJ$31),IF($B101=$A$7,SUMIF(Schweine_Werte!$AO$4:$AO$31,$C101,Schweine_Werte!$GV$4:$GV$31),IF($B101=$A$6,SUMIF(Schweine_Werte!$AO$4:$AO$31,$C101,Schweine_Werte!$GH$4:$GH$31),SUMIF(Schweine_Werte!$AO$4:$AO$31,$C101,Schweine_Werte!$FT$4:$FT$31))))</f>
        <v>0</v>
      </c>
      <c r="AM97" s="730"/>
      <c r="AN97" s="730">
        <f>IF($B101=$A$8,SUMIF(Schweine_Werte!$AO$4:$AO$31,$D101,Schweine_Werte!$HJ$4:$HJ$31),IF($B101=$A$7,SUMIF(Schweine_Werte!$AO$4:$AO$31,$D101,Schweine_Werte!$GV$4:$GV$31),IF($B101=$A$6,SUMIF(Schweine_Werte!$AO$4:$AO$31,$D101,Schweine_Werte!$GH$4:$GH$31),SUMIF(Schweine_Werte!$AO$4:$AO$31,$D101,Schweine_Werte!$FT$4:$FT$31))))</f>
        <v>0</v>
      </c>
      <c r="AR97" s="806">
        <v>101</v>
      </c>
      <c r="AS97" s="795">
        <f>IF(OR($C$12=$AR97,$D$12=$AR97),Schweine_Werte!$C97*0.5,IF(OR($C$12&gt;$AR97,$D$12&lt;$AR97),0,Schweine_Werte!$C97))</f>
        <v>0</v>
      </c>
      <c r="AT97" s="730">
        <f>IF(OR($C$24=$AR97,$D$24=$AR97),Schweine_Werte!$C97*0.5,IF(OR($C$24&gt;$AR97,$D$24&lt;$AR97),0,Schweine_Werte!$C97))</f>
        <v>0</v>
      </c>
      <c r="AU97" s="795">
        <f>IF(OR($C$36=$AR97,$D$36=$AR97),Schweine_Werte!$C97*0.5,IF(OR($C$36&gt;$AR97,$D$36&lt;$AR97),0,Schweine_Werte!$C97))</f>
        <v>0</v>
      </c>
      <c r="AV97" s="795">
        <f>IF(OR($C$48=$AR97,$D$48=$AR97),Schweine_Werte!$C97*0.5,IF(OR($C$48&gt;$AR97,$D$48&lt;$AR97),0,Schweine_Werte!$C97))</f>
        <v>0</v>
      </c>
      <c r="AW97" s="795">
        <f>IF(OR($C$60=$AR97,$D$60=$AR97),Schweine_Werte!$C97*0.5,IF(OR($C$60&gt;$AR97,$D$60&lt;$AR97),0,Schweine_Werte!$C97))</f>
        <v>0</v>
      </c>
      <c r="AX97" s="795">
        <f>IF(OR($C$12=$AR97,$D$12=$AR97),Schweine_Werte!$E97*0.5,IF(OR($C$12&gt;$AR97,$D$12&lt;$AR97),0,Schweine_Werte!$E97))</f>
        <v>0</v>
      </c>
      <c r="AY97" s="730">
        <f>IF(OR($C$24=$AR97,$D$24=$AR97),Schweine_Werte!$E97*0.5,IF(OR($C$24&gt;$AR97,$D$24&lt;$AR97),0,Schweine_Werte!$E97))</f>
        <v>0</v>
      </c>
      <c r="AZ97" s="730">
        <f>IF(OR($C$36=$AR97,$D$36=$AR97),Schweine_Werte!$E97*0.5,IF(OR($C$36&gt;$AR97,$D$36&lt;$AR97),0,Schweine_Werte!$E97))</f>
        <v>0</v>
      </c>
      <c r="BA97" s="730">
        <f>IF(OR($C$48=$AR97,$D$48=$AR97),Schweine_Werte!$E97*0.5,IF(OR($C$48&gt;$AR97,$D$48&lt;$AR97),0,Schweine_Werte!$E97))</f>
        <v>0</v>
      </c>
      <c r="BB97" s="730">
        <f>IF(OR($C$60=$AR97,$D$60=$AR97),Schweine_Werte!$E97*0.5,IF(OR($C$60&gt;$AR97,$D$60&lt;$AR97),0,Schweine_Werte!$E97))</f>
        <v>0</v>
      </c>
      <c r="BC97" s="795">
        <f>IF(OR($C$12=$AR97,$D$12=$AR97),Schweine_Werte!$G97*0.5,IF(OR($C$12&gt;$AR97,$D$12&lt;$AR97),0,Schweine_Werte!$G97))</f>
        <v>0</v>
      </c>
      <c r="BD97" s="730">
        <f>IF(OR($C$24=$AR97,$D$24=$AR97),Schweine_Werte!$G97*0.5,IF(OR($C$24&gt;$AR97,$D$24&lt;$AR97),0,Schweine_Werte!$G97))</f>
        <v>0</v>
      </c>
      <c r="BE97" s="730">
        <f>IF(OR($C$36=$AR97,$D$36=$AR97),Schweine_Werte!$G97*0.5,IF(OR($C$36&gt;$AR97,$D$36&lt;$AR97),0,Schweine_Werte!$G97))</f>
        <v>0</v>
      </c>
      <c r="BF97" s="730">
        <f>IF(OR($C$48=$AR97,$D$48=$AR97),Schweine_Werte!$G97*0.5,IF(OR($C$48&gt;$AR97,$D$48&lt;$AR97),0,Schweine_Werte!$G97))</f>
        <v>0</v>
      </c>
      <c r="BG97" s="730">
        <f>IF(OR($C$60=$AR97,$D$60=$AR97),Schweine_Werte!$G97*0.5,IF(OR($C$60&gt;$AR97,$D$60&lt;$AR97),0,Schweine_Werte!$G97))</f>
        <v>0</v>
      </c>
      <c r="BH97" s="795">
        <f>IF(OR($C$12=$AR97,$D$12=$AR97),Schweine_Werte!$I97*0.5,IF(OR($C$12&gt;$AR97,$D$12&lt;$AR97),0,Schweine_Werte!$I97))</f>
        <v>0</v>
      </c>
      <c r="BI97" s="730">
        <f>IF(OR($C$24=$AR97,$D$24=$AR97),Schweine_Werte!$I97*0.5,IF(OR($C$24&gt;$AR97,$D$24&lt;$AR97),0,Schweine_Werte!$I97))</f>
        <v>0</v>
      </c>
      <c r="BJ97" s="730">
        <f>IF(OR($C$36=$AR97,$D$36=$AR97),Schweine_Werte!$I97*0.5,IF(OR($C$36&gt;$AR97,$D$36&lt;$AR97),0,Schweine_Werte!$I97))</f>
        <v>0</v>
      </c>
      <c r="BK97" s="730">
        <f>IF(OR($C$48=$AR97,$D$48=$AR97),Schweine_Werte!$I97*0.5,IF(OR($C$48&gt;$AR97,$D$48&lt;$AR97),0,Schweine_Werte!$I97))</f>
        <v>0</v>
      </c>
      <c r="BL97" s="730">
        <f>IF(OR($C$60=$AR97,$D$60=$AR97),Schweine_Werte!$I97*0.5,IF(OR($C$60&gt;$AR97,$D$60&lt;$AR97),0,Schweine_Werte!$I97))</f>
        <v>0</v>
      </c>
      <c r="BM97" s="795"/>
      <c r="BN97" s="730"/>
      <c r="BO97" s="730"/>
      <c r="BP97" s="730"/>
      <c r="BQ97" s="730"/>
      <c r="BR97" s="795">
        <f>IF(OR($C$74=$AR97,$D$74=$AR97),Schweine_Werte!$M97*0.5,IF(OR($C$74&gt;$AR97,$D$74&lt;$AR97),0,Schweine_Werte!$M97))</f>
        <v>0</v>
      </c>
      <c r="BS97" s="795">
        <f>IF(OR($C$83=$AR97,$D$83=$AR97),Schweine_Werte!$M97*0.5,IF(OR($C$83&gt;$AR97,$D$83&lt;$AR97),0,Schweine_Werte!$M97))</f>
        <v>0</v>
      </c>
      <c r="BT97" s="797">
        <f>IF(OR($C$92=$AR97,$D$92=$AR97),Schweine_Werte!$M97*0.5,IF(OR($C$92&gt;$AR97,$D$92&lt;$AR97),0,Schweine_Werte!$M97))</f>
        <v>0</v>
      </c>
      <c r="BU97" s="797">
        <f>IF(OR($C$101=$AR97,$D$101=$AR97),Schweine_Werte!$M97*0.5,IF(OR($C$101&gt;$AR97,$D$101&lt;$AR97),0,Schweine_Werte!$M97))</f>
        <v>0</v>
      </c>
      <c r="BV97" s="797">
        <f>IF(OR($C$110=$AR97,$D$110=$AR97),Schweine_Werte!$M97*0.5,IF(OR($C$110&gt;$AR97,$D$110&lt;$AR97),0,Schweine_Werte!$M97))</f>
        <v>0</v>
      </c>
      <c r="BW97" s="797">
        <f>IF(OR(8=$AR97,$E$127=$AR97),Schweine_Werte!$M97*0.5,IF(OR(8&gt;$AR97,$E$127&lt;$AR97),0,Schweine_Werte!$M97))</f>
        <v>1.2741957942593323</v>
      </c>
      <c r="BX97" s="797">
        <f>IF(OR(8=$AR97,$E$145=$AR97),Schweine_Werte!$M97*0.5,IF(OR(8&gt;$AR97,$E$145&lt;$AR97),0,Schweine_Werte!$M97))</f>
        <v>1.2741957942593323</v>
      </c>
      <c r="BY97" s="795">
        <f>IF(OR($C$74=$AR97,$D$74=$AR97),Schweine_Werte!$O97*0.5,IF(OR($C$74&gt;$AR97,$D$74&lt;$AR97),0,Schweine_Werte!$O97))</f>
        <v>0</v>
      </c>
      <c r="BZ97" s="795">
        <f>IF(OR($C$83=$AR97,$D$83=$AR97),Schweine_Werte!$O97*0.5,IF(OR($C$83&gt;$AR97,$D$83&lt;$AR97),0,Schweine_Werte!$O97))</f>
        <v>0</v>
      </c>
      <c r="CA97" s="797">
        <f>IF(OR($C$92=$AR97,$D$92=$AR97),Schweine_Werte!$O97*0.5,IF(OR($C$92&gt;$AR97,$D$92&lt;$AR97),0,Schweine_Werte!$O97))</f>
        <v>0</v>
      </c>
      <c r="CB97" s="797">
        <f>IF(OR($C$101=$AR97,$D$101=$AR97),Schweine_Werte!$O97*0.5,IF(OR($C$101&gt;$AR97,$D$101&lt;$AR97),0,Schweine_Werte!$O97))</f>
        <v>0</v>
      </c>
      <c r="CC97" s="797">
        <f>IF(OR($C$110=$AR97,$D$110=$AR97),Schweine_Werte!$O97*0.5,IF(OR($C$110&gt;$AR97,$D$110&lt;$AR97),0,Schweine_Werte!$O97))</f>
        <v>0</v>
      </c>
    </row>
    <row r="98" spans="1:81" x14ac:dyDescent="0.25">
      <c r="B98">
        <v>500</v>
      </c>
      <c r="D98" s="730"/>
      <c r="E98" t="e">
        <f>($D101-$C101)*1000/SUM($CB$4:$CB$31)</f>
        <v>#VALUE!</v>
      </c>
      <c r="F98" s="730" t="e">
        <f>SUMPRODUCT($CB$4:$CB$31,Schweine_Werte!$W$4:$W$31)/SUM($CB$4:$CB$31)</f>
        <v>#DIV/0!</v>
      </c>
      <c r="G98" s="730" t="e">
        <f>IF($B101=$A$8,SUMPRODUCT($CB$4:$CB$31,Schweine_Werte!HK$4:HK$31)/SUM($CB$4:$CB$31),IF($B101=$A$7,SUMPRODUCT($CB$4:$CB$31,Schweine_Werte!GW$4:GW$31)/SUM($CB$4:$CB$31),IF($B101=$A$6,SUMPRODUCT($CB$4:$CB$31,Schweine_Werte!GI$4:GI$31)/SUM($CB$4:$CB$31),SUMPRODUCT($CB$4:$CB$31,Schweine_Werte!FU$4:FU$31)/SUM($CB$4:$CB$31))))</f>
        <v>#DIV/0!</v>
      </c>
      <c r="H98" s="730" t="e">
        <f>IF($B101=$A$8,SUMPRODUCT($CB$4:$CB$31,Schweine_Werte!HL$4:HL$31)/SUM($CB$4:$CB$31),IF($B101=$A$7,SUMPRODUCT($CB$4:$CB$31,Schweine_Werte!GX$4:GX$31)/SUM($CB$4:$CB$31),IF($B101=$A$6,SUMPRODUCT($CB$4:$CB$31,Schweine_Werte!GJ$4:GJ$31)/SUM($CB$4:$CB$31),SUMPRODUCT($CB$4:$CB$31,Schweine_Werte!FV$4:FV$31)/SUM($CB$4:$CB$31))))</f>
        <v>#DIV/0!</v>
      </c>
      <c r="I98" s="730" t="e">
        <f>IF($B101=$A$8,SUMPRODUCT($CB$4:$CB$31,Schweine_Werte!HM$4:HM$31)/SUM($CB$4:$CB$31),IF($B101=$A$7,SUMPRODUCT($CB$4:$CB$31,Schweine_Werte!GY$4:GY$31)/SUM($CB$4:$CB$31),IF($B101=$A$6,SUMPRODUCT($CB$4:$CB$31,Schweine_Werte!GK$4:GK$31)/SUM($CB$4:$CB$31),SUMPRODUCT($CB$4:$CB$31,Schweine_Werte!FW$4:FW$31)/SUM($CB$4:$CB$31))))</f>
        <v>#DIV/0!</v>
      </c>
      <c r="J98" s="730" t="e">
        <f>SUMPRODUCT($CB$4:$CB$31,Schweine_Werte!$AE$4:$AE$31)/SUM($CB$4:$CB$31)</f>
        <v>#DIV/0!</v>
      </c>
      <c r="K98" s="730" t="e">
        <f>SUMPRODUCT($CB$4:$CB$31,Schweine_Werte!$AM$4:$AM$31)/SUM($CB$4:$CB$31)</f>
        <v>#DIV/0!</v>
      </c>
      <c r="L98" s="730" t="e">
        <f>T98*$F98*365/1000+$J98-$K98</f>
        <v>#DIV/0!</v>
      </c>
      <c r="M98" s="730" t="e">
        <f>U98*$F98*365/1000+$J98-$K98/2</f>
        <v>#DIV/0!</v>
      </c>
      <c r="N98" s="730" t="e">
        <f>V98*$F98*365/1000+$J98</f>
        <v>#DIV/0!</v>
      </c>
      <c r="O98" s="730">
        <f>IF($C101&lt;28,SUM($CB$4:$CB$23)+IF($D101&gt;28,$CB$24*0.5,$CB$24),0)</f>
        <v>0</v>
      </c>
      <c r="P98" s="730">
        <f>IF($D101&gt;28,SUM($CB$25:$CB$31)+IF($C101&lt;28,$CB$24*0.5,$CB$24),0)</f>
        <v>0</v>
      </c>
      <c r="Q98" s="730" t="e">
        <f t="shared" si="49"/>
        <v>#DIV/0!</v>
      </c>
      <c r="R98" s="730" t="e">
        <f t="shared" si="49"/>
        <v>#DIV/0!</v>
      </c>
      <c r="S98" s="730" t="e">
        <f t="shared" si="49"/>
        <v>#DIV/0!</v>
      </c>
      <c r="T98" s="730" t="e">
        <f>+($O98*Schweine_Werte!$HT$16+$P98*Schweine_Werte!$HU$16)/SUM($O98:$P98)</f>
        <v>#DIV/0!</v>
      </c>
      <c r="U98" s="730" t="e">
        <f>+($O98*Schweine_Werte!$HV$16+$P98*Schweine_Werte!$HW$16)/SUM($O98:$P98)</f>
        <v>#DIV/0!</v>
      </c>
      <c r="V98" s="730" t="e">
        <f>+($O98*Schweine_Werte!$HX$16+$P98*Schweine_Werte!$HY$16)/SUM($O98:$P98)</f>
        <v>#DIV/0!</v>
      </c>
      <c r="W98" s="730" t="e">
        <f>($J98*0.055+T98*0.365*0.86*$F98-$K98*0.018)/L98*100</f>
        <v>#DIV/0!</v>
      </c>
      <c r="X98" s="730" t="e">
        <f>($J98*0.055+U98*0.365*0.86*$F98-$K98*0.018/2)/M98*100</f>
        <v>#DIV/0!</v>
      </c>
      <c r="Y98" s="730" t="e">
        <f>($J98*0.055+V98*0.365*0.86*$F98)/N98*100</f>
        <v>#DIV/0!</v>
      </c>
      <c r="Z98" s="730" t="e">
        <f>IF($B101=$A$8,SUMPRODUCT($CB$4:$CB$31,Schweine_Werte!$HN$4:$HN$31,Schweine_Werte!$HO$4:$HO$31)/SUMPRODUCT($CB$4:$CB$31,Schweine_Werte!$HN$4:$HN$31),IF($B101=$A$7,SUMPRODUCT($CB$4:$CB$31,Schweine_Werte!$GZ$4:$GZ$31,Schweine_Werte!$HA$4:$HA$31)/SUMPRODUCT($CB$4:$CB$31,Schweine_Werte!$GZ$4:$GZ$31),IF($B101=$A$6,SUMPRODUCT($CB$4:$CB$31,Schweine_Werte!$GL$4:$GL$31,Schweine_Werte!$GM$4:$GM$31)/SUMPRODUCT($CB$4:$CB$31,Schweine_Werte!$GL$4:$GL$31),SUMPRODUCT($CB$4:$CB$31,Schweine_Werte!$FX$4:$FX$31,Schweine_Werte!$FY$4:$FY$31)/SUMPRODUCT($CB$4:$CB$31,Schweine_Werte!$FX$4:$FX$31))))</f>
        <v>#DIV/0!</v>
      </c>
      <c r="AA98" s="730"/>
      <c r="AB98" s="730">
        <f>IF($B101=$A$8,SUMIF(Schweine_Werte!$AO$4:$AO$31,$C101,Schweine_Werte!$HO$4:$HO$31),IF($B101=$A$7,SUMIF(Schweine_Werte!$AO$4:$AO$31,$C101,Schweine_Werte!$HA$4:$HA$31),IF($B101=$A$6,SUMIF(Schweine_Werte!$AO$4:$AO$31,$C101,Schweine_Werte!$GM$4:$GM$31),SUMIF(Schweine_Werte!$AO$4:$AO$31,$C101,Schweine_Werte!$FY$4:$FY$31))))</f>
        <v>0</v>
      </c>
      <c r="AC98" s="730"/>
      <c r="AD98" s="730">
        <f>IF($B101=$A$8,SUMIF(Schweine_Werte!$AO$4:$AO$31,$D101,Schweine_Werte!$HO$4:$HO$31),IF($B101=$A$7,SUMIF(Schweine_Werte!$AO$4:$AO$31,$D101,Schweine_Werte!$HA$4:$HA$31),IF($B101=$A$6,SUMIF(Schweine_Werte!$AO$4:$AO$31,$D101,Schweine_Werte!$GM$4:$GM$31),SUMIF(Schweine_Werte!$AO$4:$AO$31,$D101,Schweine_Werte!$FY$4:$FY$31))))</f>
        <v>0</v>
      </c>
      <c r="AE98" s="730"/>
      <c r="AF98" s="730"/>
      <c r="AG98" s="730" t="e">
        <f>IF($B101=$A$8,SUMPRODUCT($CB$4:$CB$31,Schweine_Werte!$HN$4:$HN$31)/SUM($CB$4:$CB$31),IF($B101=$A$7,SUMPRODUCT($CB$4:$CB$31,Schweine_Werte!$GZ$4:$GZ$31)/SUM($CB$4:$CB$31),IF($B101=$A$6,SUMPRODUCT($CB$4:$CB$31,Schweine_Werte!$GL$4:$GL$31)/SUM($CB$4:$CB$31),SUMPRODUCT($CB$4:$CB$31,Schweine_Werte!$FX$4:$FX$31)/SUM($CB$4:$CB$31))))</f>
        <v>#DIV/0!</v>
      </c>
      <c r="AH98" s="730"/>
      <c r="AI98" s="730"/>
      <c r="AJ98" s="730" t="e">
        <f>IF($B101=$A$8,SUMPRODUCT($CB$4:$CB$31,Schweine_Werte!$HN$4:$HN$31,Schweine_Werte!$HP$4:$HP$31)/SUMPRODUCT($CB$4:$CB$31,Schweine_Werte!$HN$4:$HN$31),IF($B101=$A$7,SUMPRODUCT($CB$4:$CB$31,Schweine_Werte!$GZ$4:$GZ$31,Schweine_Werte!$HB$4:$HB$31)/SUMPRODUCT($CB$4:$CB$31,Schweine_Werte!$GZ$4:$GZ$31),IF($B101=$A$6,SUMPRODUCT($CB$4:$CB$31,Schweine_Werte!$GL$4:$GL$31,Schweine_Werte!$GN$4:$GN$31)/SUMPRODUCT($CB$4:$CB$31,Schweine_Werte!$GL$4:$GL$31),SUMPRODUCT($CB$4:$CB$31,Schweine_Werte!$FX$4:$FX$31,Schweine_Werte!$FZ$4:$FZ$31)/SUMPRODUCT($CB$4:$CB$31,Schweine_Werte!$FX$4:$FX$31))))</f>
        <v>#DIV/0!</v>
      </c>
      <c r="AK98" s="730"/>
      <c r="AL98" s="730">
        <f>IF($B101=$A$8,SUMIF(Schweine_Werte!$AO$4:$AO$31,$C101,Schweine_Werte!$HP$4:$HP$31),IF($B101=$A$7,SUMIF(Schweine_Werte!$AO$4:$AO$31,$C101,Schweine_Werte!$HB$4:$HB$31),IF($B101=$A$6,SUMIF(Schweine_Werte!$AO$4:$AO$31,$C101,Schweine_Werte!$GN$4:$GN$31),SUMIF(Schweine_Werte!$AO$4:$AO$31,$C101,Schweine_Werte!$FZ$4:$FZ$31))))</f>
        <v>0</v>
      </c>
      <c r="AM98" s="730"/>
      <c r="AN98" s="730">
        <f>IF($B101=$A$8,SUMIF(Schweine_Werte!$AO$4:$AO$31,$D101,Schweine_Werte!$HP$4:$HP$31),IF($B101=$A$7,SUMIF(Schweine_Werte!$AO$4:$AO$31,$D101,Schweine_Werte!$HB$4:$HB$31),IF($B101=$A$6,SUMIF(Schweine_Werte!$AO$4:$AO$31,$D101,Schweine_Werte!$GN$4:$GN$31),SUMIF(Schweine_Werte!$AO$4:$AO$31,$D101,Schweine_Werte!$FZ$4:$FZ$31))))</f>
        <v>0</v>
      </c>
      <c r="AR98" s="806">
        <v>102</v>
      </c>
      <c r="AS98" s="795">
        <f>IF(OR($C$12=$AR98,$D$12=$AR98),Schweine_Werte!$C98*0.5,IF(OR($C$12&gt;$AR98,$D$12&lt;$AR98),0,Schweine_Werte!$C98))</f>
        <v>0</v>
      </c>
      <c r="AT98" s="730">
        <f>IF(OR($C$24=$AR98,$D$24=$AR98),Schweine_Werte!$C98*0.5,IF(OR($C$24&gt;$AR98,$D$24&lt;$AR98),0,Schweine_Werte!$C98))</f>
        <v>0</v>
      </c>
      <c r="AU98" s="795">
        <f>IF(OR($C$36=$AR98,$D$36=$AR98),Schweine_Werte!$C98*0.5,IF(OR($C$36&gt;$AR98,$D$36&lt;$AR98),0,Schweine_Werte!$C98))</f>
        <v>0</v>
      </c>
      <c r="AV98" s="795">
        <f>IF(OR($C$48=$AR98,$D$48=$AR98),Schweine_Werte!$C98*0.5,IF(OR($C$48&gt;$AR98,$D$48&lt;$AR98),0,Schweine_Werte!$C98))</f>
        <v>0</v>
      </c>
      <c r="AW98" s="795">
        <f>IF(OR($C$60=$AR98,$D$60=$AR98),Schweine_Werte!$C98*0.5,IF(OR($C$60&gt;$AR98,$D$60&lt;$AR98),0,Schweine_Werte!$C98))</f>
        <v>0</v>
      </c>
      <c r="AX98" s="795">
        <f>IF(OR($C$12=$AR98,$D$12=$AR98),Schweine_Werte!$E98*0.5,IF(OR($C$12&gt;$AR98,$D$12&lt;$AR98),0,Schweine_Werte!$E98))</f>
        <v>0</v>
      </c>
      <c r="AY98" s="730">
        <f>IF(OR($C$24=$AR98,$D$24=$AR98),Schweine_Werte!$E98*0.5,IF(OR($C$24&gt;$AR98,$D$24&lt;$AR98),0,Schweine_Werte!$E98))</f>
        <v>0</v>
      </c>
      <c r="AZ98" s="730">
        <f>IF(OR($C$36=$AR98,$D$36=$AR98),Schweine_Werte!$E98*0.5,IF(OR($C$36&gt;$AR98,$D$36&lt;$AR98),0,Schweine_Werte!$E98))</f>
        <v>0</v>
      </c>
      <c r="BA98" s="730">
        <f>IF(OR($C$48=$AR98,$D$48=$AR98),Schweine_Werte!$E98*0.5,IF(OR($C$48&gt;$AR98,$D$48&lt;$AR98),0,Schweine_Werte!$E98))</f>
        <v>0</v>
      </c>
      <c r="BB98" s="730">
        <f>IF(OR($C$60=$AR98,$D$60=$AR98),Schweine_Werte!$E98*0.5,IF(OR($C$60&gt;$AR98,$D$60&lt;$AR98),0,Schweine_Werte!$E98))</f>
        <v>0</v>
      </c>
      <c r="BC98" s="795">
        <f>IF(OR($C$12=$AR98,$D$12=$AR98),Schweine_Werte!$G98*0.5,IF(OR($C$12&gt;$AR98,$D$12&lt;$AR98),0,Schweine_Werte!$G98))</f>
        <v>0</v>
      </c>
      <c r="BD98" s="730">
        <f>IF(OR($C$24=$AR98,$D$24=$AR98),Schweine_Werte!$G98*0.5,IF(OR($C$24&gt;$AR98,$D$24&lt;$AR98),0,Schweine_Werte!$G98))</f>
        <v>0</v>
      </c>
      <c r="BE98" s="730">
        <f>IF(OR($C$36=$AR98,$D$36=$AR98),Schweine_Werte!$G98*0.5,IF(OR($C$36&gt;$AR98,$D$36&lt;$AR98),0,Schweine_Werte!$G98))</f>
        <v>0</v>
      </c>
      <c r="BF98" s="730">
        <f>IF(OR($C$48=$AR98,$D$48=$AR98),Schweine_Werte!$G98*0.5,IF(OR($C$48&gt;$AR98,$D$48&lt;$AR98),0,Schweine_Werte!$G98))</f>
        <v>0</v>
      </c>
      <c r="BG98" s="730">
        <f>IF(OR($C$60=$AR98,$D$60=$AR98),Schweine_Werte!$G98*0.5,IF(OR($C$60&gt;$AR98,$D$60&lt;$AR98),0,Schweine_Werte!$G98))</f>
        <v>0</v>
      </c>
      <c r="BH98" s="795">
        <f>IF(OR($C$12=$AR98,$D$12=$AR98),Schweine_Werte!$I98*0.5,IF(OR($C$12&gt;$AR98,$D$12&lt;$AR98),0,Schweine_Werte!$I98))</f>
        <v>0</v>
      </c>
      <c r="BI98" s="730">
        <f>IF(OR($C$24=$AR98,$D$24=$AR98),Schweine_Werte!$I98*0.5,IF(OR($C$24&gt;$AR98,$D$24&lt;$AR98),0,Schweine_Werte!$I98))</f>
        <v>0</v>
      </c>
      <c r="BJ98" s="730">
        <f>IF(OR($C$36=$AR98,$D$36=$AR98),Schweine_Werte!$I98*0.5,IF(OR($C$36&gt;$AR98,$D$36&lt;$AR98),0,Schweine_Werte!$I98))</f>
        <v>0</v>
      </c>
      <c r="BK98" s="730">
        <f>IF(OR($C$48=$AR98,$D$48=$AR98),Schweine_Werte!$I98*0.5,IF(OR($C$48&gt;$AR98,$D$48&lt;$AR98),0,Schweine_Werte!$I98))</f>
        <v>0</v>
      </c>
      <c r="BL98" s="730">
        <f>IF(OR($C$60=$AR98,$D$60=$AR98),Schweine_Werte!$I98*0.5,IF(OR($C$60&gt;$AR98,$D$60&lt;$AR98),0,Schweine_Werte!$I98))</f>
        <v>0</v>
      </c>
      <c r="BM98" s="795"/>
      <c r="BN98" s="730"/>
      <c r="BO98" s="730"/>
      <c r="BP98" s="730"/>
      <c r="BQ98" s="730"/>
      <c r="BR98" s="795">
        <f>IF(OR($C$74=$AR98,$D$74=$AR98),Schweine_Werte!$M98*0.5,IF(OR($C$74&gt;$AR98,$D$74&lt;$AR98),0,Schweine_Werte!$M98))</f>
        <v>0</v>
      </c>
      <c r="BS98" s="795">
        <f>IF(OR($C$83=$AR98,$D$83=$AR98),Schweine_Werte!$M98*0.5,IF(OR($C$83&gt;$AR98,$D$83&lt;$AR98),0,Schweine_Werte!$M98))</f>
        <v>0</v>
      </c>
      <c r="BT98" s="797">
        <f>IF(OR($C$92=$AR98,$D$92=$AR98),Schweine_Werte!$M98*0.5,IF(OR($C$92&gt;$AR98,$D$92&lt;$AR98),0,Schweine_Werte!$M98))</f>
        <v>0</v>
      </c>
      <c r="BU98" s="797">
        <f>IF(OR($C$101=$AR98,$D$101=$AR98),Schweine_Werte!$M98*0.5,IF(OR($C$101&gt;$AR98,$D$101&lt;$AR98),0,Schweine_Werte!$M98))</f>
        <v>0</v>
      </c>
      <c r="BV98" s="797">
        <f>IF(OR($C$110=$AR98,$D$110=$AR98),Schweine_Werte!$M98*0.5,IF(OR($C$110&gt;$AR98,$D$110&lt;$AR98),0,Schweine_Werte!$M98))</f>
        <v>0</v>
      </c>
      <c r="BW98" s="797">
        <f>IF(OR(8=$AR98,$E$127=$AR98),Schweine_Werte!$M98*0.5,IF(OR(8&gt;$AR98,$E$127&lt;$AR98),0,Schweine_Werte!$M98))</f>
        <v>1.2882673525519277</v>
      </c>
      <c r="BX98" s="797">
        <f>IF(OR(8=$AR98,$E$145=$AR98),Schweine_Werte!$M98*0.5,IF(OR(8&gt;$AR98,$E$145&lt;$AR98),0,Schweine_Werte!$M98))</f>
        <v>1.2882673525519277</v>
      </c>
      <c r="BY98" s="795">
        <f>IF(OR($C$74=$AR98,$D$74=$AR98),Schweine_Werte!$O98*0.5,IF(OR($C$74&gt;$AR98,$D$74&lt;$AR98),0,Schweine_Werte!$O98))</f>
        <v>0</v>
      </c>
      <c r="BZ98" s="795">
        <f>IF(OR($C$83=$AR98,$D$83=$AR98),Schweine_Werte!$O98*0.5,IF(OR($C$83&gt;$AR98,$D$83&lt;$AR98),0,Schweine_Werte!$O98))</f>
        <v>0</v>
      </c>
      <c r="CA98" s="797">
        <f>IF(OR($C$92=$AR98,$D$92=$AR98),Schweine_Werte!$O98*0.5,IF(OR($C$92&gt;$AR98,$D$92&lt;$AR98),0,Schweine_Werte!$O98))</f>
        <v>0</v>
      </c>
      <c r="CB98" s="797">
        <f>IF(OR($C$101=$AR98,$D$101=$AR98),Schweine_Werte!$O98*0.5,IF(OR($C$101&gt;$AR98,$D$101&lt;$AR98),0,Schweine_Werte!$O98))</f>
        <v>0</v>
      </c>
      <c r="CC98" s="797">
        <f>IF(OR($C$110=$AR98,$D$110=$AR98),Schweine_Werte!$O98*0.5,IF(OR($C$110&gt;$AR98,$D$110&lt;$AR98),0,Schweine_Werte!$O98))</f>
        <v>0</v>
      </c>
    </row>
    <row r="99" spans="1:81" ht="15.6" x14ac:dyDescent="0.3">
      <c r="F99" s="357"/>
      <c r="G99" s="1626" t="s">
        <v>7713</v>
      </c>
      <c r="H99" s="1627"/>
      <c r="I99" s="1628"/>
      <c r="J99" s="1039" t="s">
        <v>596</v>
      </c>
      <c r="K99" s="1039" t="s">
        <v>226</v>
      </c>
      <c r="L99" s="1621" t="s">
        <v>7714</v>
      </c>
      <c r="M99" s="1622"/>
      <c r="N99" s="1623"/>
      <c r="O99" s="1621" t="s">
        <v>7715</v>
      </c>
      <c r="P99" s="1623"/>
      <c r="Q99" s="1621" t="s">
        <v>7770</v>
      </c>
      <c r="R99" s="1622"/>
      <c r="S99" s="1623"/>
      <c r="T99" s="1621" t="s">
        <v>7716</v>
      </c>
      <c r="U99" s="1622"/>
      <c r="V99" s="1623"/>
      <c r="W99" s="1621" t="s">
        <v>7798</v>
      </c>
      <c r="X99" s="1622"/>
      <c r="Y99" s="1623"/>
      <c r="Z99" s="1632" t="s">
        <v>7799</v>
      </c>
      <c r="AA99" s="1633"/>
      <c r="AB99" s="1632" t="s">
        <v>7800</v>
      </c>
      <c r="AC99" s="1633"/>
      <c r="AD99" s="1632" t="s">
        <v>7801</v>
      </c>
      <c r="AE99" s="1633"/>
      <c r="AF99" s="1040" t="s">
        <v>7910</v>
      </c>
      <c r="AG99" s="1624" t="s">
        <v>7804</v>
      </c>
      <c r="AH99" s="1625"/>
      <c r="AI99" s="1148" t="s">
        <v>7911</v>
      </c>
      <c r="AJ99" s="1632" t="s">
        <v>7799</v>
      </c>
      <c r="AK99" s="1633"/>
      <c r="AL99" s="1632" t="s">
        <v>7800</v>
      </c>
      <c r="AM99" s="1633"/>
      <c r="AN99" s="1632" t="s">
        <v>7801</v>
      </c>
      <c r="AO99" s="1633"/>
      <c r="AR99" s="806">
        <v>103</v>
      </c>
      <c r="AS99" s="795">
        <f>IF(OR($C$12=$AR99,$D$12=$AR99),Schweine_Werte!$C99*0.5,IF(OR($C$12&gt;$AR99,$D$12&lt;$AR99),0,Schweine_Werte!$C99))</f>
        <v>0</v>
      </c>
      <c r="AT99" s="730">
        <f>IF(OR($C$24=$AR99,$D$24=$AR99),Schweine_Werte!$C99*0.5,IF(OR($C$24&gt;$AR99,$D$24&lt;$AR99),0,Schweine_Werte!$C99))</f>
        <v>0</v>
      </c>
      <c r="AU99" s="795">
        <f>IF(OR($C$36=$AR99,$D$36=$AR99),Schweine_Werte!$C99*0.5,IF(OR($C$36&gt;$AR99,$D$36&lt;$AR99),0,Schweine_Werte!$C99))</f>
        <v>0</v>
      </c>
      <c r="AV99" s="795">
        <f>IF(OR($C$48=$AR99,$D$48=$AR99),Schweine_Werte!$C99*0.5,IF(OR($C$48&gt;$AR99,$D$48&lt;$AR99),0,Schweine_Werte!$C99))</f>
        <v>0</v>
      </c>
      <c r="AW99" s="795">
        <f>IF(OR($C$60=$AR99,$D$60=$AR99),Schweine_Werte!$C99*0.5,IF(OR($C$60&gt;$AR99,$D$60&lt;$AR99),0,Schweine_Werte!$C99))</f>
        <v>0</v>
      </c>
      <c r="AX99" s="795">
        <f>IF(OR($C$12=$AR99,$D$12=$AR99),Schweine_Werte!$E99*0.5,IF(OR($C$12&gt;$AR99,$D$12&lt;$AR99),0,Schweine_Werte!$E99))</f>
        <v>0</v>
      </c>
      <c r="AY99" s="730">
        <f>IF(OR($C$24=$AR99,$D$24=$AR99),Schweine_Werte!$E99*0.5,IF(OR($C$24&gt;$AR99,$D$24&lt;$AR99),0,Schweine_Werte!$E99))</f>
        <v>0</v>
      </c>
      <c r="AZ99" s="730">
        <f>IF(OR($C$36=$AR99,$D$36=$AR99),Schweine_Werte!$E99*0.5,IF(OR($C$36&gt;$AR99,$D$36&lt;$AR99),0,Schweine_Werte!$E99))</f>
        <v>0</v>
      </c>
      <c r="BA99" s="730">
        <f>IF(OR($C$48=$AR99,$D$48=$AR99),Schweine_Werte!$E99*0.5,IF(OR($C$48&gt;$AR99,$D$48&lt;$AR99),0,Schweine_Werte!$E99))</f>
        <v>0</v>
      </c>
      <c r="BB99" s="730">
        <f>IF(OR($C$60=$AR99,$D$60=$AR99),Schweine_Werte!$E99*0.5,IF(OR($C$60&gt;$AR99,$D$60&lt;$AR99),0,Schweine_Werte!$E99))</f>
        <v>0</v>
      </c>
      <c r="BC99" s="795">
        <f>IF(OR($C$12=$AR99,$D$12=$AR99),Schweine_Werte!$G99*0.5,IF(OR($C$12&gt;$AR99,$D$12&lt;$AR99),0,Schweine_Werte!$G99))</f>
        <v>0</v>
      </c>
      <c r="BD99" s="730">
        <f>IF(OR($C$24=$AR99,$D$24=$AR99),Schweine_Werte!$G99*0.5,IF(OR($C$24&gt;$AR99,$D$24&lt;$AR99),0,Schweine_Werte!$G99))</f>
        <v>0</v>
      </c>
      <c r="BE99" s="730">
        <f>IF(OR($C$36=$AR99,$D$36=$AR99),Schweine_Werte!$G99*0.5,IF(OR($C$36&gt;$AR99,$D$36&lt;$AR99),0,Schweine_Werte!$G99))</f>
        <v>0</v>
      </c>
      <c r="BF99" s="730">
        <f>IF(OR($C$48=$AR99,$D$48=$AR99),Schweine_Werte!$G99*0.5,IF(OR($C$48&gt;$AR99,$D$48&lt;$AR99),0,Schweine_Werte!$G99))</f>
        <v>0</v>
      </c>
      <c r="BG99" s="730">
        <f>IF(OR($C$60=$AR99,$D$60=$AR99),Schweine_Werte!$G99*0.5,IF(OR($C$60&gt;$AR99,$D$60&lt;$AR99),0,Schweine_Werte!$G99))</f>
        <v>0</v>
      </c>
      <c r="BH99" s="795">
        <f>IF(OR($C$12=$AR99,$D$12=$AR99),Schweine_Werte!$I99*0.5,IF(OR($C$12&gt;$AR99,$D$12&lt;$AR99),0,Schweine_Werte!$I99))</f>
        <v>0</v>
      </c>
      <c r="BI99" s="730">
        <f>IF(OR($C$24=$AR99,$D$24=$AR99),Schweine_Werte!$I99*0.5,IF(OR($C$24&gt;$AR99,$D$24&lt;$AR99),0,Schweine_Werte!$I99))</f>
        <v>0</v>
      </c>
      <c r="BJ99" s="730">
        <f>IF(OR($C$36=$AR99,$D$36=$AR99),Schweine_Werte!$I99*0.5,IF(OR($C$36&gt;$AR99,$D$36&lt;$AR99),0,Schweine_Werte!$I99))</f>
        <v>0</v>
      </c>
      <c r="BK99" s="730">
        <f>IF(OR($C$48=$AR99,$D$48=$AR99),Schweine_Werte!$I99*0.5,IF(OR($C$48&gt;$AR99,$D$48&lt;$AR99),0,Schweine_Werte!$I99))</f>
        <v>0</v>
      </c>
      <c r="BL99" s="730">
        <f>IF(OR($C$60=$AR99,$D$60=$AR99),Schweine_Werte!$I99*0.5,IF(OR($C$60&gt;$AR99,$D$60&lt;$AR99),0,Schweine_Werte!$I99))</f>
        <v>0</v>
      </c>
      <c r="BM99" s="795"/>
      <c r="BN99" s="730"/>
      <c r="BO99" s="730"/>
      <c r="BP99" s="730"/>
      <c r="BQ99" s="730"/>
      <c r="BR99" s="795">
        <f>IF(OR($C$74=$AR99,$D$74=$AR99),Schweine_Werte!$M99*0.5,IF(OR($C$74&gt;$AR99,$D$74&lt;$AR99),0,Schweine_Werte!$M99))</f>
        <v>0</v>
      </c>
      <c r="BS99" s="795">
        <f>IF(OR($C$83=$AR99,$D$83=$AR99),Schweine_Werte!$M99*0.5,IF(OR($C$83&gt;$AR99,$D$83&lt;$AR99),0,Schweine_Werte!$M99))</f>
        <v>0</v>
      </c>
      <c r="BT99" s="797">
        <f>IF(OR($C$92=$AR99,$D$92=$AR99),Schweine_Werte!$M99*0.5,IF(OR($C$92&gt;$AR99,$D$92&lt;$AR99),0,Schweine_Werte!$M99))</f>
        <v>0</v>
      </c>
      <c r="BU99" s="797">
        <f>IF(OR($C$101=$AR99,$D$101=$AR99),Schweine_Werte!$M99*0.5,IF(OR($C$101&gt;$AR99,$D$101&lt;$AR99),0,Schweine_Werte!$M99))</f>
        <v>0</v>
      </c>
      <c r="BV99" s="797">
        <f>IF(OR($C$110=$AR99,$D$110=$AR99),Schweine_Werte!$M99*0.5,IF(OR($C$110&gt;$AR99,$D$110&lt;$AR99),0,Schweine_Werte!$M99))</f>
        <v>0</v>
      </c>
      <c r="BW99" s="797">
        <f>IF(OR(8=$AR99,$E$127=$AR99),Schweine_Werte!$M99*0.5,IF(OR(8&gt;$AR99,$E$127&lt;$AR99),0,Schweine_Werte!$M99))</f>
        <v>1.3031486471171543</v>
      </c>
      <c r="BX99" s="797">
        <f>IF(OR(8=$AR99,$E$145=$AR99),Schweine_Werte!$M99*0.5,IF(OR(8&gt;$AR99,$E$145&lt;$AR99),0,Schweine_Werte!$M99))</f>
        <v>1.3031486471171543</v>
      </c>
      <c r="BY99" s="795">
        <f>IF(OR($C$74=$AR99,$D$74=$AR99),Schweine_Werte!$O99*0.5,IF(OR($C$74&gt;$AR99,$D$74&lt;$AR99),0,Schweine_Werte!$O99))</f>
        <v>0</v>
      </c>
      <c r="BZ99" s="795">
        <f>IF(OR($C$83=$AR99,$D$83=$AR99),Schweine_Werte!$O99*0.5,IF(OR($C$83&gt;$AR99,$D$83&lt;$AR99),0,Schweine_Werte!$O99))</f>
        <v>0</v>
      </c>
      <c r="CA99" s="797">
        <f>IF(OR($C$92=$AR99,$D$92=$AR99),Schweine_Werte!$O99*0.5,IF(OR($C$92&gt;$AR99,$D$92&lt;$AR99),0,Schweine_Werte!$O99))</f>
        <v>0</v>
      </c>
      <c r="CB99" s="797">
        <f>IF(OR($C$101=$AR99,$D$101=$AR99),Schweine_Werte!$O99*0.5,IF(OR($C$101&gt;$AR99,$D$101&lt;$AR99),0,Schweine_Werte!$O99))</f>
        <v>0</v>
      </c>
      <c r="CC99" s="797">
        <f>IF(OR($C$110=$AR99,$D$110=$AR99),Schweine_Werte!$O99*0.5,IF(OR($C$110&gt;$AR99,$D$110&lt;$AR99),0,Schweine_Werte!$O99))</f>
        <v>0</v>
      </c>
    </row>
    <row r="100" spans="1:81" ht="18" x14ac:dyDescent="0.25">
      <c r="B100" s="800" t="s">
        <v>7717</v>
      </c>
      <c r="C100" s="801" t="s">
        <v>7657</v>
      </c>
      <c r="D100" s="801" t="s">
        <v>7718</v>
      </c>
      <c r="E100" s="801" t="s">
        <v>7659</v>
      </c>
      <c r="F100" s="747" t="s">
        <v>196</v>
      </c>
      <c r="G100" s="675" t="s">
        <v>4</v>
      </c>
      <c r="H100" s="675" t="s">
        <v>7719</v>
      </c>
      <c r="I100" s="675" t="s">
        <v>7720</v>
      </c>
      <c r="J100" s="676" t="s">
        <v>7721</v>
      </c>
      <c r="K100" s="676" t="s">
        <v>7721</v>
      </c>
      <c r="L100" s="677" t="s">
        <v>39</v>
      </c>
      <c r="M100" s="677" t="s">
        <v>7722</v>
      </c>
      <c r="N100" s="677" t="s">
        <v>41</v>
      </c>
      <c r="O100" s="678" t="s">
        <v>0</v>
      </c>
      <c r="P100" s="678" t="s">
        <v>8</v>
      </c>
      <c r="Q100" s="677" t="s">
        <v>39</v>
      </c>
      <c r="R100" s="677" t="s">
        <v>40</v>
      </c>
      <c r="S100" s="677" t="s">
        <v>41</v>
      </c>
      <c r="T100" s="677" t="s">
        <v>39</v>
      </c>
      <c r="U100" s="677" t="s">
        <v>40</v>
      </c>
      <c r="V100" s="677" t="s">
        <v>41</v>
      </c>
      <c r="W100" s="676" t="s">
        <v>7696</v>
      </c>
      <c r="X100" s="676" t="s">
        <v>7697</v>
      </c>
      <c r="Y100" s="676" t="s">
        <v>7698</v>
      </c>
      <c r="Z100" s="802" t="s">
        <v>7802</v>
      </c>
      <c r="AA100" s="802" t="s">
        <v>7803</v>
      </c>
      <c r="AB100" s="802" t="s">
        <v>7802</v>
      </c>
      <c r="AC100" s="802" t="s">
        <v>7803</v>
      </c>
      <c r="AD100" s="802" t="s">
        <v>7802</v>
      </c>
      <c r="AE100" s="802" t="s">
        <v>7803</v>
      </c>
      <c r="AF100" s="802" t="s">
        <v>7912</v>
      </c>
      <c r="AG100" s="1049" t="s">
        <v>7913</v>
      </c>
      <c r="AH100" s="802" t="s">
        <v>7914</v>
      </c>
      <c r="AI100" s="802"/>
      <c r="AJ100" s="802" t="s">
        <v>7778</v>
      </c>
      <c r="AK100" s="802" t="s">
        <v>7805</v>
      </c>
      <c r="AL100" s="802" t="s">
        <v>7806</v>
      </c>
      <c r="AM100" s="802" t="s">
        <v>7807</v>
      </c>
      <c r="AN100" s="802" t="s">
        <v>7806</v>
      </c>
      <c r="AO100" s="802" t="s">
        <v>7808</v>
      </c>
      <c r="AR100" s="806">
        <v>104</v>
      </c>
      <c r="AS100" s="795">
        <f>IF(OR($C$12=$AR100,$D$12=$AR100),Schweine_Werte!$C100*0.5,IF(OR($C$12&gt;$AR100,$D$12&lt;$AR100),0,Schweine_Werte!$C100))</f>
        <v>0</v>
      </c>
      <c r="AT100" s="730">
        <f>IF(OR($C$24=$AR100,$D$24=$AR100),Schweine_Werte!$C100*0.5,IF(OR($C$24&gt;$AR100,$D$24&lt;$AR100),0,Schweine_Werte!$C100))</f>
        <v>0</v>
      </c>
      <c r="AU100" s="795">
        <f>IF(OR($C$36=$AR100,$D$36=$AR100),Schweine_Werte!$C100*0.5,IF(OR($C$36&gt;$AR100,$D$36&lt;$AR100),0,Schweine_Werte!$C100))</f>
        <v>0</v>
      </c>
      <c r="AV100" s="795">
        <f>IF(OR($C$48=$AR100,$D$48=$AR100),Schweine_Werte!$C100*0.5,IF(OR($C$48&gt;$AR100,$D$48&lt;$AR100),0,Schweine_Werte!$C100))</f>
        <v>0</v>
      </c>
      <c r="AW100" s="795">
        <f>IF(OR($C$60=$AR100,$D$60=$AR100),Schweine_Werte!$C100*0.5,IF(OR($C$60&gt;$AR100,$D$60&lt;$AR100),0,Schweine_Werte!$C100))</f>
        <v>0</v>
      </c>
      <c r="AX100" s="795">
        <f>IF(OR($C$12=$AR100,$D$12=$AR100),Schweine_Werte!$E100*0.5,IF(OR($C$12&gt;$AR100,$D$12&lt;$AR100),0,Schweine_Werte!$E100))</f>
        <v>0</v>
      </c>
      <c r="AY100" s="730">
        <f>IF(OR($C$24=$AR100,$D$24=$AR100),Schweine_Werte!$E100*0.5,IF(OR($C$24&gt;$AR100,$D$24&lt;$AR100),0,Schweine_Werte!$E100))</f>
        <v>0</v>
      </c>
      <c r="AZ100" s="730">
        <f>IF(OR($C$36=$AR100,$D$36=$AR100),Schweine_Werte!$E100*0.5,IF(OR($C$36&gt;$AR100,$D$36&lt;$AR100),0,Schweine_Werte!$E100))</f>
        <v>0</v>
      </c>
      <c r="BA100" s="730">
        <f>IF(OR($C$48=$AR100,$D$48=$AR100),Schweine_Werte!$E100*0.5,IF(OR($C$48&gt;$AR100,$D$48&lt;$AR100),0,Schweine_Werte!$E100))</f>
        <v>0</v>
      </c>
      <c r="BB100" s="730">
        <f>IF(OR($C$60=$AR100,$D$60=$AR100),Schweine_Werte!$E100*0.5,IF(OR($C$60&gt;$AR100,$D$60&lt;$AR100),0,Schweine_Werte!$E100))</f>
        <v>0</v>
      </c>
      <c r="BC100" s="795">
        <f>IF(OR($C$12=$AR100,$D$12=$AR100),Schweine_Werte!$G100*0.5,IF(OR($C$12&gt;$AR100,$D$12&lt;$AR100),0,Schweine_Werte!$G100))</f>
        <v>0</v>
      </c>
      <c r="BD100" s="730">
        <f>IF(OR($C$24=$AR100,$D$24=$AR100),Schweine_Werte!$G100*0.5,IF(OR($C$24&gt;$AR100,$D$24&lt;$AR100),0,Schweine_Werte!$G100))</f>
        <v>0</v>
      </c>
      <c r="BE100" s="730">
        <f>IF(OR($C$36=$AR100,$D$36=$AR100),Schweine_Werte!$G100*0.5,IF(OR($C$36&gt;$AR100,$D$36&lt;$AR100),0,Schweine_Werte!$G100))</f>
        <v>0</v>
      </c>
      <c r="BF100" s="730">
        <f>IF(OR($C$48=$AR100,$D$48=$AR100),Schweine_Werte!$G100*0.5,IF(OR($C$48&gt;$AR100,$D$48&lt;$AR100),0,Schweine_Werte!$G100))</f>
        <v>0</v>
      </c>
      <c r="BG100" s="730">
        <f>IF(OR($C$60=$AR100,$D$60=$AR100),Schweine_Werte!$G100*0.5,IF(OR($C$60&gt;$AR100,$D$60&lt;$AR100),0,Schweine_Werte!$G100))</f>
        <v>0</v>
      </c>
      <c r="BH100" s="795">
        <f>IF(OR($C$12=$AR100,$D$12=$AR100),Schweine_Werte!$I100*0.5,IF(OR($C$12&gt;$AR100,$D$12&lt;$AR100),0,Schweine_Werte!$I100))</f>
        <v>0</v>
      </c>
      <c r="BI100" s="730">
        <f>IF(OR($C$24=$AR100,$D$24=$AR100),Schweine_Werte!$I100*0.5,IF(OR($C$24&gt;$AR100,$D$24&lt;$AR100),0,Schweine_Werte!$I100))</f>
        <v>0</v>
      </c>
      <c r="BJ100" s="730">
        <f>IF(OR($C$36=$AR100,$D$36=$AR100),Schweine_Werte!$I100*0.5,IF(OR($C$36&gt;$AR100,$D$36&lt;$AR100),0,Schweine_Werte!$I100))</f>
        <v>0</v>
      </c>
      <c r="BK100" s="730">
        <f>IF(OR($C$48=$AR100,$D$48=$AR100),Schweine_Werte!$I100*0.5,IF(OR($C$48&gt;$AR100,$D$48&lt;$AR100),0,Schweine_Werte!$I100))</f>
        <v>0</v>
      </c>
      <c r="BL100" s="730">
        <f>IF(OR($C$60=$AR100,$D$60=$AR100),Schweine_Werte!$I100*0.5,IF(OR($C$60&gt;$AR100,$D$60&lt;$AR100),0,Schweine_Werte!$I100))</f>
        <v>0</v>
      </c>
      <c r="BM100" s="795"/>
      <c r="BN100" s="730"/>
      <c r="BO100" s="730"/>
      <c r="BP100" s="730"/>
      <c r="BQ100" s="730"/>
      <c r="BR100" s="795">
        <f>IF(OR($C$74=$AR100,$D$74=$AR100),Schweine_Werte!$M100*0.5,IF(OR($C$74&gt;$AR100,$D$74&lt;$AR100),0,Schweine_Werte!$M100))</f>
        <v>0</v>
      </c>
      <c r="BS100" s="795">
        <f>IF(OR($C$83=$AR100,$D$83=$AR100),Schweine_Werte!$M100*0.5,IF(OR($C$83&gt;$AR100,$D$83&lt;$AR100),0,Schweine_Werte!$M100))</f>
        <v>0</v>
      </c>
      <c r="BT100" s="797">
        <f>IF(OR($C$92=$AR100,$D$92=$AR100),Schweine_Werte!$M100*0.5,IF(OR($C$92&gt;$AR100,$D$92&lt;$AR100),0,Schweine_Werte!$M100))</f>
        <v>0</v>
      </c>
      <c r="BU100" s="797">
        <f>IF(OR($C$101=$AR100,$D$101=$AR100),Schweine_Werte!$M100*0.5,IF(OR($C$101&gt;$AR100,$D$101&lt;$AR100),0,Schweine_Werte!$M100))</f>
        <v>0</v>
      </c>
      <c r="BV100" s="797">
        <f>IF(OR($C$110=$AR100,$D$110=$AR100),Schweine_Werte!$M100*0.5,IF(OR($C$110&gt;$AR100,$D$110&lt;$AR100),0,Schweine_Werte!$M100))</f>
        <v>0</v>
      </c>
      <c r="BW100" s="797">
        <f>IF(OR(8=$AR100,$E$127=$AR100),Schweine_Werte!$M100*0.5,IF(OR(8&gt;$AR100,$E$127&lt;$AR100),0,Schweine_Werte!$M100))</f>
        <v>1.3188846531773604</v>
      </c>
      <c r="BX100" s="797">
        <f>IF(OR(8=$AR100,$E$145=$AR100),Schweine_Werte!$M100*0.5,IF(OR(8&gt;$AR100,$E$145&lt;$AR100),0,Schweine_Werte!$M100))</f>
        <v>1.3188846531773604</v>
      </c>
      <c r="BY100" s="795">
        <f>IF(OR($C$74=$AR100,$D$74=$AR100),Schweine_Werte!$O100*0.5,IF(OR($C$74&gt;$AR100,$D$74&lt;$AR100),0,Schweine_Werte!$O100))</f>
        <v>0</v>
      </c>
      <c r="BZ100" s="795">
        <f>IF(OR($C$83=$AR100,$D$83=$AR100),Schweine_Werte!$O100*0.5,IF(OR($C$83&gt;$AR100,$D$83&lt;$AR100),0,Schweine_Werte!$O100))</f>
        <v>0</v>
      </c>
      <c r="CA100" s="797">
        <f>IF(OR($C$92=$AR100,$D$92=$AR100),Schweine_Werte!$O100*0.5,IF(OR($C$92&gt;$AR100,$D$92&lt;$AR100),0,Schweine_Werte!$O100))</f>
        <v>0</v>
      </c>
      <c r="CB100" s="797">
        <f>IF(OR($C$101=$AR100,$D$101=$AR100),Schweine_Werte!$O100*0.5,IF(OR($C$101&gt;$AR100,$D$101&lt;$AR100),0,Schweine_Werte!$O100))</f>
        <v>0</v>
      </c>
      <c r="CC100" s="797">
        <f>IF(OR($C$110=$AR100,$D$110=$AR100),Schweine_Werte!$O100*0.5,IF(OR($C$110&gt;$AR100,$D$110&lt;$AR100),0,Schweine_Werte!$O100))</f>
        <v>0</v>
      </c>
    </row>
    <row r="101" spans="1:81" ht="15.6" x14ac:dyDescent="0.3">
      <c r="A101" t="s">
        <v>7794</v>
      </c>
      <c r="B101" s="816" t="str">
        <f>IF('Abweichende Werte'!X8=1,'Abweichende Werte'!F8,"")</f>
        <v/>
      </c>
      <c r="C101" s="679" t="str">
        <f>IF('Abweichende Werte'!X8=1,'Abweichende Werte'!J8,"")</f>
        <v/>
      </c>
      <c r="D101" s="680" t="str">
        <f>IF('Abweichende Werte'!X8=1,'Abweichende Werte'!M8,"")</f>
        <v/>
      </c>
      <c r="E101" s="680" t="str">
        <f>IF('Abweichende Werte'!X8=1,'Abweichende Werte'!P8,"")</f>
        <v/>
      </c>
      <c r="F101" s="803" t="e">
        <f>IF($E101&lt;=$E97,F97,IF(AND($E101&gt;$E97,$E101&lt;=$E98),F97+(F98-F97)/($E98-$E97)*($E101-$E97),IF($E101&gt;$E98,F98)))</f>
        <v>#VALUE!</v>
      </c>
      <c r="G101" s="803" t="e">
        <f t="shared" ref="G101:N101" si="50">IF($E101&lt;=$E97,G97,IF(AND($E101&gt;$E97,$E101&lt;=$E98),G97+(G98-G97)/($E98-$E97)*($E101-$E97),IF($E101&gt;$E98,G98)))</f>
        <v>#VALUE!</v>
      </c>
      <c r="H101" s="803" t="e">
        <f t="shared" si="50"/>
        <v>#VALUE!</v>
      </c>
      <c r="I101" s="803" t="e">
        <f t="shared" si="50"/>
        <v>#VALUE!</v>
      </c>
      <c r="J101" s="803" t="e">
        <f t="shared" si="50"/>
        <v>#VALUE!</v>
      </c>
      <c r="K101" s="803" t="e">
        <f t="shared" si="50"/>
        <v>#VALUE!</v>
      </c>
      <c r="L101" s="803" t="e">
        <f t="shared" si="50"/>
        <v>#VALUE!</v>
      </c>
      <c r="M101" s="803" t="e">
        <f t="shared" si="50"/>
        <v>#VALUE!</v>
      </c>
      <c r="N101" s="803" t="e">
        <f t="shared" si="50"/>
        <v>#VALUE!</v>
      </c>
      <c r="O101" s="804">
        <v>5.5</v>
      </c>
      <c r="P101" s="804">
        <v>1.8</v>
      </c>
      <c r="Q101" s="803" t="e">
        <f t="shared" ref="Q101:Z101" si="51">IF($E101&lt;=$E97,Q97,IF(AND($E101&gt;$E97,$E101&lt;=$E98),Q97+(Q98-Q97)/($E98-$E97)*($E101-$E97),IF($E101&gt;$E98,Q98)))</f>
        <v>#VALUE!</v>
      </c>
      <c r="R101" s="803" t="e">
        <f t="shared" si="51"/>
        <v>#VALUE!</v>
      </c>
      <c r="S101" s="803" t="e">
        <f t="shared" si="51"/>
        <v>#VALUE!</v>
      </c>
      <c r="T101" s="803" t="e">
        <f t="shared" si="51"/>
        <v>#VALUE!</v>
      </c>
      <c r="U101" s="803" t="e">
        <f t="shared" si="51"/>
        <v>#VALUE!</v>
      </c>
      <c r="V101" s="803" t="e">
        <f t="shared" si="51"/>
        <v>#VALUE!</v>
      </c>
      <c r="W101" s="803" t="e">
        <f t="shared" si="51"/>
        <v>#VALUE!</v>
      </c>
      <c r="X101" s="803" t="e">
        <f t="shared" si="51"/>
        <v>#VALUE!</v>
      </c>
      <c r="Y101" s="803" t="e">
        <f t="shared" si="51"/>
        <v>#VALUE!</v>
      </c>
      <c r="Z101" s="803" t="e">
        <f t="shared" si="51"/>
        <v>#VALUE!</v>
      </c>
      <c r="AA101" s="805" t="e">
        <f>+Z101*6.25</f>
        <v>#VALUE!</v>
      </c>
      <c r="AB101" s="803" t="e">
        <f>IF($E101&lt;=$E97,AB97,IF(AND($E101&gt;$E97,$E101&lt;=$E98),AB97+(AB98-AB97)/($E98-$E97)*($E101-$E97),IF($E101&gt;$E98,AB98)))</f>
        <v>#VALUE!</v>
      </c>
      <c r="AC101" s="805" t="e">
        <f>+AB101*6.25</f>
        <v>#VALUE!</v>
      </c>
      <c r="AD101" s="803" t="e">
        <f>IF($E101&lt;=$E97,AD97,IF(AND($E101&gt;$E97,$E101&lt;=$E98),AD97+(AD98-AD97)/($E98-$E97)*($E101-$E97),IF($E101&gt;$E98,AD98)))</f>
        <v>#VALUE!</v>
      </c>
      <c r="AE101" s="805" t="e">
        <f>+AD101*6.25</f>
        <v>#VALUE!</v>
      </c>
      <c r="AF101" s="805" t="e">
        <f>365/((D101-C101)/E101*1000)</f>
        <v>#VALUE!</v>
      </c>
      <c r="AG101" s="803" t="e">
        <f>IF($E101&lt;=$E97,AG97,IF(AND($E101&gt;$E97,$E101&lt;=$E98),AG97+(AG98-AG97)/($E98-$E97)*($E101-$E97),IF($E101&gt;$E98,AG98)))</f>
        <v>#VALUE!</v>
      </c>
      <c r="AH101" s="805" t="e">
        <f>+AG101/AF101</f>
        <v>#VALUE!</v>
      </c>
      <c r="AI101" s="805" t="e">
        <f>+CONCATENATE(ROUND(AH101/(D101-C101),1)," : 1")</f>
        <v>#VALUE!</v>
      </c>
      <c r="AJ101" s="803" t="e">
        <f>IF($E101&lt;=$E97,AJ97,IF(AND($E101&gt;$E97,$E101&lt;=$E98),AJ97+(AJ98-AJ97)/($E98-$E97)*($E101-$E97),IF($E101&gt;$E98,AJ98)))</f>
        <v>#VALUE!</v>
      </c>
      <c r="AK101" s="805" t="e">
        <f>+AJ101/2.291</f>
        <v>#VALUE!</v>
      </c>
      <c r="AL101" s="803" t="e">
        <f>IF($E101&lt;=$E97,AL97,IF(AND($E101&gt;$E97,$E101&lt;=$E98),AL97+(AL98-AL97)/($E98-$E97)*($E101-$E97),IF($E101&gt;$E98,AL98)))</f>
        <v>#VALUE!</v>
      </c>
      <c r="AM101" s="805" t="e">
        <f>+AL101/2.291</f>
        <v>#VALUE!</v>
      </c>
      <c r="AN101" s="803" t="e">
        <f>IF($E101&lt;=$E97,AN97,IF(AND($E101&gt;$E97,$E101&lt;=$E98),AN97+(AN98-AN97)/($E98-$E97)*($E101-$E97),IF($E101&gt;$E98,AN98)))</f>
        <v>#VALUE!</v>
      </c>
      <c r="AO101" s="805" t="e">
        <f>+AN101/2.291</f>
        <v>#VALUE!</v>
      </c>
      <c r="AR101" s="806">
        <v>105</v>
      </c>
      <c r="AS101" s="795">
        <f>IF(OR($C$12=$AR101,$D$12=$AR101),Schweine_Werte!$C101*0.5,IF(OR($C$12&gt;$AR101,$D$12&lt;$AR101),0,Schweine_Werte!$C101))</f>
        <v>0</v>
      </c>
      <c r="AT101" s="730">
        <f>IF(OR($C$24=$AR101,$D$24=$AR101),Schweine_Werte!$C101*0.5,IF(OR($C$24&gt;$AR101,$D$24&lt;$AR101),0,Schweine_Werte!$C101))</f>
        <v>0</v>
      </c>
      <c r="AU101" s="795">
        <f>IF(OR($C$36=$AR101,$D$36=$AR101),Schweine_Werte!$C101*0.5,IF(OR($C$36&gt;$AR101,$D$36&lt;$AR101),0,Schweine_Werte!$C101))</f>
        <v>0</v>
      </c>
      <c r="AV101" s="795">
        <f>IF(OR($C$48=$AR101,$D$48=$AR101),Schweine_Werte!$C101*0.5,IF(OR($C$48&gt;$AR101,$D$48&lt;$AR101),0,Schweine_Werte!$C101))</f>
        <v>0</v>
      </c>
      <c r="AW101" s="795">
        <f>IF(OR($C$60=$AR101,$D$60=$AR101),Schweine_Werte!$C101*0.5,IF(OR($C$60&gt;$AR101,$D$60&lt;$AR101),0,Schweine_Werte!$C101))</f>
        <v>0</v>
      </c>
      <c r="AX101" s="795">
        <f>IF(OR($C$12=$AR101,$D$12=$AR101),Schweine_Werte!$E101*0.5,IF(OR($C$12&gt;$AR101,$D$12&lt;$AR101),0,Schweine_Werte!$E101))</f>
        <v>0</v>
      </c>
      <c r="AY101" s="730">
        <f>IF(OR($C$24=$AR101,$D$24=$AR101),Schweine_Werte!$E101*0.5,IF(OR($C$24&gt;$AR101,$D$24&lt;$AR101),0,Schweine_Werte!$E101))</f>
        <v>0</v>
      </c>
      <c r="AZ101" s="730">
        <f>IF(OR($C$36=$AR101,$D$36=$AR101),Schweine_Werte!$E101*0.5,IF(OR($C$36&gt;$AR101,$D$36&lt;$AR101),0,Schweine_Werte!$E101))</f>
        <v>0</v>
      </c>
      <c r="BA101" s="730">
        <f>IF(OR($C$48=$AR101,$D$48=$AR101),Schweine_Werte!$E101*0.5,IF(OR($C$48&gt;$AR101,$D$48&lt;$AR101),0,Schweine_Werte!$E101))</f>
        <v>0</v>
      </c>
      <c r="BB101" s="730">
        <f>IF(OR($C$60=$AR101,$D$60=$AR101),Schweine_Werte!$E101*0.5,IF(OR($C$60&gt;$AR101,$D$60&lt;$AR101),0,Schweine_Werte!$E101))</f>
        <v>0</v>
      </c>
      <c r="BC101" s="795">
        <f>IF(OR($C$12=$AR101,$D$12=$AR101),Schweine_Werte!$G101*0.5,IF(OR($C$12&gt;$AR101,$D$12&lt;$AR101),0,Schweine_Werte!$G101))</f>
        <v>0</v>
      </c>
      <c r="BD101" s="730">
        <f>IF(OR($C$24=$AR101,$D$24=$AR101),Schweine_Werte!$G101*0.5,IF(OR($C$24&gt;$AR101,$D$24&lt;$AR101),0,Schweine_Werte!$G101))</f>
        <v>0</v>
      </c>
      <c r="BE101" s="730">
        <f>IF(OR($C$36=$AR101,$D$36=$AR101),Schweine_Werte!$G101*0.5,IF(OR($C$36&gt;$AR101,$D$36&lt;$AR101),0,Schweine_Werte!$G101))</f>
        <v>0</v>
      </c>
      <c r="BF101" s="730">
        <f>IF(OR($C$48=$AR101,$D$48=$AR101),Schweine_Werte!$G101*0.5,IF(OR($C$48&gt;$AR101,$D$48&lt;$AR101),0,Schweine_Werte!$G101))</f>
        <v>0</v>
      </c>
      <c r="BG101" s="730">
        <f>IF(OR($C$60=$AR101,$D$60=$AR101),Schweine_Werte!$G101*0.5,IF(OR($C$60&gt;$AR101,$D$60&lt;$AR101),0,Schweine_Werte!$G101))</f>
        <v>0</v>
      </c>
      <c r="BH101" s="795">
        <f>IF(OR($C$12=$AR101,$D$12=$AR101),Schweine_Werte!$I101*0.5,IF(OR($C$12&gt;$AR101,$D$12&lt;$AR101),0,Schweine_Werte!$I101))</f>
        <v>0</v>
      </c>
      <c r="BI101" s="730">
        <f>IF(OR($C$24=$AR101,$D$24=$AR101),Schweine_Werte!$I101*0.5,IF(OR($C$24&gt;$AR101,$D$24&lt;$AR101),0,Schweine_Werte!$I101))</f>
        <v>0</v>
      </c>
      <c r="BJ101" s="730">
        <f>IF(OR($C$36=$AR101,$D$36=$AR101),Schweine_Werte!$I101*0.5,IF(OR($C$36&gt;$AR101,$D$36&lt;$AR101),0,Schweine_Werte!$I101))</f>
        <v>0</v>
      </c>
      <c r="BK101" s="730">
        <f>IF(OR($C$48=$AR101,$D$48=$AR101),Schweine_Werte!$I101*0.5,IF(OR($C$48&gt;$AR101,$D$48&lt;$AR101),0,Schweine_Werte!$I101))</f>
        <v>0</v>
      </c>
      <c r="BL101" s="730">
        <f>IF(OR($C$60=$AR101,$D$60=$AR101),Schweine_Werte!$I101*0.5,IF(OR($C$60&gt;$AR101,$D$60&lt;$AR101),0,Schweine_Werte!$I101))</f>
        <v>0</v>
      </c>
      <c r="BM101" s="795"/>
      <c r="BN101" s="730"/>
      <c r="BO101" s="730"/>
      <c r="BP101" s="730"/>
      <c r="BQ101" s="730"/>
      <c r="BR101" s="795">
        <f>IF(OR($C$74=$AR101,$D$74=$AR101),Schweine_Werte!$M101*0.5,IF(OR($C$74&gt;$AR101,$D$74&lt;$AR101),0,Schweine_Werte!$M101))</f>
        <v>0</v>
      </c>
      <c r="BS101" s="795">
        <f>IF(OR($C$83=$AR101,$D$83=$AR101),Schweine_Werte!$M101*0.5,IF(OR($C$83&gt;$AR101,$D$83&lt;$AR101),0,Schweine_Werte!$M101))</f>
        <v>0</v>
      </c>
      <c r="BT101" s="797">
        <f>IF(OR($C$92=$AR101,$D$92=$AR101),Schweine_Werte!$M101*0.5,IF(OR($C$92&gt;$AR101,$D$92&lt;$AR101),0,Schweine_Werte!$M101))</f>
        <v>0</v>
      </c>
      <c r="BU101" s="797">
        <f>IF(OR($C$101=$AR101,$D$101=$AR101),Schweine_Werte!$M101*0.5,IF(OR($C$101&gt;$AR101,$D$101&lt;$AR101),0,Schweine_Werte!$M101))</f>
        <v>0</v>
      </c>
      <c r="BV101" s="797">
        <f>IF(OR($C$110=$AR101,$D$110=$AR101),Schweine_Werte!$M101*0.5,IF(OR($C$110&gt;$AR101,$D$110&lt;$AR101),0,Schweine_Werte!$M101))</f>
        <v>0</v>
      </c>
      <c r="BW101" s="797">
        <f>IF(OR(8=$AR101,$E$127=$AR101),Schweine_Werte!$M101*0.5,IF(OR(8&gt;$AR101,$E$127&lt;$AR101),0,Schweine_Werte!$M101))</f>
        <v>1.3355244584329835</v>
      </c>
      <c r="BX101" s="797">
        <f>IF(OR(8=$AR101,$E$145=$AR101),Schweine_Werte!$M101*0.5,IF(OR(8&gt;$AR101,$E$145&lt;$AR101),0,Schweine_Werte!$M101))</f>
        <v>1.3355244584329835</v>
      </c>
      <c r="BY101" s="795">
        <f>IF(OR($C$74=$AR101,$D$74=$AR101),Schweine_Werte!$O101*0.5,IF(OR($C$74&gt;$AR101,$D$74&lt;$AR101),0,Schweine_Werte!$O101))</f>
        <v>0</v>
      </c>
      <c r="BZ101" s="795">
        <f>IF(OR($C$83=$AR101,$D$83=$AR101),Schweine_Werte!$O101*0.5,IF(OR($C$83&gt;$AR101,$D$83&lt;$AR101),0,Schweine_Werte!$O101))</f>
        <v>0</v>
      </c>
      <c r="CA101" s="797">
        <f>IF(OR($C$92=$AR101,$D$92=$AR101),Schweine_Werte!$O101*0.5,IF(OR($C$92&gt;$AR101,$D$92&lt;$AR101),0,Schweine_Werte!$O101))</f>
        <v>0</v>
      </c>
      <c r="CB101" s="797">
        <f>IF(OR($C$101=$AR101,$D$101=$AR101),Schweine_Werte!$O101*0.5,IF(OR($C$101&gt;$AR101,$D$101&lt;$AR101),0,Schweine_Werte!$O101))</f>
        <v>0</v>
      </c>
      <c r="CC101" s="797">
        <f>IF(OR($C$110=$AR101,$D$110=$AR101),Schweine_Werte!$O101*0.5,IF(OR($C$110&gt;$AR101,$D$110&lt;$AR101),0,Schweine_Werte!$O101))</f>
        <v>0</v>
      </c>
    </row>
    <row r="102" spans="1:81" x14ac:dyDescent="0.25">
      <c r="AR102" s="806">
        <v>106</v>
      </c>
      <c r="AS102" s="795">
        <f>IF(OR($C$12=$AR102,$D$12=$AR102),Schweine_Werte!$C102*0.5,IF(OR($C$12&gt;$AR102,$D$12&lt;$AR102),0,Schweine_Werte!$C102))</f>
        <v>0</v>
      </c>
      <c r="AT102" s="730">
        <f>IF(OR($C$24=$AR102,$D$24=$AR102),Schweine_Werte!$C102*0.5,IF(OR($C$24&gt;$AR102,$D$24&lt;$AR102),0,Schweine_Werte!$C102))</f>
        <v>0</v>
      </c>
      <c r="AU102" s="795">
        <f>IF(OR($C$36=$AR102,$D$36=$AR102),Schweine_Werte!$C102*0.5,IF(OR($C$36&gt;$AR102,$D$36&lt;$AR102),0,Schweine_Werte!$C102))</f>
        <v>0</v>
      </c>
      <c r="AV102" s="795">
        <f>IF(OR($C$48=$AR102,$D$48=$AR102),Schweine_Werte!$C102*0.5,IF(OR($C$48&gt;$AR102,$D$48&lt;$AR102),0,Schweine_Werte!$C102))</f>
        <v>0</v>
      </c>
      <c r="AW102" s="795">
        <f>IF(OR($C$60=$AR102,$D$60=$AR102),Schweine_Werte!$C102*0.5,IF(OR($C$60&gt;$AR102,$D$60&lt;$AR102),0,Schweine_Werte!$C102))</f>
        <v>0</v>
      </c>
      <c r="AX102" s="795">
        <f>IF(OR($C$12=$AR102,$D$12=$AR102),Schweine_Werte!$E102*0.5,IF(OR($C$12&gt;$AR102,$D$12&lt;$AR102),0,Schweine_Werte!$E102))</f>
        <v>0</v>
      </c>
      <c r="AY102" s="730">
        <f>IF(OR($C$24=$AR102,$D$24=$AR102),Schweine_Werte!$E102*0.5,IF(OR($C$24&gt;$AR102,$D$24&lt;$AR102),0,Schweine_Werte!$E102))</f>
        <v>0</v>
      </c>
      <c r="AZ102" s="730">
        <f>IF(OR($C$36=$AR102,$D$36=$AR102),Schweine_Werte!$E102*0.5,IF(OR($C$36&gt;$AR102,$D$36&lt;$AR102),0,Schweine_Werte!$E102))</f>
        <v>0</v>
      </c>
      <c r="BA102" s="730">
        <f>IF(OR($C$48=$AR102,$D$48=$AR102),Schweine_Werte!$E102*0.5,IF(OR($C$48&gt;$AR102,$D$48&lt;$AR102),0,Schweine_Werte!$E102))</f>
        <v>0</v>
      </c>
      <c r="BB102" s="730">
        <f>IF(OR($C$60=$AR102,$D$60=$AR102),Schweine_Werte!$E102*0.5,IF(OR($C$60&gt;$AR102,$D$60&lt;$AR102),0,Schweine_Werte!$E102))</f>
        <v>0</v>
      </c>
      <c r="BC102" s="795">
        <f>IF(OR($C$12=$AR102,$D$12=$AR102),Schweine_Werte!$G102*0.5,IF(OR($C$12&gt;$AR102,$D$12&lt;$AR102),0,Schweine_Werte!$G102))</f>
        <v>0</v>
      </c>
      <c r="BD102" s="730">
        <f>IF(OR($C$24=$AR102,$D$24=$AR102),Schweine_Werte!$G102*0.5,IF(OR($C$24&gt;$AR102,$D$24&lt;$AR102),0,Schweine_Werte!$G102))</f>
        <v>0</v>
      </c>
      <c r="BE102" s="730">
        <f>IF(OR($C$36=$AR102,$D$36=$AR102),Schweine_Werte!$G102*0.5,IF(OR($C$36&gt;$AR102,$D$36&lt;$AR102),0,Schweine_Werte!$G102))</f>
        <v>0</v>
      </c>
      <c r="BF102" s="730">
        <f>IF(OR($C$48=$AR102,$D$48=$AR102),Schweine_Werte!$G102*0.5,IF(OR($C$48&gt;$AR102,$D$48&lt;$AR102),0,Schweine_Werte!$G102))</f>
        <v>0</v>
      </c>
      <c r="BG102" s="730">
        <f>IF(OR($C$60=$AR102,$D$60=$AR102),Schweine_Werte!$G102*0.5,IF(OR($C$60&gt;$AR102,$D$60&lt;$AR102),0,Schweine_Werte!$G102))</f>
        <v>0</v>
      </c>
      <c r="BH102" s="795">
        <f>IF(OR($C$12=$AR102,$D$12=$AR102),Schweine_Werte!$I102*0.5,IF(OR($C$12&gt;$AR102,$D$12&lt;$AR102),0,Schweine_Werte!$I102))</f>
        <v>0</v>
      </c>
      <c r="BI102" s="730">
        <f>IF(OR($C$24=$AR102,$D$24=$AR102),Schweine_Werte!$I102*0.5,IF(OR($C$24&gt;$AR102,$D$24&lt;$AR102),0,Schweine_Werte!$I102))</f>
        <v>0</v>
      </c>
      <c r="BJ102" s="730">
        <f>IF(OR($C$36=$AR102,$D$36=$AR102),Schweine_Werte!$I102*0.5,IF(OR($C$36&gt;$AR102,$D$36&lt;$AR102),0,Schweine_Werte!$I102))</f>
        <v>0</v>
      </c>
      <c r="BK102" s="730">
        <f>IF(OR($C$48=$AR102,$D$48=$AR102),Schweine_Werte!$I102*0.5,IF(OR($C$48&gt;$AR102,$D$48&lt;$AR102),0,Schweine_Werte!$I102))</f>
        <v>0</v>
      </c>
      <c r="BL102" s="730">
        <f>IF(OR($C$60=$AR102,$D$60=$AR102),Schweine_Werte!$I102*0.5,IF(OR($C$60&gt;$AR102,$D$60&lt;$AR102),0,Schweine_Werte!$I102))</f>
        <v>0</v>
      </c>
      <c r="BM102" s="795"/>
      <c r="BN102" s="730"/>
      <c r="BO102" s="730"/>
      <c r="BP102" s="730"/>
      <c r="BQ102" s="730"/>
      <c r="BR102" s="795">
        <f>IF(OR($C$74=$AR102,$D$74=$AR102),Schweine_Werte!$M102*0.5,IF(OR($C$74&gt;$AR102,$D$74&lt;$AR102),0,Schweine_Werte!$M102))</f>
        <v>0</v>
      </c>
      <c r="BS102" s="795">
        <f>IF(OR($C$83=$AR102,$D$83=$AR102),Schweine_Werte!$M102*0.5,IF(OR($C$83&gt;$AR102,$D$83&lt;$AR102),0,Schweine_Werte!$M102))</f>
        <v>0</v>
      </c>
      <c r="BT102" s="797">
        <f>IF(OR($C$92=$AR102,$D$92=$AR102),Schweine_Werte!$M102*0.5,IF(OR($C$92&gt;$AR102,$D$92&lt;$AR102),0,Schweine_Werte!$M102))</f>
        <v>0</v>
      </c>
      <c r="BU102" s="797">
        <f>IF(OR($C$101=$AR102,$D$101=$AR102),Schweine_Werte!$M102*0.5,IF(OR($C$101&gt;$AR102,$D$101&lt;$AR102),0,Schweine_Werte!$M102))</f>
        <v>0</v>
      </c>
      <c r="BV102" s="797">
        <f>IF(OR($C$110=$AR102,$D$110=$AR102),Schweine_Werte!$M102*0.5,IF(OR($C$110&gt;$AR102,$D$110&lt;$AR102),0,Schweine_Werte!$M102))</f>
        <v>0</v>
      </c>
      <c r="BW102" s="797">
        <f>IF(OR(8=$AR102,$E$127=$AR102),Schweine_Werte!$M102*0.5,IF(OR(8&gt;$AR102,$E$127&lt;$AR102),0,Schweine_Werte!$M102))</f>
        <v>1.3531217058610687</v>
      </c>
      <c r="BX102" s="797">
        <f>IF(OR(8=$AR102,$E$145=$AR102),Schweine_Werte!$M102*0.5,IF(OR(8&gt;$AR102,$E$145&lt;$AR102),0,Schweine_Werte!$M102))</f>
        <v>1.3531217058610687</v>
      </c>
      <c r="BY102" s="795">
        <f>IF(OR($C$74=$AR102,$D$74=$AR102),Schweine_Werte!$O102*0.5,IF(OR($C$74&gt;$AR102,$D$74&lt;$AR102),0,Schweine_Werte!$O102))</f>
        <v>0</v>
      </c>
      <c r="BZ102" s="795">
        <f>IF(OR($C$83=$AR102,$D$83=$AR102),Schweine_Werte!$O102*0.5,IF(OR($C$83&gt;$AR102,$D$83&lt;$AR102),0,Schweine_Werte!$O102))</f>
        <v>0</v>
      </c>
      <c r="CA102" s="797">
        <f>IF(OR($C$92=$AR102,$D$92=$AR102),Schweine_Werte!$O102*0.5,IF(OR($C$92&gt;$AR102,$D$92&lt;$AR102),0,Schweine_Werte!$O102))</f>
        <v>0</v>
      </c>
      <c r="CB102" s="797">
        <f>IF(OR($C$101=$AR102,$D$101=$AR102),Schweine_Werte!$O102*0.5,IF(OR($C$101&gt;$AR102,$D$101&lt;$AR102),0,Schweine_Werte!$O102))</f>
        <v>0</v>
      </c>
      <c r="CC102" s="797">
        <f>IF(OR($C$110=$AR102,$D$110=$AR102),Schweine_Werte!$O102*0.5,IF(OR($C$110&gt;$AR102,$D$110&lt;$AR102),0,Schweine_Werte!$O102))</f>
        <v>0</v>
      </c>
    </row>
    <row r="103" spans="1:81" x14ac:dyDescent="0.25">
      <c r="AR103" s="806">
        <v>107</v>
      </c>
      <c r="AS103" s="795">
        <f>IF(OR($C$12=$AR103,$D$12=$AR103),Schweine_Werte!$C103*0.5,IF(OR($C$12&gt;$AR103,$D$12&lt;$AR103),0,Schweine_Werte!$C103))</f>
        <v>0</v>
      </c>
      <c r="AT103" s="730">
        <f>IF(OR($C$24=$AR103,$D$24=$AR103),Schweine_Werte!$C103*0.5,IF(OR($C$24&gt;$AR103,$D$24&lt;$AR103),0,Schweine_Werte!$C103))</f>
        <v>0</v>
      </c>
      <c r="AU103" s="795">
        <f>IF(OR($C$36=$AR103,$D$36=$AR103),Schweine_Werte!$C103*0.5,IF(OR($C$36&gt;$AR103,$D$36&lt;$AR103),0,Schweine_Werte!$C103))</f>
        <v>0</v>
      </c>
      <c r="AV103" s="795">
        <f>IF(OR($C$48=$AR103,$D$48=$AR103),Schweine_Werte!$C103*0.5,IF(OR($C$48&gt;$AR103,$D$48&lt;$AR103),0,Schweine_Werte!$C103))</f>
        <v>0</v>
      </c>
      <c r="AW103" s="795">
        <f>IF(OR($C$60=$AR103,$D$60=$AR103),Schweine_Werte!$C103*0.5,IF(OR($C$60&gt;$AR103,$D$60&lt;$AR103),0,Schweine_Werte!$C103))</f>
        <v>0</v>
      </c>
      <c r="AX103" s="795">
        <f>IF(OR($C$12=$AR103,$D$12=$AR103),Schweine_Werte!$E103*0.5,IF(OR($C$12&gt;$AR103,$D$12&lt;$AR103),0,Schweine_Werte!$E103))</f>
        <v>0</v>
      </c>
      <c r="AY103" s="730">
        <f>IF(OR($C$24=$AR103,$D$24=$AR103),Schweine_Werte!$E103*0.5,IF(OR($C$24&gt;$AR103,$D$24&lt;$AR103),0,Schweine_Werte!$E103))</f>
        <v>0</v>
      </c>
      <c r="AZ103" s="730">
        <f>IF(OR($C$36=$AR103,$D$36=$AR103),Schweine_Werte!$E103*0.5,IF(OR($C$36&gt;$AR103,$D$36&lt;$AR103),0,Schweine_Werte!$E103))</f>
        <v>0</v>
      </c>
      <c r="BA103" s="730">
        <f>IF(OR($C$48=$AR103,$D$48=$AR103),Schweine_Werte!$E103*0.5,IF(OR($C$48&gt;$AR103,$D$48&lt;$AR103),0,Schweine_Werte!$E103))</f>
        <v>0</v>
      </c>
      <c r="BB103" s="730">
        <f>IF(OR($C$60=$AR103,$D$60=$AR103),Schweine_Werte!$E103*0.5,IF(OR($C$60&gt;$AR103,$D$60&lt;$AR103),0,Schweine_Werte!$E103))</f>
        <v>0</v>
      </c>
      <c r="BC103" s="795">
        <f>IF(OR($C$12=$AR103,$D$12=$AR103),Schweine_Werte!$G103*0.5,IF(OR($C$12&gt;$AR103,$D$12&lt;$AR103),0,Schweine_Werte!$G103))</f>
        <v>0</v>
      </c>
      <c r="BD103" s="730">
        <f>IF(OR($C$24=$AR103,$D$24=$AR103),Schweine_Werte!$G103*0.5,IF(OR($C$24&gt;$AR103,$D$24&lt;$AR103),0,Schweine_Werte!$G103))</f>
        <v>0</v>
      </c>
      <c r="BE103" s="730">
        <f>IF(OR($C$36=$AR103,$D$36=$AR103),Schweine_Werte!$G103*0.5,IF(OR($C$36&gt;$AR103,$D$36&lt;$AR103),0,Schweine_Werte!$G103))</f>
        <v>0</v>
      </c>
      <c r="BF103" s="730">
        <f>IF(OR($C$48=$AR103,$D$48=$AR103),Schweine_Werte!$G103*0.5,IF(OR($C$48&gt;$AR103,$D$48&lt;$AR103),0,Schweine_Werte!$G103))</f>
        <v>0</v>
      </c>
      <c r="BG103" s="730">
        <f>IF(OR($C$60=$AR103,$D$60=$AR103),Schweine_Werte!$G103*0.5,IF(OR($C$60&gt;$AR103,$D$60&lt;$AR103),0,Schweine_Werte!$G103))</f>
        <v>0</v>
      </c>
      <c r="BH103" s="795">
        <f>IF(OR($C$12=$AR103,$D$12=$AR103),Schweine_Werte!$I103*0.5,IF(OR($C$12&gt;$AR103,$D$12&lt;$AR103),0,Schweine_Werte!$I103))</f>
        <v>0</v>
      </c>
      <c r="BI103" s="730">
        <f>IF(OR($C$24=$AR103,$D$24=$AR103),Schweine_Werte!$I103*0.5,IF(OR($C$24&gt;$AR103,$D$24&lt;$AR103),0,Schweine_Werte!$I103))</f>
        <v>0</v>
      </c>
      <c r="BJ103" s="730">
        <f>IF(OR($C$36=$AR103,$D$36=$AR103),Schweine_Werte!$I103*0.5,IF(OR($C$36&gt;$AR103,$D$36&lt;$AR103),0,Schweine_Werte!$I103))</f>
        <v>0</v>
      </c>
      <c r="BK103" s="730">
        <f>IF(OR($C$48=$AR103,$D$48=$AR103),Schweine_Werte!$I103*0.5,IF(OR($C$48&gt;$AR103,$D$48&lt;$AR103),0,Schweine_Werte!$I103))</f>
        <v>0</v>
      </c>
      <c r="BL103" s="730">
        <f>IF(OR($C$60=$AR103,$D$60=$AR103),Schweine_Werte!$I103*0.5,IF(OR($C$60&gt;$AR103,$D$60&lt;$AR103),0,Schweine_Werte!$I103))</f>
        <v>0</v>
      </c>
      <c r="BM103" s="795"/>
      <c r="BN103" s="730"/>
      <c r="BO103" s="730"/>
      <c r="BP103" s="730"/>
      <c r="BQ103" s="730"/>
      <c r="BR103" s="795">
        <f>IF(OR($C$74=$AR103,$D$74=$AR103),Schweine_Werte!$M103*0.5,IF(OR($C$74&gt;$AR103,$D$74&lt;$AR103),0,Schweine_Werte!$M103))</f>
        <v>0</v>
      </c>
      <c r="BS103" s="795">
        <f>IF(OR($C$83=$AR103,$D$83=$AR103),Schweine_Werte!$M103*0.5,IF(OR($C$83&gt;$AR103,$D$83&lt;$AR103),0,Schweine_Werte!$M103))</f>
        <v>0</v>
      </c>
      <c r="BT103" s="797">
        <f>IF(OR($C$92=$AR103,$D$92=$AR103),Schweine_Werte!$M103*0.5,IF(OR($C$92&gt;$AR103,$D$92&lt;$AR103),0,Schweine_Werte!$M103))</f>
        <v>0</v>
      </c>
      <c r="BU103" s="797">
        <f>IF(OR($C$101=$AR103,$D$101=$AR103),Schweine_Werte!$M103*0.5,IF(OR($C$101&gt;$AR103,$D$101&lt;$AR103),0,Schweine_Werte!$M103))</f>
        <v>0</v>
      </c>
      <c r="BV103" s="797">
        <f>IF(OR($C$110=$AR103,$D$110=$AR103),Schweine_Werte!$M103*0.5,IF(OR($C$110&gt;$AR103,$D$110&lt;$AR103),0,Schweine_Werte!$M103))</f>
        <v>0</v>
      </c>
      <c r="BW103" s="797">
        <f>IF(OR(8=$AR103,$E$127=$AR103),Schweine_Werte!$M103*0.5,IF(OR(8&gt;$AR103,$E$127&lt;$AR103),0,Schweine_Werte!$M103))</f>
        <v>1.3717350969782129</v>
      </c>
      <c r="BX103" s="797">
        <f>IF(OR(8=$AR103,$E$145=$AR103),Schweine_Werte!$M103*0.5,IF(OR(8&gt;$AR103,$E$145&lt;$AR103),0,Schweine_Werte!$M103))</f>
        <v>1.3717350969782129</v>
      </c>
      <c r="BY103" s="795">
        <f>IF(OR($C$74=$AR103,$D$74=$AR103),Schweine_Werte!$O103*0.5,IF(OR($C$74&gt;$AR103,$D$74&lt;$AR103),0,Schweine_Werte!$O103))</f>
        <v>0</v>
      </c>
      <c r="BZ103" s="795">
        <f>IF(OR($C$83=$AR103,$D$83=$AR103),Schweine_Werte!$O103*0.5,IF(OR($C$83&gt;$AR103,$D$83&lt;$AR103),0,Schweine_Werte!$O103))</f>
        <v>0</v>
      </c>
      <c r="CA103" s="797">
        <f>IF(OR($C$92=$AR103,$D$92=$AR103),Schweine_Werte!$O103*0.5,IF(OR($C$92&gt;$AR103,$D$92&lt;$AR103),0,Schweine_Werte!$O103))</f>
        <v>0</v>
      </c>
      <c r="CB103" s="797">
        <f>IF(OR($C$101=$AR103,$D$101=$AR103),Schweine_Werte!$O103*0.5,IF(OR($C$101&gt;$AR103,$D$101&lt;$AR103),0,Schweine_Werte!$O103))</f>
        <v>0</v>
      </c>
      <c r="CC103" s="797">
        <f>IF(OR($C$110=$AR103,$D$110=$AR103),Schweine_Werte!$O103*0.5,IF(OR($C$110&gt;$AR103,$D$110&lt;$AR103),0,Schweine_Werte!$O103))</f>
        <v>0</v>
      </c>
    </row>
    <row r="104" spans="1:81" x14ac:dyDescent="0.25">
      <c r="Q104" s="1620" t="s">
        <v>7781</v>
      </c>
      <c r="R104" s="1620"/>
      <c r="S104" s="1620"/>
      <c r="T104" s="1620" t="s">
        <v>7782</v>
      </c>
      <c r="U104" s="1620"/>
      <c r="V104" s="1620"/>
      <c r="W104" s="1041" t="s">
        <v>7674</v>
      </c>
      <c r="X104" s="1041"/>
      <c r="Y104" s="1041"/>
      <c r="AR104" s="806">
        <v>108</v>
      </c>
      <c r="AS104" s="795">
        <f>IF(OR($C$12=$AR104,$D$12=$AR104),Schweine_Werte!$C104*0.5,IF(OR($C$12&gt;$AR104,$D$12&lt;$AR104),0,Schweine_Werte!$C104))</f>
        <v>0</v>
      </c>
      <c r="AT104" s="730">
        <f>IF(OR($C$24=$AR104,$D$24=$AR104),Schweine_Werte!$C104*0.5,IF(OR($C$24&gt;$AR104,$D$24&lt;$AR104),0,Schweine_Werte!$C104))</f>
        <v>0</v>
      </c>
      <c r="AU104" s="795">
        <f>IF(OR($C$36=$AR104,$D$36=$AR104),Schweine_Werte!$C104*0.5,IF(OR($C$36&gt;$AR104,$D$36&lt;$AR104),0,Schweine_Werte!$C104))</f>
        <v>0</v>
      </c>
      <c r="AV104" s="795">
        <f>IF(OR($C$48=$AR104,$D$48=$AR104),Schweine_Werte!$C104*0.5,IF(OR($C$48&gt;$AR104,$D$48&lt;$AR104),0,Schweine_Werte!$C104))</f>
        <v>0</v>
      </c>
      <c r="AW104" s="795">
        <f>IF(OR($C$60=$AR104,$D$60=$AR104),Schweine_Werte!$C104*0.5,IF(OR($C$60&gt;$AR104,$D$60&lt;$AR104),0,Schweine_Werte!$C104))</f>
        <v>0</v>
      </c>
      <c r="AX104" s="795">
        <f>IF(OR($C$12=$AR104,$D$12=$AR104),Schweine_Werte!$E104*0.5,IF(OR($C$12&gt;$AR104,$D$12&lt;$AR104),0,Schweine_Werte!$E104))</f>
        <v>0</v>
      </c>
      <c r="AY104" s="730">
        <f>IF(OR($C$24=$AR104,$D$24=$AR104),Schweine_Werte!$E104*0.5,IF(OR($C$24&gt;$AR104,$D$24&lt;$AR104),0,Schweine_Werte!$E104))</f>
        <v>0</v>
      </c>
      <c r="AZ104" s="730">
        <f>IF(OR($C$36=$AR104,$D$36=$AR104),Schweine_Werte!$E104*0.5,IF(OR($C$36&gt;$AR104,$D$36&lt;$AR104),0,Schweine_Werte!$E104))</f>
        <v>0</v>
      </c>
      <c r="BA104" s="730">
        <f>IF(OR($C$48=$AR104,$D$48=$AR104),Schweine_Werte!$E104*0.5,IF(OR($C$48&gt;$AR104,$D$48&lt;$AR104),0,Schweine_Werte!$E104))</f>
        <v>0</v>
      </c>
      <c r="BB104" s="730">
        <f>IF(OR($C$60=$AR104,$D$60=$AR104),Schweine_Werte!$E104*0.5,IF(OR($C$60&gt;$AR104,$D$60&lt;$AR104),0,Schweine_Werte!$E104))</f>
        <v>0</v>
      </c>
      <c r="BC104" s="795">
        <f>IF(OR($C$12=$AR104,$D$12=$AR104),Schweine_Werte!$G104*0.5,IF(OR($C$12&gt;$AR104,$D$12&lt;$AR104),0,Schweine_Werte!$G104))</f>
        <v>0</v>
      </c>
      <c r="BD104" s="730">
        <f>IF(OR($C$24=$AR104,$D$24=$AR104),Schweine_Werte!$G104*0.5,IF(OR($C$24&gt;$AR104,$D$24&lt;$AR104),0,Schweine_Werte!$G104))</f>
        <v>0</v>
      </c>
      <c r="BE104" s="730">
        <f>IF(OR($C$36=$AR104,$D$36=$AR104),Schweine_Werte!$G104*0.5,IF(OR($C$36&gt;$AR104,$D$36&lt;$AR104),0,Schweine_Werte!$G104))</f>
        <v>0</v>
      </c>
      <c r="BF104" s="730">
        <f>IF(OR($C$48=$AR104,$D$48=$AR104),Schweine_Werte!$G104*0.5,IF(OR($C$48&gt;$AR104,$D$48&lt;$AR104),0,Schweine_Werte!$G104))</f>
        <v>0</v>
      </c>
      <c r="BG104" s="730">
        <f>IF(OR($C$60=$AR104,$D$60=$AR104),Schweine_Werte!$G104*0.5,IF(OR($C$60&gt;$AR104,$D$60&lt;$AR104),0,Schweine_Werte!$G104))</f>
        <v>0</v>
      </c>
      <c r="BH104" s="795">
        <f>IF(OR($C$12=$AR104,$D$12=$AR104),Schweine_Werte!$I104*0.5,IF(OR($C$12&gt;$AR104,$D$12&lt;$AR104),0,Schweine_Werte!$I104))</f>
        <v>0</v>
      </c>
      <c r="BI104" s="730">
        <f>IF(OR($C$24=$AR104,$D$24=$AR104),Schweine_Werte!$I104*0.5,IF(OR($C$24&gt;$AR104,$D$24&lt;$AR104),0,Schweine_Werte!$I104))</f>
        <v>0</v>
      </c>
      <c r="BJ104" s="730">
        <f>IF(OR($C$36=$AR104,$D$36=$AR104),Schweine_Werte!$I104*0.5,IF(OR($C$36&gt;$AR104,$D$36&lt;$AR104),0,Schweine_Werte!$I104))</f>
        <v>0</v>
      </c>
      <c r="BK104" s="730">
        <f>IF(OR($C$48=$AR104,$D$48=$AR104),Schweine_Werte!$I104*0.5,IF(OR($C$48&gt;$AR104,$D$48&lt;$AR104),0,Schweine_Werte!$I104))</f>
        <v>0</v>
      </c>
      <c r="BL104" s="730">
        <f>IF(OR($C$60=$AR104,$D$60=$AR104),Schweine_Werte!$I104*0.5,IF(OR($C$60&gt;$AR104,$D$60&lt;$AR104),0,Schweine_Werte!$I104))</f>
        <v>0</v>
      </c>
      <c r="BM104" s="795"/>
      <c r="BN104" s="730"/>
      <c r="BO104" s="730"/>
      <c r="BP104" s="730"/>
      <c r="BQ104" s="730"/>
      <c r="BR104" s="795">
        <f>IF(OR($C$74=$AR104,$D$74=$AR104),Schweine_Werte!$M104*0.5,IF(OR($C$74&gt;$AR104,$D$74&lt;$AR104),0,Schweine_Werte!$M104))</f>
        <v>0</v>
      </c>
      <c r="BS104" s="795">
        <f>IF(OR($C$83=$AR104,$D$83=$AR104),Schweine_Werte!$M104*0.5,IF(OR($C$83&gt;$AR104,$D$83&lt;$AR104),0,Schweine_Werte!$M104))</f>
        <v>0</v>
      </c>
      <c r="BT104" s="797">
        <f>IF(OR($C$92=$AR104,$D$92=$AR104),Schweine_Werte!$M104*0.5,IF(OR($C$92&gt;$AR104,$D$92&lt;$AR104),0,Schweine_Werte!$M104))</f>
        <v>0</v>
      </c>
      <c r="BU104" s="797">
        <f>IF(OR($C$101=$AR104,$D$101=$AR104),Schweine_Werte!$M104*0.5,IF(OR($C$101&gt;$AR104,$D$101&lt;$AR104),0,Schweine_Werte!$M104))</f>
        <v>0</v>
      </c>
      <c r="BV104" s="797">
        <f>IF(OR($C$110=$AR104,$D$110=$AR104),Schweine_Werte!$M104*0.5,IF(OR($C$110&gt;$AR104,$D$110&lt;$AR104),0,Schweine_Werte!$M104))</f>
        <v>0</v>
      </c>
      <c r="BW104" s="797">
        <f>IF(OR(8=$AR104,$E$127=$AR104),Schweine_Werte!$M104*0.5,IF(OR(8&gt;$AR104,$E$127&lt;$AR104),0,Schweine_Werte!$M104))</f>
        <v>1.3914289652940333</v>
      </c>
      <c r="BX104" s="797">
        <f>IF(OR(8=$AR104,$E$145=$AR104),Schweine_Werte!$M104*0.5,IF(OR(8&gt;$AR104,$E$145&lt;$AR104),0,Schweine_Werte!$M104))</f>
        <v>1.3914289652940333</v>
      </c>
      <c r="BY104" s="795">
        <f>IF(OR($C$74=$AR104,$D$74=$AR104),Schweine_Werte!$O104*0.5,IF(OR($C$74&gt;$AR104,$D$74&lt;$AR104),0,Schweine_Werte!$O104))</f>
        <v>0</v>
      </c>
      <c r="BZ104" s="795">
        <f>IF(OR($C$83=$AR104,$D$83=$AR104),Schweine_Werte!$O104*0.5,IF(OR($C$83&gt;$AR104,$D$83&lt;$AR104),0,Schweine_Werte!$O104))</f>
        <v>0</v>
      </c>
      <c r="CA104" s="797">
        <f>IF(OR($C$92=$AR104,$D$92=$AR104),Schweine_Werte!$O104*0.5,IF(OR($C$92&gt;$AR104,$D$92&lt;$AR104),0,Schweine_Werte!$O104))</f>
        <v>0</v>
      </c>
      <c r="CB104" s="797">
        <f>IF(OR($C$101=$AR104,$D$101=$AR104),Schweine_Werte!$O104*0.5,IF(OR($C$101&gt;$AR104,$D$101&lt;$AR104),0,Schweine_Werte!$O104))</f>
        <v>0</v>
      </c>
      <c r="CC104" s="797">
        <f>IF(OR($C$110=$AR104,$D$110=$AR104),Schweine_Werte!$O104*0.5,IF(OR($C$110&gt;$AR104,$D$110&lt;$AR104),0,Schweine_Werte!$O104))</f>
        <v>0</v>
      </c>
    </row>
    <row r="105" spans="1:81" x14ac:dyDescent="0.25">
      <c r="B105" t="s">
        <v>7724</v>
      </c>
      <c r="E105" t="s">
        <v>7700</v>
      </c>
      <c r="F105" t="s">
        <v>196</v>
      </c>
      <c r="G105" t="s">
        <v>7701</v>
      </c>
      <c r="H105" t="s">
        <v>7702</v>
      </c>
      <c r="I105" t="s">
        <v>7703</v>
      </c>
      <c r="J105" t="s">
        <v>596</v>
      </c>
      <c r="K105" t="s">
        <v>7704</v>
      </c>
      <c r="L105" t="s">
        <v>7705</v>
      </c>
      <c r="M105" t="s">
        <v>7706</v>
      </c>
      <c r="N105" t="s">
        <v>7707</v>
      </c>
      <c r="O105" t="s">
        <v>7708</v>
      </c>
      <c r="P105" t="s">
        <v>7709</v>
      </c>
      <c r="Q105" t="s">
        <v>39</v>
      </c>
      <c r="R105" t="s">
        <v>40</v>
      </c>
      <c r="S105" t="s">
        <v>41</v>
      </c>
      <c r="T105" t="s">
        <v>39</v>
      </c>
      <c r="U105" t="s">
        <v>40</v>
      </c>
      <c r="V105" t="s">
        <v>41</v>
      </c>
      <c r="W105" t="s">
        <v>7687</v>
      </c>
      <c r="X105" t="s">
        <v>7688</v>
      </c>
      <c r="Y105" t="s">
        <v>7689</v>
      </c>
      <c r="AR105" s="806">
        <v>109</v>
      </c>
      <c r="AS105" s="795">
        <f>IF(OR($C$12=$AR105,$D$12=$AR105),Schweine_Werte!$C105*0.5,IF(OR($C$12&gt;$AR105,$D$12&lt;$AR105),0,Schweine_Werte!$C105))</f>
        <v>0</v>
      </c>
      <c r="AT105" s="730">
        <f>IF(OR($C$24=$AR105,$D$24=$AR105),Schweine_Werte!$C105*0.5,IF(OR($C$24&gt;$AR105,$D$24&lt;$AR105),0,Schweine_Werte!$C105))</f>
        <v>0</v>
      </c>
      <c r="AU105" s="795">
        <f>IF(OR($C$36=$AR105,$D$36=$AR105),Schweine_Werte!$C105*0.5,IF(OR($C$36&gt;$AR105,$D$36&lt;$AR105),0,Schweine_Werte!$C105))</f>
        <v>0</v>
      </c>
      <c r="AV105" s="795">
        <f>IF(OR($C$48=$AR105,$D$48=$AR105),Schweine_Werte!$C105*0.5,IF(OR($C$48&gt;$AR105,$D$48&lt;$AR105),0,Schweine_Werte!$C105))</f>
        <v>0</v>
      </c>
      <c r="AW105" s="795">
        <f>IF(OR($C$60=$AR105,$D$60=$AR105),Schweine_Werte!$C105*0.5,IF(OR($C$60&gt;$AR105,$D$60&lt;$AR105),0,Schweine_Werte!$C105))</f>
        <v>0</v>
      </c>
      <c r="AX105" s="795">
        <f>IF(OR($C$12=$AR105,$D$12=$AR105),Schweine_Werte!$E105*0.5,IF(OR($C$12&gt;$AR105,$D$12&lt;$AR105),0,Schweine_Werte!$E105))</f>
        <v>0</v>
      </c>
      <c r="AY105" s="730">
        <f>IF(OR($C$24=$AR105,$D$24=$AR105),Schweine_Werte!$E105*0.5,IF(OR($C$24&gt;$AR105,$D$24&lt;$AR105),0,Schweine_Werte!$E105))</f>
        <v>0</v>
      </c>
      <c r="AZ105" s="730">
        <f>IF(OR($C$36=$AR105,$D$36=$AR105),Schweine_Werte!$E105*0.5,IF(OR($C$36&gt;$AR105,$D$36&lt;$AR105),0,Schweine_Werte!$E105))</f>
        <v>0</v>
      </c>
      <c r="BA105" s="730">
        <f>IF(OR($C$48=$AR105,$D$48=$AR105),Schweine_Werte!$E105*0.5,IF(OR($C$48&gt;$AR105,$D$48&lt;$AR105),0,Schweine_Werte!$E105))</f>
        <v>0</v>
      </c>
      <c r="BB105" s="730">
        <f>IF(OR($C$60=$AR105,$D$60=$AR105),Schweine_Werte!$E105*0.5,IF(OR($C$60&gt;$AR105,$D$60&lt;$AR105),0,Schweine_Werte!$E105))</f>
        <v>0</v>
      </c>
      <c r="BC105" s="795">
        <f>IF(OR($C$12=$AR105,$D$12=$AR105),Schweine_Werte!$G105*0.5,IF(OR($C$12&gt;$AR105,$D$12&lt;$AR105),0,Schweine_Werte!$G105))</f>
        <v>0</v>
      </c>
      <c r="BD105" s="730">
        <f>IF(OR($C$24=$AR105,$D$24=$AR105),Schweine_Werte!$G105*0.5,IF(OR($C$24&gt;$AR105,$D$24&lt;$AR105),0,Schweine_Werte!$G105))</f>
        <v>0</v>
      </c>
      <c r="BE105" s="730">
        <f>IF(OR($C$36=$AR105,$D$36=$AR105),Schweine_Werte!$G105*0.5,IF(OR($C$36&gt;$AR105,$D$36&lt;$AR105),0,Schweine_Werte!$G105))</f>
        <v>0</v>
      </c>
      <c r="BF105" s="730">
        <f>IF(OR($C$48=$AR105,$D$48=$AR105),Schweine_Werte!$G105*0.5,IF(OR($C$48&gt;$AR105,$D$48&lt;$AR105),0,Schweine_Werte!$G105))</f>
        <v>0</v>
      </c>
      <c r="BG105" s="730">
        <f>IF(OR($C$60=$AR105,$D$60=$AR105),Schweine_Werte!$G105*0.5,IF(OR($C$60&gt;$AR105,$D$60&lt;$AR105),0,Schweine_Werte!$G105))</f>
        <v>0</v>
      </c>
      <c r="BH105" s="795">
        <f>IF(OR($C$12=$AR105,$D$12=$AR105),Schweine_Werte!$I105*0.5,IF(OR($C$12&gt;$AR105,$D$12&lt;$AR105),0,Schweine_Werte!$I105))</f>
        <v>0</v>
      </c>
      <c r="BI105" s="730">
        <f>IF(OR($C$24=$AR105,$D$24=$AR105),Schweine_Werte!$I105*0.5,IF(OR($C$24&gt;$AR105,$D$24&lt;$AR105),0,Schweine_Werte!$I105))</f>
        <v>0</v>
      </c>
      <c r="BJ105" s="730">
        <f>IF(OR($C$36=$AR105,$D$36=$AR105),Schweine_Werte!$I105*0.5,IF(OR($C$36&gt;$AR105,$D$36&lt;$AR105),0,Schweine_Werte!$I105))</f>
        <v>0</v>
      </c>
      <c r="BK105" s="730">
        <f>IF(OR($C$48=$AR105,$D$48=$AR105),Schweine_Werte!$I105*0.5,IF(OR($C$48&gt;$AR105,$D$48&lt;$AR105),0,Schweine_Werte!$I105))</f>
        <v>0</v>
      </c>
      <c r="BL105" s="730">
        <f>IF(OR($C$60=$AR105,$D$60=$AR105),Schweine_Werte!$I105*0.5,IF(OR($C$60&gt;$AR105,$D$60&lt;$AR105),0,Schweine_Werte!$I105))</f>
        <v>0</v>
      </c>
      <c r="BM105" s="795"/>
      <c r="BN105" s="730"/>
      <c r="BO105" s="730"/>
      <c r="BP105" s="730"/>
      <c r="BQ105" s="730"/>
      <c r="BR105" s="795">
        <f>IF(OR($C$74=$AR105,$D$74=$AR105),Schweine_Werte!$M105*0.5,IF(OR($C$74&gt;$AR105,$D$74&lt;$AR105),0,Schweine_Werte!$M105))</f>
        <v>0</v>
      </c>
      <c r="BS105" s="795">
        <f>IF(OR($C$83=$AR105,$D$83=$AR105),Schweine_Werte!$M105*0.5,IF(OR($C$83&gt;$AR105,$D$83&lt;$AR105),0,Schweine_Werte!$M105))</f>
        <v>0</v>
      </c>
      <c r="BT105" s="797">
        <f>IF(OR($C$92=$AR105,$D$92=$AR105),Schweine_Werte!$M105*0.5,IF(OR($C$92&gt;$AR105,$D$92&lt;$AR105),0,Schweine_Werte!$M105))</f>
        <v>0</v>
      </c>
      <c r="BU105" s="797">
        <f>IF(OR($C$101=$AR105,$D$101=$AR105),Schweine_Werte!$M105*0.5,IF(OR($C$101&gt;$AR105,$D$101&lt;$AR105),0,Schweine_Werte!$M105))</f>
        <v>0</v>
      </c>
      <c r="BV105" s="797">
        <f>IF(OR($C$110=$AR105,$D$110=$AR105),Schweine_Werte!$M105*0.5,IF(OR($C$110&gt;$AR105,$D$110&lt;$AR105),0,Schweine_Werte!$M105))</f>
        <v>0</v>
      </c>
      <c r="BW105" s="797">
        <f>IF(OR(8=$AR105,$E$127=$AR105),Schweine_Werte!$M105*0.5,IF(OR(8&gt;$AR105,$E$127&lt;$AR105),0,Schweine_Werte!$M105))</f>
        <v>1.4122739315207109</v>
      </c>
      <c r="BX105" s="797">
        <f>IF(OR(8=$AR105,$E$145=$AR105),Schweine_Werte!$M105*0.5,IF(OR(8&gt;$AR105,$E$145&lt;$AR105),0,Schweine_Werte!$M105))</f>
        <v>1.4122739315207109</v>
      </c>
      <c r="BY105" s="795">
        <f>IF(OR($C$74=$AR105,$D$74=$AR105),Schweine_Werte!$O105*0.5,IF(OR($C$74&gt;$AR105,$D$74&lt;$AR105),0,Schweine_Werte!$O105))</f>
        <v>0</v>
      </c>
      <c r="BZ105" s="795">
        <f>IF(OR($C$83=$AR105,$D$83=$AR105),Schweine_Werte!$O105*0.5,IF(OR($C$83&gt;$AR105,$D$83&lt;$AR105),0,Schweine_Werte!$O105))</f>
        <v>0</v>
      </c>
      <c r="CA105" s="797">
        <f>IF(OR($C$92=$AR105,$D$92=$AR105),Schweine_Werte!$O105*0.5,IF(OR($C$92&gt;$AR105,$D$92&lt;$AR105),0,Schweine_Werte!$O105))</f>
        <v>0</v>
      </c>
      <c r="CB105" s="797">
        <f>IF(OR($C$101=$AR105,$D$101=$AR105),Schweine_Werte!$O105*0.5,IF(OR($C$101&gt;$AR105,$D$101&lt;$AR105),0,Schweine_Werte!$O105))</f>
        <v>0</v>
      </c>
      <c r="CC105" s="797">
        <f>IF(OR($C$110=$AR105,$D$110=$AR105),Schweine_Werte!$O105*0.5,IF(OR($C$110&gt;$AR105,$D$110&lt;$AR105),0,Schweine_Werte!$O105))</f>
        <v>0</v>
      </c>
    </row>
    <row r="106" spans="1:81" x14ac:dyDescent="0.25">
      <c r="B106">
        <v>450</v>
      </c>
      <c r="D106" s="730"/>
      <c r="E106" t="e">
        <f>($D110-$C110)*1000/SUM($BV$4:$BV$31)</f>
        <v>#VALUE!</v>
      </c>
      <c r="F106" s="730" t="e">
        <f>SUMPRODUCT($BV$4:$BV$31,Schweine_Werte!$V$4:$V$31)/SUM($BV$4:$BV$31)</f>
        <v>#DIV/0!</v>
      </c>
      <c r="G106" s="730" t="e">
        <f>IF($B110=$A$8,SUMPRODUCT($BV$4:$BV$31,Schweine_Werte!HE$4:HE$31)/SUM($BV$4:$BV$31),IF($B110=$A$7,SUMPRODUCT($BV$4:$BV$31,Schweine_Werte!GQ$4:GQ$31)/SUM($BV$4:$BV$31),IF($B110=$A$6,SUMPRODUCT($BV$4:$BV$31,Schweine_Werte!GC$4:GC$31)/SUM($BV$4:$BV$31),SUMPRODUCT($BV$4:$BV$31,Schweine_Werte!FO$4:FO$31)/SUM($BV$4:$BV$31))))</f>
        <v>#DIV/0!</v>
      </c>
      <c r="H106" s="730" t="e">
        <f>IF($B110=$A$8,SUMPRODUCT($BV$4:$BV$31,Schweine_Werte!HF$4:HF$31)/SUM($BV$4:$BV$31),IF($B110=$A$7,SUMPRODUCT($BV$4:$BV$31,Schweine_Werte!GR$4:GR$31)/SUM($BV$4:$BV$31),IF($B110=$A$6,SUMPRODUCT($BV$4:$BV$31,Schweine_Werte!GD$4:GD$31)/SUM($BV$4:$BV$31),SUMPRODUCT($BV$4:$BV$31,Schweine_Werte!FP$4:FP$31)/SUM($BV$4:$BV$31))))</f>
        <v>#DIV/0!</v>
      </c>
      <c r="I106" s="730" t="e">
        <f>IF($B110=$A$8,SUMPRODUCT($BV$4:$BV$31,Schweine_Werte!HG$4:HG$31)/SUM($BV$4:$BV$31),IF($B110=$A$7,SUMPRODUCT($BV$4:$BV$31,Schweine_Werte!GS$4:GS$31)/SUM($BV$4:$BV$31),IF($B110=$A$6,SUMPRODUCT($BV$4:$BV$31,Schweine_Werte!GE$4:GE$31)/SUM($BV$4:$BV$31),SUMPRODUCT($BV$4:$BV$31,Schweine_Werte!FQ$4:FQ$31)/SUM($BV$4:$BV$31))))</f>
        <v>#DIV/0!</v>
      </c>
      <c r="J106" s="730" t="e">
        <f>SUMPRODUCT($BV$4:$BV$31,Schweine_Werte!$AD$4:$AD$31)/SUM($BV$4:$BV$31)</f>
        <v>#DIV/0!</v>
      </c>
      <c r="K106" s="730" t="e">
        <f>SUMPRODUCT($BV$4:$BV$31,Schweine_Werte!$AL$4:$AL$31)/SUM($BV$4:$BV$31)</f>
        <v>#DIV/0!</v>
      </c>
      <c r="L106" s="730" t="e">
        <f>T106*$F106*365/1000+$J106-$K106</f>
        <v>#DIV/0!</v>
      </c>
      <c r="M106" s="730" t="e">
        <f>U106*$F106*365/1000+$J106-$K106/2</f>
        <v>#DIV/0!</v>
      </c>
      <c r="N106" s="730" t="e">
        <f>V106*$F106*365/1000+$J106</f>
        <v>#DIV/0!</v>
      </c>
      <c r="O106" s="730">
        <f>IF($C110&lt;28,SUM($BV$4:$BV$23)+IF($D110&gt;28,$BV$24*0.5,$BV$24),0)</f>
        <v>0</v>
      </c>
      <c r="P106" s="730">
        <f>IF($D110&gt;28,SUM($BV$25:$BV$31)+IF($C110&lt;28,$BV$24*0.5,$BV$24),0)</f>
        <v>0</v>
      </c>
      <c r="Q106" s="730" t="e">
        <f t="shared" ref="Q106:S107" si="52">+T106*$F106</f>
        <v>#DIV/0!</v>
      </c>
      <c r="R106" s="730" t="e">
        <f t="shared" si="52"/>
        <v>#DIV/0!</v>
      </c>
      <c r="S106" s="730" t="e">
        <f t="shared" si="52"/>
        <v>#DIV/0!</v>
      </c>
      <c r="T106" s="730" t="e">
        <f>+($O106*Schweine_Werte!$HT$15+$P106*Schweine_Werte!$HU$15)/SUM($O106:$P106)</f>
        <v>#DIV/0!</v>
      </c>
      <c r="U106" s="730" t="e">
        <f>+($O106*Schweine_Werte!$HV$15+$P106*Schweine_Werte!$HW$15)/SUM($O106:$P106)</f>
        <v>#DIV/0!</v>
      </c>
      <c r="V106" s="730" t="e">
        <f>+($O106*Schweine_Werte!$HX$15+$P106*Schweine_Werte!$HY$15)/SUM($O106:$P106)</f>
        <v>#DIV/0!</v>
      </c>
      <c r="W106" s="785" t="e">
        <f>($J106*0.055+T106*0.365*0.86*$F106-$K106*0.018)/L106*100</f>
        <v>#DIV/0!</v>
      </c>
      <c r="X106" s="785" t="e">
        <f>($J106*0.055+U106*0.365*0.86*$F106-$K106*0.018/2)/M106*100</f>
        <v>#DIV/0!</v>
      </c>
      <c r="Y106" s="730" t="e">
        <f>($J106*0.055+V106*0.365*0.86*$F106)/N106*100</f>
        <v>#DIV/0!</v>
      </c>
      <c r="Z106" s="730" t="e">
        <f>IF($B110=$A$8,SUMPRODUCT($BV$4:$BV$31,Schweine_Werte!$HH$4:$HH$31,Schweine_Werte!$HI$4:$HI$31)/SUMPRODUCT($BV$4:$BV$31,Schweine_Werte!$HH$4:$HH$31),IF($B110=$A$7,SUMPRODUCT($BV$4:$BV$31,Schweine_Werte!$GT$4:$GT$31,Schweine_Werte!$GU$4:$GU$31)/SUMPRODUCT($BV$4:$BV$31,Schweine_Werte!$GT$4:$GT$31),IF($B110=$A$6,SUMPRODUCT($BV$4:$BV$31,Schweine_Werte!$GF$4:$GF$31,Schweine_Werte!$GG$4:$GG$31)/SUMPRODUCT($BV$4:$BV$31,Schweine_Werte!$GF$4:$GF$31),SUMPRODUCT($BV$4:$BV$31,Schweine_Werte!$FR$4:$FR$31,Schweine_Werte!$FS$4:$FS$31)/SUMPRODUCT($BV$4:$BV$31,Schweine_Werte!$FR$4:$FR$31))))</f>
        <v>#DIV/0!</v>
      </c>
      <c r="AA106" s="730"/>
      <c r="AB106" s="730">
        <f>IF($B110=$A$8,SUMIF(Schweine_Werte!$AO$4:$AO$31,$C110,Schweine_Werte!$HI$4:$HI$31),IF($B110=$A$7,SUMIF(Schweine_Werte!$AO$4:$AO$31,$C110,Schweine_Werte!$GU$4:$GU$31),IF($B110=$A$6,SUMIF(Schweine_Werte!$AO$4:$AO$31,$C110,Schweine_Werte!$GG$4:$GG$31),SUMIF(Schweine_Werte!$AO$4:$AO$31,$C110,Schweine_Werte!$FS$4:$FS$31))))</f>
        <v>0</v>
      </c>
      <c r="AC106" s="730"/>
      <c r="AD106" s="730">
        <f>IF($B110=$A$8,SUMIF(Schweine_Werte!$AO$4:$AO$31,$D110,Schweine_Werte!$HI$4:$HI$31),IF($B110=$A$7,SUMIF(Schweine_Werte!$AO$4:$AO$31,$D110,Schweine_Werte!$GU$4:$GU$31),IF($B110=$A$6,SUMIF(Schweine_Werte!$AO$4:$AO$31,$D110,Schweine_Werte!$GG$4:$GG$31),SUMIF(Schweine_Werte!$AO$4:$AO$31,$D110,Schweine_Werte!$FS$4:$FS$31))))</f>
        <v>0</v>
      </c>
      <c r="AE106" s="730"/>
      <c r="AF106" s="730"/>
      <c r="AG106" s="730" t="e">
        <f>IF($B110=$A$8,SUMPRODUCT($BV$4:$BV$31,Schweine_Werte!$HH$4:$HH$31)/SUM($BV$4:$BV$31),IF($B110=$A$7,SUMPRODUCT($BV$4:$BV$31,Schweine_Werte!$GT$4:$GT$31)/SUM($BV$4:$BV$31),IF($B110=$A$6,SUMPRODUCT($BV$4:$BV$31,Schweine_Werte!$GF$4:$GF$31)/SUM($BV$4:$BV$31),SUMPRODUCT($BV$4:$BV$31,Schweine_Werte!$FR$4:$FR$31)/SUM($BV$4:$BV$31))))</f>
        <v>#DIV/0!</v>
      </c>
      <c r="AH106" s="730"/>
      <c r="AI106" s="730"/>
      <c r="AJ106" s="730" t="e">
        <f>IF($B110=$A$8,SUMPRODUCT($BV$4:$BV$31,Schweine_Werte!$HH$4:$HH$31,Schweine_Werte!$HJ$4:$HJ$31)/SUMPRODUCT($BV$4:$BV$31,Schweine_Werte!$HH$4:$HH$31),IF($B110=$A$7,SUMPRODUCT($BV$4:$BV$31,Schweine_Werte!$GT$4:$GT$31,Schweine_Werte!$GV$4:$GV$31)/SUMPRODUCT($BV$4:$BV$31,Schweine_Werte!$GT$4:$GT$31),IF($B110=$A$6,SUMPRODUCT($BV$4:$BV$31,Schweine_Werte!$GF$4:$GF$31,Schweine_Werte!$GH$4:$GH$31)/SUMPRODUCT($BV$4:$BV$31,Schweine_Werte!$GF$4:$GF$31),SUMPRODUCT($BV$4:$BV$31,Schweine_Werte!$FR$4:$FR$31,Schweine_Werte!$FT$4:$FT$31)/SUMPRODUCT($BV$4:$BV$31,Schweine_Werte!$FR$4:$FR$31))))</f>
        <v>#DIV/0!</v>
      </c>
      <c r="AK106" s="730"/>
      <c r="AL106" s="730">
        <f>IF($B110=$A$8,SUMIF(Schweine_Werte!$AO$4:$AO$31,$C110,Schweine_Werte!$HJ$4:$HJ$31),IF($B110=$A$7,SUMIF(Schweine_Werte!$AO$4:$AO$31,$C110,Schweine_Werte!$GV$4:$GV$31),IF($B110=$A$6,SUMIF(Schweine_Werte!$AO$4:$AO$31,$C110,Schweine_Werte!$GH$4:$GH$31),SUMIF(Schweine_Werte!$AO$4:$AO$31,$C110,Schweine_Werte!$FT$4:$FT$31))))</f>
        <v>0</v>
      </c>
      <c r="AM106" s="730"/>
      <c r="AN106" s="730">
        <f>IF($B110=$A$8,SUMIF(Schweine_Werte!$AO$4:$AO$31,$D110,Schweine_Werte!$HJ$4:$HJ$31),IF($B110=$A$7,SUMIF(Schweine_Werte!$AO$4:$AO$31,$D110,Schweine_Werte!$GV$4:$GV$31),IF($B110=$A$6,SUMIF(Schweine_Werte!$AO$4:$AO$31,$D110,Schweine_Werte!$GH$4:$GH$31),SUMIF(Schweine_Werte!$AO$4:$AO$31,$D110,Schweine_Werte!$FT$4:$FT$31))))</f>
        <v>0</v>
      </c>
      <c r="AR106" s="806">
        <v>110</v>
      </c>
      <c r="AS106" s="795">
        <f>IF(OR($C$12=$AR106,$D$12=$AR106),Schweine_Werte!$C106*0.5,IF(OR($C$12&gt;$AR106,$D$12&lt;$AR106),0,Schweine_Werte!$C106))</f>
        <v>0</v>
      </c>
      <c r="AT106" s="730">
        <f>IF(OR($C$24=$AR106,$D$24=$AR106),Schweine_Werte!$C106*0.5,IF(OR($C$24&gt;$AR106,$D$24&lt;$AR106),0,Schweine_Werte!$C106))</f>
        <v>0</v>
      </c>
      <c r="AU106" s="795">
        <f>IF(OR($C$36=$AR106,$D$36=$AR106),Schweine_Werte!$C106*0.5,IF(OR($C$36&gt;$AR106,$D$36&lt;$AR106),0,Schweine_Werte!$C106))</f>
        <v>0</v>
      </c>
      <c r="AV106" s="795">
        <f>IF(OR($C$48=$AR106,$D$48=$AR106),Schweine_Werte!$C106*0.5,IF(OR($C$48&gt;$AR106,$D$48&lt;$AR106),0,Schweine_Werte!$C106))</f>
        <v>0</v>
      </c>
      <c r="AW106" s="795">
        <f>IF(OR($C$60=$AR106,$D$60=$AR106),Schweine_Werte!$C106*0.5,IF(OR($C$60&gt;$AR106,$D$60&lt;$AR106),0,Schweine_Werte!$C106))</f>
        <v>0</v>
      </c>
      <c r="AX106" s="795">
        <f>IF(OR($C$12=$AR106,$D$12=$AR106),Schweine_Werte!$E106*0.5,IF(OR($C$12&gt;$AR106,$D$12&lt;$AR106),0,Schweine_Werte!$E106))</f>
        <v>0</v>
      </c>
      <c r="AY106" s="730">
        <f>IF(OR($C$24=$AR106,$D$24=$AR106),Schweine_Werte!$E106*0.5,IF(OR($C$24&gt;$AR106,$D$24&lt;$AR106),0,Schweine_Werte!$E106))</f>
        <v>0</v>
      </c>
      <c r="AZ106" s="730">
        <f>IF(OR($C$36=$AR106,$D$36=$AR106),Schweine_Werte!$E106*0.5,IF(OR($C$36&gt;$AR106,$D$36&lt;$AR106),0,Schweine_Werte!$E106))</f>
        <v>0</v>
      </c>
      <c r="BA106" s="730">
        <f>IF(OR($C$48=$AR106,$D$48=$AR106),Schweine_Werte!$E106*0.5,IF(OR($C$48&gt;$AR106,$D$48&lt;$AR106),0,Schweine_Werte!$E106))</f>
        <v>0</v>
      </c>
      <c r="BB106" s="730">
        <f>IF(OR($C$60=$AR106,$D$60=$AR106),Schweine_Werte!$E106*0.5,IF(OR($C$60&gt;$AR106,$D$60&lt;$AR106),0,Schweine_Werte!$E106))</f>
        <v>0</v>
      </c>
      <c r="BC106" s="795">
        <f>IF(OR($C$12=$AR106,$D$12=$AR106),Schweine_Werte!$G106*0.5,IF(OR($C$12&gt;$AR106,$D$12&lt;$AR106),0,Schweine_Werte!$G106))</f>
        <v>0</v>
      </c>
      <c r="BD106" s="730">
        <f>IF(OR($C$24=$AR106,$D$24=$AR106),Schweine_Werte!$G106*0.5,IF(OR($C$24&gt;$AR106,$D$24&lt;$AR106),0,Schweine_Werte!$G106))</f>
        <v>0</v>
      </c>
      <c r="BE106" s="730">
        <f>IF(OR($C$36=$AR106,$D$36=$AR106),Schweine_Werte!$G106*0.5,IF(OR($C$36&gt;$AR106,$D$36&lt;$AR106),0,Schweine_Werte!$G106))</f>
        <v>0</v>
      </c>
      <c r="BF106" s="730">
        <f>IF(OR($C$48=$AR106,$D$48=$AR106),Schweine_Werte!$G106*0.5,IF(OR($C$48&gt;$AR106,$D$48&lt;$AR106),0,Schweine_Werte!$G106))</f>
        <v>0</v>
      </c>
      <c r="BG106" s="730">
        <f>IF(OR($C$60=$AR106,$D$60=$AR106),Schweine_Werte!$G106*0.5,IF(OR($C$60&gt;$AR106,$D$60&lt;$AR106),0,Schweine_Werte!$G106))</f>
        <v>0</v>
      </c>
      <c r="BH106" s="795">
        <f>IF(OR($C$12=$AR106,$D$12=$AR106),Schweine_Werte!$I106*0.5,IF(OR($C$12&gt;$AR106,$D$12&lt;$AR106),0,Schweine_Werte!$I106))</f>
        <v>0</v>
      </c>
      <c r="BI106" s="730">
        <f>IF(OR($C$24=$AR106,$D$24=$AR106),Schweine_Werte!$I106*0.5,IF(OR($C$24&gt;$AR106,$D$24&lt;$AR106),0,Schweine_Werte!$I106))</f>
        <v>0</v>
      </c>
      <c r="BJ106" s="730">
        <f>IF(OR($C$36=$AR106,$D$36=$AR106),Schweine_Werte!$I106*0.5,IF(OR($C$36&gt;$AR106,$D$36&lt;$AR106),0,Schweine_Werte!$I106))</f>
        <v>0</v>
      </c>
      <c r="BK106" s="730">
        <f>IF(OR($C$48=$AR106,$D$48=$AR106),Schweine_Werte!$I106*0.5,IF(OR($C$48&gt;$AR106,$D$48&lt;$AR106),0,Schweine_Werte!$I106))</f>
        <v>0</v>
      </c>
      <c r="BL106" s="730">
        <f>IF(OR($C$60=$AR106,$D$60=$AR106),Schweine_Werte!$I106*0.5,IF(OR($C$60&gt;$AR106,$D$60&lt;$AR106),0,Schweine_Werte!$I106))</f>
        <v>0</v>
      </c>
      <c r="BM106" s="795"/>
      <c r="BN106" s="730"/>
      <c r="BO106" s="730"/>
      <c r="BP106" s="730"/>
      <c r="BQ106" s="730"/>
      <c r="BR106" s="795">
        <f>IF(OR($C$74=$AR106,$D$74=$AR106),Schweine_Werte!$M106*0.5,IF(OR($C$74&gt;$AR106,$D$74&lt;$AR106),0,Schweine_Werte!$M106))</f>
        <v>0</v>
      </c>
      <c r="BS106" s="795">
        <f>IF(OR($C$83=$AR106,$D$83=$AR106),Schweine_Werte!$M106*0.5,IF(OR($C$83&gt;$AR106,$D$83&lt;$AR106),0,Schweine_Werte!$M106))</f>
        <v>0</v>
      </c>
      <c r="BT106" s="797">
        <f>IF(OR($C$92=$AR106,$D$92=$AR106),Schweine_Werte!$M106*0.5,IF(OR($C$92&gt;$AR106,$D$92&lt;$AR106),0,Schweine_Werte!$M106))</f>
        <v>0</v>
      </c>
      <c r="BU106" s="797">
        <f>IF(OR($C$101=$AR106,$D$101=$AR106),Schweine_Werte!$M106*0.5,IF(OR($C$101&gt;$AR106,$D$101&lt;$AR106),0,Schweine_Werte!$M106))</f>
        <v>0</v>
      </c>
      <c r="BV106" s="797">
        <f>IF(OR($C$110=$AR106,$D$110=$AR106),Schweine_Werte!$M106*0.5,IF(OR($C$110&gt;$AR106,$D$110&lt;$AR106),0,Schweine_Werte!$M106))</f>
        <v>0</v>
      </c>
      <c r="BW106" s="797">
        <f>IF(OR(8=$AR106,$E$127=$AR106),Schweine_Werte!$M106*0.5,IF(OR(8&gt;$AR106,$E$127&lt;$AR106),0,Schweine_Werte!$M106))</f>
        <v>1.4343476543437557</v>
      </c>
      <c r="BX106" s="797">
        <f>IF(OR(8=$AR106,$E$145=$AR106),Schweine_Werte!$M106*0.5,IF(OR(8&gt;$AR106,$E$145&lt;$AR106),0,Schweine_Werte!$M106))</f>
        <v>1.4343476543437557</v>
      </c>
      <c r="BY106" s="795">
        <f>IF(OR($C$74=$AR106,$D$74=$AR106),Schweine_Werte!$O106*0.5,IF(OR($C$74&gt;$AR106,$D$74&lt;$AR106),0,Schweine_Werte!$O106))</f>
        <v>0</v>
      </c>
      <c r="BZ106" s="795">
        <f>IF(OR($C$83=$AR106,$D$83=$AR106),Schweine_Werte!$O106*0.5,IF(OR($C$83&gt;$AR106,$D$83&lt;$AR106),0,Schweine_Werte!$O106))</f>
        <v>0</v>
      </c>
      <c r="CA106" s="797">
        <f>IF(OR($C$92=$AR106,$D$92=$AR106),Schweine_Werte!$O106*0.5,IF(OR($C$92&gt;$AR106,$D$92&lt;$AR106),0,Schweine_Werte!$O106))</f>
        <v>0</v>
      </c>
      <c r="CB106" s="797">
        <f>IF(OR($C$101=$AR106,$D$101=$AR106),Schweine_Werte!$O106*0.5,IF(OR($C$101&gt;$AR106,$D$101&lt;$AR106),0,Schweine_Werte!$O106))</f>
        <v>0</v>
      </c>
      <c r="CC106" s="797">
        <f>IF(OR($C$110=$AR106,$D$110=$AR106),Schweine_Werte!$O106*0.5,IF(OR($C$110&gt;$AR106,$D$110&lt;$AR106),0,Schweine_Werte!$O106))</f>
        <v>0</v>
      </c>
    </row>
    <row r="107" spans="1:81" x14ac:dyDescent="0.25">
      <c r="B107">
        <v>500</v>
      </c>
      <c r="D107" s="730"/>
      <c r="E107" t="e">
        <f>($D110-$C110)*1000/SUM($CC$4:$CC$31)</f>
        <v>#VALUE!</v>
      </c>
      <c r="F107" s="730" t="e">
        <f>SUMPRODUCT($CC$4:$CC$31,Schweine_Werte!$W$4:$W$31)/SUM($CC$4:$CC$31)</f>
        <v>#DIV/0!</v>
      </c>
      <c r="G107" s="730" t="e">
        <f>IF($B110=$A$8,SUMPRODUCT($CC$4:$CC$31,Schweine_Werte!HK$4:HK$31)/SUM($CC$4:$CC$31),IF($B110=$A$7,SUMPRODUCT($CC$4:$CC$31,Schweine_Werte!GW$4:GW$31)/SUM($CC$4:$CC$31),IF($B110=$A$6,SUMPRODUCT($CC$4:$CC$31,Schweine_Werte!GI$4:GI$31)/SUM($CC$4:$CC$31),SUMPRODUCT($CC$4:$CC$31,Schweine_Werte!FU$4:FU$31)/SUM($CC$4:$CC$31))))</f>
        <v>#DIV/0!</v>
      </c>
      <c r="H107" s="730" t="e">
        <f>IF($B110=$A$8,SUMPRODUCT($CC$4:$CC$31,Schweine_Werte!HL$4:HL$31)/SUM($CC$4:$CC$31),IF($B110=$A$7,SUMPRODUCT($CC$4:$CC$31,Schweine_Werte!GX$4:GX$31)/SUM($CC$4:$CC$31),IF($B110=$A$6,SUMPRODUCT($CC$4:$CC$31,Schweine_Werte!GJ$4:GJ$31)/SUM($CC$4:$CC$31),SUMPRODUCT($CC$4:$CC$31,Schweine_Werte!FV$4:FV$31)/SUM($CC$4:$CC$31))))</f>
        <v>#DIV/0!</v>
      </c>
      <c r="I107" s="730" t="e">
        <f>IF($B110=$A$8,SUMPRODUCT($CC$4:$CC$31,Schweine_Werte!HM$4:HM$31)/SUM($CC$4:$CC$31),IF($B110=$A$7,SUMPRODUCT($CC$4:$CC$31,Schweine_Werte!GY$4:GY$31)/SUM($CC$4:$CC$31),IF($B110=$A$6,SUMPRODUCT($CC$4:$CC$31,Schweine_Werte!GK$4:GK$31)/SUM($CC$4:$CC$31),SUMPRODUCT($CC$4:$CC$31,Schweine_Werte!FW$4:FW$31)/SUM($CC$4:$CC$31))))</f>
        <v>#DIV/0!</v>
      </c>
      <c r="J107" s="730" t="e">
        <f>SUMPRODUCT($CC$4:$CC$31,Schweine_Werte!$AE$4:$AE$31)/SUM($CC$4:$CC$31)</f>
        <v>#DIV/0!</v>
      </c>
      <c r="K107" s="730" t="e">
        <f>SUMPRODUCT($CC$4:$CC$31,Schweine_Werte!$AM$4:$AM$31)/SUM($CC$4:$CC$31)</f>
        <v>#DIV/0!</v>
      </c>
      <c r="L107" s="730" t="e">
        <f>T107*$F107*365/1000+$J107-$K107</f>
        <v>#DIV/0!</v>
      </c>
      <c r="M107" s="730" t="e">
        <f>U107*$F107*365/1000+$J107-$K107/2</f>
        <v>#DIV/0!</v>
      </c>
      <c r="N107" s="730" t="e">
        <f>V107*$F107*365/1000+$J107</f>
        <v>#DIV/0!</v>
      </c>
      <c r="O107" s="730">
        <f>IF($C110&lt;28,SUM($CC$4:$CC$23)+IF($D110&gt;28,$CC$24*0.5,$CC$24),0)</f>
        <v>0</v>
      </c>
      <c r="P107" s="730">
        <f>IF($D110&gt;28,SUM($CC$25:$CC$31)+IF($C110&lt;28,$CC$24*0.5,$CC$24),0)</f>
        <v>0</v>
      </c>
      <c r="Q107" s="730" t="e">
        <f t="shared" si="52"/>
        <v>#DIV/0!</v>
      </c>
      <c r="R107" s="730" t="e">
        <f t="shared" si="52"/>
        <v>#DIV/0!</v>
      </c>
      <c r="S107" s="730" t="e">
        <f t="shared" si="52"/>
        <v>#DIV/0!</v>
      </c>
      <c r="T107" s="730" t="e">
        <f>+($O107*Schweine_Werte!$HT$16+$P107*Schweine_Werte!$HU$16)/SUM($O107:$P107)</f>
        <v>#DIV/0!</v>
      </c>
      <c r="U107" s="730" t="e">
        <f>+($O107*Schweine_Werte!$HV$16+$P107*Schweine_Werte!$HW$16)/SUM($O107:$P107)</f>
        <v>#DIV/0!</v>
      </c>
      <c r="V107" s="730" t="e">
        <f>+($O107*Schweine_Werte!$HX$16+$P107*Schweine_Werte!$HY$16)/SUM($O107:$P107)</f>
        <v>#DIV/0!</v>
      </c>
      <c r="W107" s="730" t="e">
        <f>($J107*0.055+T107*0.365*0.86*$F107-$K107*0.018)/L107*100</f>
        <v>#DIV/0!</v>
      </c>
      <c r="X107" s="730" t="e">
        <f>($J107*0.055+U107*0.365*0.86*$F107-$K107*0.018/2)/M107*100</f>
        <v>#DIV/0!</v>
      </c>
      <c r="Y107" s="730" t="e">
        <f>($J107*0.055+V107*0.365*0.86*$F107)/N107*100</f>
        <v>#DIV/0!</v>
      </c>
      <c r="Z107" s="730" t="e">
        <f>IF($B110=$A$8,SUMPRODUCT($CC$4:$CC$31,Schweine_Werte!$HN$4:$HN$31,Schweine_Werte!$HO$4:$HO$31)/SUMPRODUCT($CC$4:$CC$31,Schweine_Werte!$HN$4:$HN$31),IF($B110=$A$7,SUMPRODUCT($CC$4:$CC$31,Schweine_Werte!$GZ$4:$GZ$31,Schweine_Werte!$HA$4:$HA$31)/SUMPRODUCT($CC$4:$CC$31,Schweine_Werte!$GZ$4:$GZ$31),IF($B110=$A$6,SUMPRODUCT($CC$4:$CC$31,Schweine_Werte!$GL$4:$GL$31,Schweine_Werte!$GM$4:$GM$31)/SUMPRODUCT($CC$4:$CC$31,Schweine_Werte!$GL$4:$GL$31),SUMPRODUCT($CC$4:$CC$31,Schweine_Werte!$FX$4:$FX$31,Schweine_Werte!$FY$4:$FY$31)/SUMPRODUCT($CC$4:$CC$31,Schweine_Werte!$FX$4:$FX$31))))</f>
        <v>#DIV/0!</v>
      </c>
      <c r="AA107" s="730"/>
      <c r="AB107" s="730">
        <f>IF($B110=$A$8,SUMIF(Schweine_Werte!$AO$4:$AO$31,$C110,Schweine_Werte!$HO$4:$HO$31),IF($B110=$A$7,SUMIF(Schweine_Werte!$AO$4:$AO$31,$C110,Schweine_Werte!$HA$4:$HA$31),IF($B110=$A$6,SUMIF(Schweine_Werte!$AO$4:$AO$31,$C110,Schweine_Werte!$GM$4:$GM$31),SUMIF(Schweine_Werte!$AO$4:$AO$31,$C110,Schweine_Werte!$FY$4:$FY$31))))</f>
        <v>0</v>
      </c>
      <c r="AC107" s="730"/>
      <c r="AD107" s="730">
        <f>IF($B110=$A$8,SUMIF(Schweine_Werte!$AO$4:$AO$31,$D110,Schweine_Werte!$HO$4:$HO$31),IF($B110=$A$7,SUMIF(Schweine_Werte!$AO$4:$AO$31,$D110,Schweine_Werte!$HA$4:$HA$31),IF($B110=$A$6,SUMIF(Schweine_Werte!$AO$4:$AO$31,$D110,Schweine_Werte!$GM$4:$GM$31),SUMIF(Schweine_Werte!$AO$4:$AO$31,$D110,Schweine_Werte!$FY$4:$FY$31))))</f>
        <v>0</v>
      </c>
      <c r="AE107" s="730"/>
      <c r="AF107" s="730"/>
      <c r="AG107" s="730" t="e">
        <f>IF($B110=$A$8,SUMPRODUCT($CC$4:$CC$31,Schweine_Werte!$HN$4:$HN$31)/SUM($CC$4:$CC$31),IF($B110=$A$7,SUMPRODUCT($CC$4:$CC$31,Schweine_Werte!$GZ$4:$GZ$31)/SUM($CC$4:$CC$31),IF($B110=$A$6,SUMPRODUCT($CC$4:$CC$31,Schweine_Werte!$GL$4:$GL$31)/SUM($CC$4:$CC$31),SUMPRODUCT($CC$4:$CC$31,Schweine_Werte!$FX$4:$FX$31)/SUM($CC$4:$CC$31))))</f>
        <v>#DIV/0!</v>
      </c>
      <c r="AH107" s="730"/>
      <c r="AI107" s="730"/>
      <c r="AJ107" s="730" t="e">
        <f>IF($B110=$A$8,SUMPRODUCT($CC$4:$CC$31,Schweine_Werte!$HN$4:$HN$31,Schweine_Werte!$HP$4:$HP$31)/SUMPRODUCT($CC$4:$CC$31,Schweine_Werte!$HN$4:$HN$31),IF($B110=$A$7,SUMPRODUCT($CC$4:$CC$31,Schweine_Werte!$GZ$4:$GZ$31,Schweine_Werte!$HB$4:$HB$31)/SUMPRODUCT($CC$4:$CC$31,Schweine_Werte!$GZ$4:$GZ$31),IF($B110=$A$6,SUMPRODUCT($CC$4:$CC$31,Schweine_Werte!$GL$4:$GL$31,Schweine_Werte!$GN$4:$GN$31)/SUMPRODUCT($CC$4:$CC$31,Schweine_Werte!$GL$4:$GL$31),SUMPRODUCT($CC$4:$CC$31,Schweine_Werte!$FX$4:$FX$31,Schweine_Werte!$FZ$4:$FZ$31)/SUMPRODUCT($CC$4:$CC$31,Schweine_Werte!$FX$4:$FX$31))))</f>
        <v>#DIV/0!</v>
      </c>
      <c r="AK107" s="730"/>
      <c r="AL107" s="730">
        <f>IF($B110=$A$8,SUMIF(Schweine_Werte!$AO$4:$AO$31,$C110,Schweine_Werte!$HP$4:$HP$31),IF($B110=$A$7,SUMIF(Schweine_Werte!$AO$4:$AO$31,$C110,Schweine_Werte!$HB$4:$HB$31),IF($B110=$A$6,SUMIF(Schweine_Werte!$AO$4:$AO$31,$C110,Schweine_Werte!$GN$4:$GN$31),SUMIF(Schweine_Werte!$AO$4:$AO$31,$C110,Schweine_Werte!$FZ$4:$FZ$31))))</f>
        <v>0</v>
      </c>
      <c r="AM107" s="730"/>
      <c r="AN107" s="730">
        <f>IF($B110=$A$8,SUMIF(Schweine_Werte!$AO$4:$AO$31,$D110,Schweine_Werte!$HP$4:$HP$31),IF($B110=$A$7,SUMIF(Schweine_Werte!$AO$4:$AO$31,$D110,Schweine_Werte!$HB$4:$HB$31),IF($B110=$A$6,SUMIF(Schweine_Werte!$AO$4:$AO$31,$D110,Schweine_Werte!$GN$4:$GN$31),SUMIF(Schweine_Werte!$AO$4:$AO$31,$D110,Schweine_Werte!$FZ$4:$FZ$31))))</f>
        <v>0</v>
      </c>
      <c r="AR107" s="806">
        <v>111</v>
      </c>
      <c r="AS107" s="795">
        <f>IF(OR($C$12=$AR107,$D$12=$AR107),Schweine_Werte!$C107*0.5,IF(OR($C$12&gt;$AR107,$D$12&lt;$AR107),0,Schweine_Werte!$C107))</f>
        <v>0</v>
      </c>
      <c r="AT107" s="730">
        <f>IF(OR($C$24=$AR107,$D$24=$AR107),Schweine_Werte!$C107*0.5,IF(OR($C$24&gt;$AR107,$D$24&lt;$AR107),0,Schweine_Werte!$C107))</f>
        <v>0</v>
      </c>
      <c r="AU107" s="795">
        <f>IF(OR($C$36=$AR107,$D$36=$AR107),Schweine_Werte!$C107*0.5,IF(OR($C$36&gt;$AR107,$D$36&lt;$AR107),0,Schweine_Werte!$C107))</f>
        <v>0</v>
      </c>
      <c r="AV107" s="795">
        <f>IF(OR($C$48=$AR107,$D$48=$AR107),Schweine_Werte!$C107*0.5,IF(OR($C$48&gt;$AR107,$D$48&lt;$AR107),0,Schweine_Werte!$C107))</f>
        <v>0</v>
      </c>
      <c r="AW107" s="795">
        <f>IF(OR($C$60=$AR107,$D$60=$AR107),Schweine_Werte!$C107*0.5,IF(OR($C$60&gt;$AR107,$D$60&lt;$AR107),0,Schweine_Werte!$C107))</f>
        <v>0</v>
      </c>
      <c r="AX107" s="795">
        <f>IF(OR($C$12=$AR107,$D$12=$AR107),Schweine_Werte!$E107*0.5,IF(OR($C$12&gt;$AR107,$D$12&lt;$AR107),0,Schweine_Werte!$E107))</f>
        <v>0</v>
      </c>
      <c r="AY107" s="730">
        <f>IF(OR($C$24=$AR107,$D$24=$AR107),Schweine_Werte!$E107*0.5,IF(OR($C$24&gt;$AR107,$D$24&lt;$AR107),0,Schweine_Werte!$E107))</f>
        <v>0</v>
      </c>
      <c r="AZ107" s="730">
        <f>IF(OR($C$36=$AR107,$D$36=$AR107),Schweine_Werte!$E107*0.5,IF(OR($C$36&gt;$AR107,$D$36&lt;$AR107),0,Schweine_Werte!$E107))</f>
        <v>0</v>
      </c>
      <c r="BA107" s="730">
        <f>IF(OR($C$48=$AR107,$D$48=$AR107),Schweine_Werte!$E107*0.5,IF(OR($C$48&gt;$AR107,$D$48&lt;$AR107),0,Schweine_Werte!$E107))</f>
        <v>0</v>
      </c>
      <c r="BB107" s="730">
        <f>IF(OR($C$60=$AR107,$D$60=$AR107),Schweine_Werte!$E107*0.5,IF(OR($C$60&gt;$AR107,$D$60&lt;$AR107),0,Schweine_Werte!$E107))</f>
        <v>0</v>
      </c>
      <c r="BC107" s="795">
        <f>IF(OR($C$12=$AR107,$D$12=$AR107),Schweine_Werte!$G107*0.5,IF(OR($C$12&gt;$AR107,$D$12&lt;$AR107),0,Schweine_Werte!$G107))</f>
        <v>0</v>
      </c>
      <c r="BD107" s="730">
        <f>IF(OR($C$24=$AR107,$D$24=$AR107),Schweine_Werte!$G107*0.5,IF(OR($C$24&gt;$AR107,$D$24&lt;$AR107),0,Schweine_Werte!$G107))</f>
        <v>0</v>
      </c>
      <c r="BE107" s="730">
        <f>IF(OR($C$36=$AR107,$D$36=$AR107),Schweine_Werte!$G107*0.5,IF(OR($C$36&gt;$AR107,$D$36&lt;$AR107),0,Schweine_Werte!$G107))</f>
        <v>0</v>
      </c>
      <c r="BF107" s="730">
        <f>IF(OR($C$48=$AR107,$D$48=$AR107),Schweine_Werte!$G107*0.5,IF(OR($C$48&gt;$AR107,$D$48&lt;$AR107),0,Schweine_Werte!$G107))</f>
        <v>0</v>
      </c>
      <c r="BG107" s="730">
        <f>IF(OR($C$60=$AR107,$D$60=$AR107),Schweine_Werte!$G107*0.5,IF(OR($C$60&gt;$AR107,$D$60&lt;$AR107),0,Schweine_Werte!$G107))</f>
        <v>0</v>
      </c>
      <c r="BH107" s="795">
        <f>IF(OR($C$12=$AR107,$D$12=$AR107),Schweine_Werte!$I107*0.5,IF(OR($C$12&gt;$AR107,$D$12&lt;$AR107),0,Schweine_Werte!$I107))</f>
        <v>0</v>
      </c>
      <c r="BI107" s="730">
        <f>IF(OR($C$24=$AR107,$D$24=$AR107),Schweine_Werte!$I107*0.5,IF(OR($C$24&gt;$AR107,$D$24&lt;$AR107),0,Schweine_Werte!$I107))</f>
        <v>0</v>
      </c>
      <c r="BJ107" s="730">
        <f>IF(OR($C$36=$AR107,$D$36=$AR107),Schweine_Werte!$I107*0.5,IF(OR($C$36&gt;$AR107,$D$36&lt;$AR107),0,Schweine_Werte!$I107))</f>
        <v>0</v>
      </c>
      <c r="BK107" s="730">
        <f>IF(OR($C$48=$AR107,$D$48=$AR107),Schweine_Werte!$I107*0.5,IF(OR($C$48&gt;$AR107,$D$48&lt;$AR107),0,Schweine_Werte!$I107))</f>
        <v>0</v>
      </c>
      <c r="BL107" s="730">
        <f>IF(OR($C$60=$AR107,$D$60=$AR107),Schweine_Werte!$I107*0.5,IF(OR($C$60&gt;$AR107,$D$60&lt;$AR107),0,Schweine_Werte!$I107))</f>
        <v>0</v>
      </c>
      <c r="BM107" s="795"/>
      <c r="BN107" s="730"/>
      <c r="BO107" s="730"/>
      <c r="BP107" s="730"/>
      <c r="BQ107" s="730"/>
      <c r="BR107" s="795">
        <f>IF(OR($C$74=$AR107,$D$74=$AR107),Schweine_Werte!$M107*0.5,IF(OR($C$74&gt;$AR107,$D$74&lt;$AR107),0,Schweine_Werte!$M107))</f>
        <v>0</v>
      </c>
      <c r="BS107" s="795">
        <f>IF(OR($C$83=$AR107,$D$83=$AR107),Schweine_Werte!$M107*0.5,IF(OR($C$83&gt;$AR107,$D$83&lt;$AR107),0,Schweine_Werte!$M107))</f>
        <v>0</v>
      </c>
      <c r="BT107" s="797">
        <f>IF(OR($C$92=$AR107,$D$92=$AR107),Schweine_Werte!$M107*0.5,IF(OR($C$92&gt;$AR107,$D$92&lt;$AR107),0,Schweine_Werte!$M107))</f>
        <v>0</v>
      </c>
      <c r="BU107" s="797">
        <f>IF(OR($C$101=$AR107,$D$101=$AR107),Schweine_Werte!$M107*0.5,IF(OR($C$101&gt;$AR107,$D$101&lt;$AR107),0,Schweine_Werte!$M107))</f>
        <v>0</v>
      </c>
      <c r="BV107" s="797">
        <f>IF(OR($C$110=$AR107,$D$110=$AR107),Schweine_Werte!$M107*0.5,IF(OR($C$110&gt;$AR107,$D$110&lt;$AR107),0,Schweine_Werte!$M107))</f>
        <v>0</v>
      </c>
      <c r="BW107" s="797">
        <f>IF(OR(8=$AR107,$E$127=$AR107),Schweine_Werte!$M107*0.5,IF(OR(8&gt;$AR107,$E$127&lt;$AR107),0,Schweine_Werte!$M107))</f>
        <v>1.4477278921508818</v>
      </c>
      <c r="BX107" s="797">
        <f>IF(OR(8=$AR107,$E$145=$AR107),Schweine_Werte!$M107*0.5,IF(OR(8&gt;$AR107,$E$145&lt;$AR107),0,Schweine_Werte!$M107))</f>
        <v>1.4477278921508818</v>
      </c>
      <c r="BY107" s="795">
        <f>IF(OR($C$74=$AR107,$D$74=$AR107),Schweine_Werte!$O107*0.5,IF(OR($C$74&gt;$AR107,$D$74&lt;$AR107),0,Schweine_Werte!$O107))</f>
        <v>0</v>
      </c>
      <c r="BZ107" s="795">
        <f>IF(OR($C$83=$AR107,$D$83=$AR107),Schweine_Werte!$O107*0.5,IF(OR($C$83&gt;$AR107,$D$83&lt;$AR107),0,Schweine_Werte!$O107))</f>
        <v>0</v>
      </c>
      <c r="CA107" s="797">
        <f>IF(OR($C$92=$AR107,$D$92=$AR107),Schweine_Werte!$O107*0.5,IF(OR($C$92&gt;$AR107,$D$92&lt;$AR107),0,Schweine_Werte!$O107))</f>
        <v>0</v>
      </c>
      <c r="CB107" s="797">
        <f>IF(OR($C$101=$AR107,$D$101=$AR107),Schweine_Werte!$O107*0.5,IF(OR($C$101&gt;$AR107,$D$101&lt;$AR107),0,Schweine_Werte!$O107))</f>
        <v>0</v>
      </c>
      <c r="CC107" s="797">
        <f>IF(OR($C$110=$AR107,$D$110=$AR107),Schweine_Werte!$O107*0.5,IF(OR($C$110&gt;$AR107,$D$110&lt;$AR107),0,Schweine_Werte!$O107))</f>
        <v>0</v>
      </c>
    </row>
    <row r="108" spans="1:81" ht="15.6" x14ac:dyDescent="0.3">
      <c r="F108" s="357"/>
      <c r="G108" s="1626" t="s">
        <v>7713</v>
      </c>
      <c r="H108" s="1627"/>
      <c r="I108" s="1628"/>
      <c r="J108" s="1039" t="s">
        <v>596</v>
      </c>
      <c r="K108" s="1039" t="s">
        <v>226</v>
      </c>
      <c r="L108" s="1621" t="s">
        <v>7714</v>
      </c>
      <c r="M108" s="1622"/>
      <c r="N108" s="1623"/>
      <c r="O108" s="1621" t="s">
        <v>7715</v>
      </c>
      <c r="P108" s="1623"/>
      <c r="Q108" s="1621" t="s">
        <v>7770</v>
      </c>
      <c r="R108" s="1622"/>
      <c r="S108" s="1623"/>
      <c r="T108" s="1621" t="s">
        <v>7716</v>
      </c>
      <c r="U108" s="1622"/>
      <c r="V108" s="1623"/>
      <c r="W108" s="1621" t="s">
        <v>7798</v>
      </c>
      <c r="X108" s="1622"/>
      <c r="Y108" s="1623"/>
      <c r="Z108" s="1632" t="s">
        <v>7799</v>
      </c>
      <c r="AA108" s="1633"/>
      <c r="AB108" s="1632" t="s">
        <v>7800</v>
      </c>
      <c r="AC108" s="1633"/>
      <c r="AD108" s="1632" t="s">
        <v>7801</v>
      </c>
      <c r="AE108" s="1633"/>
      <c r="AF108" s="1040" t="s">
        <v>7910</v>
      </c>
      <c r="AG108" s="1624" t="s">
        <v>7804</v>
      </c>
      <c r="AH108" s="1625"/>
      <c r="AI108" s="1148" t="s">
        <v>7911</v>
      </c>
      <c r="AJ108" s="1632" t="s">
        <v>7799</v>
      </c>
      <c r="AK108" s="1633"/>
      <c r="AL108" s="1632" t="s">
        <v>7800</v>
      </c>
      <c r="AM108" s="1633"/>
      <c r="AN108" s="1632" t="s">
        <v>7801</v>
      </c>
      <c r="AO108" s="1633"/>
      <c r="AR108" s="806">
        <v>112</v>
      </c>
      <c r="AS108" s="795">
        <f>IF(OR($C$12=$AR108,$D$12=$AR108),Schweine_Werte!$C108*0.5,IF(OR($C$12&gt;$AR108,$D$12&lt;$AR108),0,Schweine_Werte!$C108))</f>
        <v>0</v>
      </c>
      <c r="AT108" s="730">
        <f>IF(OR($C$24=$AR108,$D$24=$AR108),Schweine_Werte!$C108*0.5,IF(OR($C$24&gt;$AR108,$D$24&lt;$AR108),0,Schweine_Werte!$C108))</f>
        <v>0</v>
      </c>
      <c r="AU108" s="795">
        <f>IF(OR($C$36=$AR108,$D$36=$AR108),Schweine_Werte!$C108*0.5,IF(OR($C$36&gt;$AR108,$D$36&lt;$AR108),0,Schweine_Werte!$C108))</f>
        <v>0</v>
      </c>
      <c r="AV108" s="795">
        <f>IF(OR($C$48=$AR108,$D$48=$AR108),Schweine_Werte!$C108*0.5,IF(OR($C$48&gt;$AR108,$D$48&lt;$AR108),0,Schweine_Werte!$C108))</f>
        <v>0</v>
      </c>
      <c r="AW108" s="795">
        <f>IF(OR($C$60=$AR108,$D$60=$AR108),Schweine_Werte!$C108*0.5,IF(OR($C$60&gt;$AR108,$D$60&lt;$AR108),0,Schweine_Werte!$C108))</f>
        <v>0</v>
      </c>
      <c r="AX108" s="795">
        <f>IF(OR($C$12=$AR108,$D$12=$AR108),Schweine_Werte!$E108*0.5,IF(OR($C$12&gt;$AR108,$D$12&lt;$AR108),0,Schweine_Werte!$E108))</f>
        <v>0</v>
      </c>
      <c r="AY108" s="730">
        <f>IF(OR($C$24=$AR108,$D$24=$AR108),Schweine_Werte!$E108*0.5,IF(OR($C$24&gt;$AR108,$D$24&lt;$AR108),0,Schweine_Werte!$E108))</f>
        <v>0</v>
      </c>
      <c r="AZ108" s="730">
        <f>IF(OR($C$36=$AR108,$D$36=$AR108),Schweine_Werte!$E108*0.5,IF(OR($C$36&gt;$AR108,$D$36&lt;$AR108),0,Schweine_Werte!$E108))</f>
        <v>0</v>
      </c>
      <c r="BA108" s="730">
        <f>IF(OR($C$48=$AR108,$D$48=$AR108),Schweine_Werte!$E108*0.5,IF(OR($C$48&gt;$AR108,$D$48&lt;$AR108),0,Schweine_Werte!$E108))</f>
        <v>0</v>
      </c>
      <c r="BB108" s="730">
        <f>IF(OR($C$60=$AR108,$D$60=$AR108),Schweine_Werte!$E108*0.5,IF(OR($C$60&gt;$AR108,$D$60&lt;$AR108),0,Schweine_Werte!$E108))</f>
        <v>0</v>
      </c>
      <c r="BC108" s="795">
        <f>IF(OR($C$12=$AR108,$D$12=$AR108),Schweine_Werte!$G108*0.5,IF(OR($C$12&gt;$AR108,$D$12&lt;$AR108),0,Schweine_Werte!$G108))</f>
        <v>0</v>
      </c>
      <c r="BD108" s="730">
        <f>IF(OR($C$24=$AR108,$D$24=$AR108),Schweine_Werte!$G108*0.5,IF(OR($C$24&gt;$AR108,$D$24&lt;$AR108),0,Schweine_Werte!$G108))</f>
        <v>0</v>
      </c>
      <c r="BE108" s="730">
        <f>IF(OR($C$36=$AR108,$D$36=$AR108),Schweine_Werte!$G108*0.5,IF(OR($C$36&gt;$AR108,$D$36&lt;$AR108),0,Schweine_Werte!$G108))</f>
        <v>0</v>
      </c>
      <c r="BF108" s="730">
        <f>IF(OR($C$48=$AR108,$D$48=$AR108),Schweine_Werte!$G108*0.5,IF(OR($C$48&gt;$AR108,$D$48&lt;$AR108),0,Schweine_Werte!$G108))</f>
        <v>0</v>
      </c>
      <c r="BG108" s="730">
        <f>IF(OR($C$60=$AR108,$D$60=$AR108),Schweine_Werte!$G108*0.5,IF(OR($C$60&gt;$AR108,$D$60&lt;$AR108),0,Schweine_Werte!$G108))</f>
        <v>0</v>
      </c>
      <c r="BH108" s="795">
        <f>IF(OR($C$12=$AR108,$D$12=$AR108),Schweine_Werte!$I108*0.5,IF(OR($C$12&gt;$AR108,$D$12&lt;$AR108),0,Schweine_Werte!$I108))</f>
        <v>0</v>
      </c>
      <c r="BI108" s="730">
        <f>IF(OR($C$24=$AR108,$D$24=$AR108),Schweine_Werte!$I108*0.5,IF(OR($C$24&gt;$AR108,$D$24&lt;$AR108),0,Schweine_Werte!$I108))</f>
        <v>0</v>
      </c>
      <c r="BJ108" s="730">
        <f>IF(OR($C$36=$AR108,$D$36=$AR108),Schweine_Werte!$I108*0.5,IF(OR($C$36&gt;$AR108,$D$36&lt;$AR108),0,Schweine_Werte!$I108))</f>
        <v>0</v>
      </c>
      <c r="BK108" s="730">
        <f>IF(OR($C$48=$AR108,$D$48=$AR108),Schweine_Werte!$I108*0.5,IF(OR($C$48&gt;$AR108,$D$48&lt;$AR108),0,Schweine_Werte!$I108))</f>
        <v>0</v>
      </c>
      <c r="BL108" s="730">
        <f>IF(OR($C$60=$AR108,$D$60=$AR108),Schweine_Werte!$I108*0.5,IF(OR($C$60&gt;$AR108,$D$60&lt;$AR108),0,Schweine_Werte!$I108))</f>
        <v>0</v>
      </c>
      <c r="BM108" s="795"/>
      <c r="BN108" s="730"/>
      <c r="BO108" s="730"/>
      <c r="BP108" s="730"/>
      <c r="BQ108" s="730"/>
      <c r="BR108" s="795">
        <f>IF(OR($C$74=$AR108,$D$74=$AR108),Schweine_Werte!$M108*0.5,IF(OR($C$74&gt;$AR108,$D$74&lt;$AR108),0,Schweine_Werte!$M108))</f>
        <v>0</v>
      </c>
      <c r="BS108" s="795">
        <f>IF(OR($C$83=$AR108,$D$83=$AR108),Schweine_Werte!$M108*0.5,IF(OR($C$83&gt;$AR108,$D$83&lt;$AR108),0,Schweine_Werte!$M108))</f>
        <v>0</v>
      </c>
      <c r="BT108" s="797">
        <f>IF(OR($C$92=$AR108,$D$92=$AR108),Schweine_Werte!$M108*0.5,IF(OR($C$92&gt;$AR108,$D$92&lt;$AR108),0,Schweine_Werte!$M108))</f>
        <v>0</v>
      </c>
      <c r="BU108" s="797">
        <f>IF(OR($C$101=$AR108,$D$101=$AR108),Schweine_Werte!$M108*0.5,IF(OR($C$101&gt;$AR108,$D$101&lt;$AR108),0,Schweine_Werte!$M108))</f>
        <v>0</v>
      </c>
      <c r="BV108" s="797">
        <f>IF(OR($C$110=$AR108,$D$110=$AR108),Schweine_Werte!$M108*0.5,IF(OR($C$110&gt;$AR108,$D$110&lt;$AR108),0,Schweine_Werte!$M108))</f>
        <v>0</v>
      </c>
      <c r="BW108" s="797">
        <f>IF(OR(8=$AR108,$E$127=$AR108),Schweine_Werte!$M108*0.5,IF(OR(8&gt;$AR108,$E$127&lt;$AR108),0,Schweine_Werte!$M108))</f>
        <v>1.4477278921508818</v>
      </c>
      <c r="BX108" s="797">
        <f>IF(OR(8=$AR108,$E$145=$AR108),Schweine_Werte!$M108*0.5,IF(OR(8&gt;$AR108,$E$145&lt;$AR108),0,Schweine_Werte!$M108))</f>
        <v>1.4477278921508818</v>
      </c>
      <c r="BY108" s="795">
        <f>IF(OR($C$74=$AR108,$D$74=$AR108),Schweine_Werte!$O108*0.5,IF(OR($C$74&gt;$AR108,$D$74&lt;$AR108),0,Schweine_Werte!$O108))</f>
        <v>0</v>
      </c>
      <c r="BZ108" s="795">
        <f>IF(OR($C$83=$AR108,$D$83=$AR108),Schweine_Werte!$O108*0.5,IF(OR($C$83&gt;$AR108,$D$83&lt;$AR108),0,Schweine_Werte!$O108))</f>
        <v>0</v>
      </c>
      <c r="CA108" s="797">
        <f>IF(OR($C$92=$AR108,$D$92=$AR108),Schweine_Werte!$O108*0.5,IF(OR($C$92&gt;$AR108,$D$92&lt;$AR108),0,Schweine_Werte!$O108))</f>
        <v>0</v>
      </c>
      <c r="CB108" s="797">
        <f>IF(OR($C$101=$AR108,$D$101=$AR108),Schweine_Werte!$O108*0.5,IF(OR($C$101&gt;$AR108,$D$101&lt;$AR108),0,Schweine_Werte!$O108))</f>
        <v>0</v>
      </c>
      <c r="CC108" s="797">
        <f>IF(OR($C$110=$AR108,$D$110=$AR108),Schweine_Werte!$O108*0.5,IF(OR($C$110&gt;$AR108,$D$110&lt;$AR108),0,Schweine_Werte!$O108))</f>
        <v>0</v>
      </c>
    </row>
    <row r="109" spans="1:81" ht="18" x14ac:dyDescent="0.25">
      <c r="B109" s="800" t="s">
        <v>7717</v>
      </c>
      <c r="C109" s="801" t="s">
        <v>7657</v>
      </c>
      <c r="D109" s="801" t="s">
        <v>7718</v>
      </c>
      <c r="E109" s="801" t="s">
        <v>7659</v>
      </c>
      <c r="F109" s="747" t="s">
        <v>196</v>
      </c>
      <c r="G109" s="675" t="s">
        <v>4</v>
      </c>
      <c r="H109" s="675" t="s">
        <v>7719</v>
      </c>
      <c r="I109" s="675" t="s">
        <v>7720</v>
      </c>
      <c r="J109" s="676" t="s">
        <v>7721</v>
      </c>
      <c r="K109" s="676" t="s">
        <v>7721</v>
      </c>
      <c r="L109" s="677" t="s">
        <v>39</v>
      </c>
      <c r="M109" s="677" t="s">
        <v>7722</v>
      </c>
      <c r="N109" s="677" t="s">
        <v>41</v>
      </c>
      <c r="O109" s="678" t="s">
        <v>0</v>
      </c>
      <c r="P109" s="678" t="s">
        <v>8</v>
      </c>
      <c r="Q109" s="677" t="s">
        <v>39</v>
      </c>
      <c r="R109" s="677" t="s">
        <v>40</v>
      </c>
      <c r="S109" s="677" t="s">
        <v>41</v>
      </c>
      <c r="T109" s="677" t="s">
        <v>39</v>
      </c>
      <c r="U109" s="677" t="s">
        <v>40</v>
      </c>
      <c r="V109" s="677" t="s">
        <v>41</v>
      </c>
      <c r="W109" s="676" t="s">
        <v>7696</v>
      </c>
      <c r="X109" s="676" t="s">
        <v>7697</v>
      </c>
      <c r="Y109" s="676" t="s">
        <v>7698</v>
      </c>
      <c r="Z109" s="802" t="s">
        <v>7802</v>
      </c>
      <c r="AA109" s="802" t="s">
        <v>7803</v>
      </c>
      <c r="AB109" s="802" t="s">
        <v>7802</v>
      </c>
      <c r="AC109" s="802" t="s">
        <v>7803</v>
      </c>
      <c r="AD109" s="802" t="s">
        <v>7802</v>
      </c>
      <c r="AE109" s="802" t="s">
        <v>7803</v>
      </c>
      <c r="AF109" s="802" t="s">
        <v>7912</v>
      </c>
      <c r="AG109" s="1049" t="s">
        <v>7913</v>
      </c>
      <c r="AH109" s="802" t="s">
        <v>7914</v>
      </c>
      <c r="AI109" s="802"/>
      <c r="AJ109" s="802" t="s">
        <v>7778</v>
      </c>
      <c r="AK109" s="802" t="s">
        <v>7805</v>
      </c>
      <c r="AL109" s="802" t="s">
        <v>7806</v>
      </c>
      <c r="AM109" s="802" t="s">
        <v>7807</v>
      </c>
      <c r="AN109" s="802" t="s">
        <v>7806</v>
      </c>
      <c r="AO109" s="802" t="s">
        <v>7808</v>
      </c>
      <c r="AR109" s="806">
        <v>113</v>
      </c>
      <c r="AS109" s="795">
        <f>IF(OR($C$12=$AR109,$D$12=$AR109),Schweine_Werte!$C109*0.5,IF(OR($C$12&gt;$AR109,$D$12&lt;$AR109),0,Schweine_Werte!$C109))</f>
        <v>0</v>
      </c>
      <c r="AT109" s="730">
        <f>IF(OR($C$24=$AR109,$D$24=$AR109),Schweine_Werte!$C109*0.5,IF(OR($C$24&gt;$AR109,$D$24&lt;$AR109),0,Schweine_Werte!$C109))</f>
        <v>0</v>
      </c>
      <c r="AU109" s="795">
        <f>IF(OR($C$36=$AR109,$D$36=$AR109),Schweine_Werte!$C109*0.5,IF(OR($C$36&gt;$AR109,$D$36&lt;$AR109),0,Schweine_Werte!$C109))</f>
        <v>0</v>
      </c>
      <c r="AV109" s="795">
        <f>IF(OR($C$48=$AR109,$D$48=$AR109),Schweine_Werte!$C109*0.5,IF(OR($C$48&gt;$AR109,$D$48&lt;$AR109),0,Schweine_Werte!$C109))</f>
        <v>0</v>
      </c>
      <c r="AW109" s="795">
        <f>IF(OR($C$60=$AR109,$D$60=$AR109),Schweine_Werte!$C109*0.5,IF(OR($C$60&gt;$AR109,$D$60&lt;$AR109),0,Schweine_Werte!$C109))</f>
        <v>0</v>
      </c>
      <c r="AX109" s="795">
        <f>IF(OR($C$12=$AR109,$D$12=$AR109),Schweine_Werte!$E109*0.5,IF(OR($C$12&gt;$AR109,$D$12&lt;$AR109),0,Schweine_Werte!$E109))</f>
        <v>0</v>
      </c>
      <c r="AY109" s="730">
        <f>IF(OR($C$24=$AR109,$D$24=$AR109),Schweine_Werte!$E109*0.5,IF(OR($C$24&gt;$AR109,$D$24&lt;$AR109),0,Schweine_Werte!$E109))</f>
        <v>0</v>
      </c>
      <c r="AZ109" s="730">
        <f>IF(OR($C$36=$AR109,$D$36=$AR109),Schweine_Werte!$E109*0.5,IF(OR($C$36&gt;$AR109,$D$36&lt;$AR109),0,Schweine_Werte!$E109))</f>
        <v>0</v>
      </c>
      <c r="BA109" s="730">
        <f>IF(OR($C$48=$AR109,$D$48=$AR109),Schweine_Werte!$E109*0.5,IF(OR($C$48&gt;$AR109,$D$48&lt;$AR109),0,Schweine_Werte!$E109))</f>
        <v>0</v>
      </c>
      <c r="BB109" s="730">
        <f>IF(OR($C$60=$AR109,$D$60=$AR109),Schweine_Werte!$E109*0.5,IF(OR($C$60&gt;$AR109,$D$60&lt;$AR109),0,Schweine_Werte!$E109))</f>
        <v>0</v>
      </c>
      <c r="BC109" s="795">
        <f>IF(OR($C$12=$AR109,$D$12=$AR109),Schweine_Werte!$G109*0.5,IF(OR($C$12&gt;$AR109,$D$12&lt;$AR109),0,Schweine_Werte!$G109))</f>
        <v>0</v>
      </c>
      <c r="BD109" s="730">
        <f>IF(OR($C$24=$AR109,$D$24=$AR109),Schweine_Werte!$G109*0.5,IF(OR($C$24&gt;$AR109,$D$24&lt;$AR109),0,Schweine_Werte!$G109))</f>
        <v>0</v>
      </c>
      <c r="BE109" s="730">
        <f>IF(OR($C$36=$AR109,$D$36=$AR109),Schweine_Werte!$G109*0.5,IF(OR($C$36&gt;$AR109,$D$36&lt;$AR109),0,Schweine_Werte!$G109))</f>
        <v>0</v>
      </c>
      <c r="BF109" s="730">
        <f>IF(OR($C$48=$AR109,$D$48=$AR109),Schweine_Werte!$G109*0.5,IF(OR($C$48&gt;$AR109,$D$48&lt;$AR109),0,Schweine_Werte!$G109))</f>
        <v>0</v>
      </c>
      <c r="BG109" s="730">
        <f>IF(OR($C$60=$AR109,$D$60=$AR109),Schweine_Werte!$G109*0.5,IF(OR($C$60&gt;$AR109,$D$60&lt;$AR109),0,Schweine_Werte!$G109))</f>
        <v>0</v>
      </c>
      <c r="BH109" s="795">
        <f>IF(OR($C$12=$AR109,$D$12=$AR109),Schweine_Werte!$I109*0.5,IF(OR($C$12&gt;$AR109,$D$12&lt;$AR109),0,Schweine_Werte!$I109))</f>
        <v>0</v>
      </c>
      <c r="BI109" s="730">
        <f>IF(OR($C$24=$AR109,$D$24=$AR109),Schweine_Werte!$I109*0.5,IF(OR($C$24&gt;$AR109,$D$24&lt;$AR109),0,Schweine_Werte!$I109))</f>
        <v>0</v>
      </c>
      <c r="BJ109" s="730">
        <f>IF(OR($C$36=$AR109,$D$36=$AR109),Schweine_Werte!$I109*0.5,IF(OR($C$36&gt;$AR109,$D$36&lt;$AR109),0,Schweine_Werte!$I109))</f>
        <v>0</v>
      </c>
      <c r="BK109" s="730">
        <f>IF(OR($C$48=$AR109,$D$48=$AR109),Schweine_Werte!$I109*0.5,IF(OR($C$48&gt;$AR109,$D$48&lt;$AR109),0,Schweine_Werte!$I109))</f>
        <v>0</v>
      </c>
      <c r="BL109" s="730">
        <f>IF(OR($C$60=$AR109,$D$60=$AR109),Schweine_Werte!$I109*0.5,IF(OR($C$60&gt;$AR109,$D$60&lt;$AR109),0,Schweine_Werte!$I109))</f>
        <v>0</v>
      </c>
      <c r="BM109" s="795"/>
      <c r="BN109" s="730"/>
      <c r="BO109" s="730"/>
      <c r="BP109" s="730"/>
      <c r="BQ109" s="730"/>
      <c r="BR109" s="795">
        <f>IF(OR($C$74=$AR109,$D$74=$AR109),Schweine_Werte!$M109*0.5,IF(OR($C$74&gt;$AR109,$D$74&lt;$AR109),0,Schweine_Werte!$M109))</f>
        <v>0</v>
      </c>
      <c r="BS109" s="795">
        <f>IF(OR($C$83=$AR109,$D$83=$AR109),Schweine_Werte!$M109*0.5,IF(OR($C$83&gt;$AR109,$D$83&lt;$AR109),0,Schweine_Werte!$M109))</f>
        <v>0</v>
      </c>
      <c r="BT109" s="797">
        <f>IF(OR($C$92=$AR109,$D$92=$AR109),Schweine_Werte!$M109*0.5,IF(OR($C$92&gt;$AR109,$D$92&lt;$AR109),0,Schweine_Werte!$M109))</f>
        <v>0</v>
      </c>
      <c r="BU109" s="797">
        <f>IF(OR($C$101=$AR109,$D$101=$AR109),Schweine_Werte!$M109*0.5,IF(OR($C$101&gt;$AR109,$D$101&lt;$AR109),0,Schweine_Werte!$M109))</f>
        <v>0</v>
      </c>
      <c r="BV109" s="797">
        <f>IF(OR($C$110=$AR109,$D$110=$AR109),Schweine_Werte!$M109*0.5,IF(OR($C$110&gt;$AR109,$D$110&lt;$AR109),0,Schweine_Werte!$M109))</f>
        <v>0</v>
      </c>
      <c r="BW109" s="797">
        <f>IF(OR(8=$AR109,$E$127=$AR109),Schweine_Werte!$M109*0.5,IF(OR(8&gt;$AR109,$E$127&lt;$AR109),0,Schweine_Werte!$M109))</f>
        <v>1.4477278921508818</v>
      </c>
      <c r="BX109" s="797">
        <f>IF(OR(8=$AR109,$E$145=$AR109),Schweine_Werte!$M109*0.5,IF(OR(8&gt;$AR109,$E$145&lt;$AR109),0,Schweine_Werte!$M109))</f>
        <v>1.4477278921508818</v>
      </c>
      <c r="BY109" s="795">
        <f>IF(OR($C$74=$AR109,$D$74=$AR109),Schweine_Werte!$O109*0.5,IF(OR($C$74&gt;$AR109,$D$74&lt;$AR109),0,Schweine_Werte!$O109))</f>
        <v>0</v>
      </c>
      <c r="BZ109" s="795">
        <f>IF(OR($C$83=$AR109,$D$83=$AR109),Schweine_Werte!$O109*0.5,IF(OR($C$83&gt;$AR109,$D$83&lt;$AR109),0,Schweine_Werte!$O109))</f>
        <v>0</v>
      </c>
      <c r="CA109" s="797">
        <f>IF(OR($C$92=$AR109,$D$92=$AR109),Schweine_Werte!$O109*0.5,IF(OR($C$92&gt;$AR109,$D$92&lt;$AR109),0,Schweine_Werte!$O109))</f>
        <v>0</v>
      </c>
      <c r="CB109" s="797">
        <f>IF(OR($C$101=$AR109,$D$101=$AR109),Schweine_Werte!$O109*0.5,IF(OR($C$101&gt;$AR109,$D$101&lt;$AR109),0,Schweine_Werte!$O109))</f>
        <v>0</v>
      </c>
      <c r="CC109" s="797">
        <f>IF(OR($C$110=$AR109,$D$110=$AR109),Schweine_Werte!$O109*0.5,IF(OR($C$110&gt;$AR109,$D$110&lt;$AR109),0,Schweine_Werte!$O109))</f>
        <v>0</v>
      </c>
    </row>
    <row r="110" spans="1:81" ht="15.6" x14ac:dyDescent="0.3">
      <c r="A110" t="s">
        <v>7795</v>
      </c>
      <c r="B110" s="816" t="str">
        <f>IF('Abweichende Werte'!X9=1,'Abweichende Werte'!F9,"")</f>
        <v/>
      </c>
      <c r="C110" s="679" t="str">
        <f>IF('Abweichende Werte'!X9=1,'Abweichende Werte'!J9,"")</f>
        <v/>
      </c>
      <c r="D110" s="680" t="str">
        <f>IF('Abweichende Werte'!X9=1,'Abweichende Werte'!M9,"")</f>
        <v/>
      </c>
      <c r="E110" s="680" t="str">
        <f>IF('Abweichende Werte'!X9=1,'Abweichende Werte'!P9,"")</f>
        <v/>
      </c>
      <c r="F110" s="803" t="e">
        <f>IF($E110&lt;=$E106,F106,IF(AND($E110&gt;$E106,$E110&lt;=$E107),F106+(F107-F106)/($E107-$E106)*($E110-$E106),IF($E110&gt;$E107,F107)))</f>
        <v>#VALUE!</v>
      </c>
      <c r="G110" s="803" t="e">
        <f t="shared" ref="G110:N110" si="53">IF($E110&lt;=$E106,G106,IF(AND($E110&gt;$E106,$E110&lt;=$E107),G106+(G107-G106)/($E107-$E106)*($E110-$E106),IF($E110&gt;$E107,G107)))</f>
        <v>#VALUE!</v>
      </c>
      <c r="H110" s="803" t="e">
        <f t="shared" si="53"/>
        <v>#VALUE!</v>
      </c>
      <c r="I110" s="803" t="e">
        <f t="shared" si="53"/>
        <v>#VALUE!</v>
      </c>
      <c r="J110" s="803" t="e">
        <f t="shared" si="53"/>
        <v>#VALUE!</v>
      </c>
      <c r="K110" s="803" t="e">
        <f t="shared" si="53"/>
        <v>#VALUE!</v>
      </c>
      <c r="L110" s="803" t="e">
        <f t="shared" si="53"/>
        <v>#VALUE!</v>
      </c>
      <c r="M110" s="803" t="e">
        <f t="shared" si="53"/>
        <v>#VALUE!</v>
      </c>
      <c r="N110" s="803" t="e">
        <f t="shared" si="53"/>
        <v>#VALUE!</v>
      </c>
      <c r="O110" s="804">
        <v>5.5</v>
      </c>
      <c r="P110" s="804">
        <v>1.8</v>
      </c>
      <c r="Q110" s="803" t="e">
        <f t="shared" ref="Q110:Z110" si="54">IF($E110&lt;=$E106,Q106,IF(AND($E110&gt;$E106,$E110&lt;=$E107),Q106+(Q107-Q106)/($E107-$E106)*($E110-$E106),IF($E110&gt;$E107,Q107)))</f>
        <v>#VALUE!</v>
      </c>
      <c r="R110" s="803" t="e">
        <f t="shared" si="54"/>
        <v>#VALUE!</v>
      </c>
      <c r="S110" s="803" t="e">
        <f t="shared" si="54"/>
        <v>#VALUE!</v>
      </c>
      <c r="T110" s="803" t="e">
        <f t="shared" si="54"/>
        <v>#VALUE!</v>
      </c>
      <c r="U110" s="803" t="e">
        <f t="shared" si="54"/>
        <v>#VALUE!</v>
      </c>
      <c r="V110" s="803" t="e">
        <f t="shared" si="54"/>
        <v>#VALUE!</v>
      </c>
      <c r="W110" s="803" t="e">
        <f t="shared" si="54"/>
        <v>#VALUE!</v>
      </c>
      <c r="X110" s="803" t="e">
        <f t="shared" si="54"/>
        <v>#VALUE!</v>
      </c>
      <c r="Y110" s="803" t="e">
        <f t="shared" si="54"/>
        <v>#VALUE!</v>
      </c>
      <c r="Z110" s="803" t="e">
        <f t="shared" si="54"/>
        <v>#VALUE!</v>
      </c>
      <c r="AA110" s="805" t="e">
        <f>+Z110*6.25</f>
        <v>#VALUE!</v>
      </c>
      <c r="AB110" s="803" t="e">
        <f>IF($E110&lt;=$E106,AB106,IF(AND($E110&gt;$E106,$E110&lt;=$E107),AB106+(AB107-AB106)/($E107-$E106)*($E110-$E106),IF($E110&gt;$E107,AB107)))</f>
        <v>#VALUE!</v>
      </c>
      <c r="AC110" s="805" t="e">
        <f>+AB110*6.25</f>
        <v>#VALUE!</v>
      </c>
      <c r="AD110" s="803" t="e">
        <f>IF($E110&lt;=$E106,AD106,IF(AND($E110&gt;$E106,$E110&lt;=$E107),AD106+(AD107-AD106)/($E107-$E106)*($E110-$E106),IF($E110&gt;$E107,AD107)))</f>
        <v>#VALUE!</v>
      </c>
      <c r="AE110" s="805" t="e">
        <f>+AD110*6.25</f>
        <v>#VALUE!</v>
      </c>
      <c r="AF110" s="805" t="e">
        <f>365/((D110-C110)/E110*1000)</f>
        <v>#VALUE!</v>
      </c>
      <c r="AG110" s="803" t="e">
        <f>IF($E110&lt;=$E106,AG106,IF(AND($E110&gt;$E106,$E110&lt;=$E107),AG106+(AG107-AG106)/($E107-$E106)*($E110-$E106),IF($E110&gt;$E107,AG107)))</f>
        <v>#VALUE!</v>
      </c>
      <c r="AH110" s="805" t="e">
        <f>+AG110/AF110</f>
        <v>#VALUE!</v>
      </c>
      <c r="AI110" s="805" t="e">
        <f>+CONCATENATE(ROUND(AH110/(D110-C110),1)," : 1")</f>
        <v>#VALUE!</v>
      </c>
      <c r="AJ110" s="803" t="e">
        <f>IF($E110&lt;=$E106,AJ106,IF(AND($E110&gt;$E106,$E110&lt;=$E107),AJ106+(AJ107-AJ106)/($E107-$E106)*($E110-$E106),IF($E110&gt;$E107,AJ107)))</f>
        <v>#VALUE!</v>
      </c>
      <c r="AK110" s="805" t="e">
        <f>+AJ110/2.291</f>
        <v>#VALUE!</v>
      </c>
      <c r="AL110" s="803" t="e">
        <f>IF($E110&lt;=$E106,AL106,IF(AND($E110&gt;$E106,$E110&lt;=$E107),AL106+(AL107-AL106)/($E107-$E106)*($E110-$E106),IF($E110&gt;$E107,AL107)))</f>
        <v>#VALUE!</v>
      </c>
      <c r="AM110" s="805" t="e">
        <f>+AL110/2.291</f>
        <v>#VALUE!</v>
      </c>
      <c r="AN110" s="803" t="e">
        <f>IF($E110&lt;=$E106,AN106,IF(AND($E110&gt;$E106,$E110&lt;=$E107),AN106+(AN107-AN106)/($E107-$E106)*($E110-$E106),IF($E110&gt;$E107,AN107)))</f>
        <v>#VALUE!</v>
      </c>
      <c r="AO110" s="805" t="e">
        <f>+AN110/2.291</f>
        <v>#VALUE!</v>
      </c>
      <c r="AR110" s="806">
        <v>114</v>
      </c>
      <c r="AS110" s="795">
        <f>IF(OR($C$12=$AR110,$D$12=$AR110),Schweine_Werte!$C110*0.5,IF(OR($C$12&gt;$AR110,$D$12&lt;$AR110),0,Schweine_Werte!$C110))</f>
        <v>0</v>
      </c>
      <c r="AT110" s="730">
        <f>IF(OR($C$24=$AR110,$D$24=$AR110),Schweine_Werte!$C110*0.5,IF(OR($C$24&gt;$AR110,$D$24&lt;$AR110),0,Schweine_Werte!$C110))</f>
        <v>0</v>
      </c>
      <c r="AU110" s="795">
        <f>IF(OR($C$36=$AR110,$D$36=$AR110),Schweine_Werte!$C110*0.5,IF(OR($C$36&gt;$AR110,$D$36&lt;$AR110),0,Schweine_Werte!$C110))</f>
        <v>0</v>
      </c>
      <c r="AV110" s="795">
        <f>IF(OR($C$48=$AR110,$D$48=$AR110),Schweine_Werte!$C110*0.5,IF(OR($C$48&gt;$AR110,$D$48&lt;$AR110),0,Schweine_Werte!$C110))</f>
        <v>0</v>
      </c>
      <c r="AW110" s="795">
        <f>IF(OR($C$60=$AR110,$D$60=$AR110),Schweine_Werte!$C110*0.5,IF(OR($C$60&gt;$AR110,$D$60&lt;$AR110),0,Schweine_Werte!$C110))</f>
        <v>0</v>
      </c>
      <c r="AX110" s="795">
        <f>IF(OR($C$12=$AR110,$D$12=$AR110),Schweine_Werte!$E110*0.5,IF(OR($C$12&gt;$AR110,$D$12&lt;$AR110),0,Schweine_Werte!$E110))</f>
        <v>0</v>
      </c>
      <c r="AY110" s="730">
        <f>IF(OR($C$24=$AR110,$D$24=$AR110),Schweine_Werte!$E110*0.5,IF(OR($C$24&gt;$AR110,$D$24&lt;$AR110),0,Schweine_Werte!$E110))</f>
        <v>0</v>
      </c>
      <c r="AZ110" s="730">
        <f>IF(OR($C$36=$AR110,$D$36=$AR110),Schweine_Werte!$E110*0.5,IF(OR($C$36&gt;$AR110,$D$36&lt;$AR110),0,Schweine_Werte!$E110))</f>
        <v>0</v>
      </c>
      <c r="BA110" s="730">
        <f>IF(OR($C$48=$AR110,$D$48=$AR110),Schweine_Werte!$E110*0.5,IF(OR($C$48&gt;$AR110,$D$48&lt;$AR110),0,Schweine_Werte!$E110))</f>
        <v>0</v>
      </c>
      <c r="BB110" s="730">
        <f>IF(OR($C$60=$AR110,$D$60=$AR110),Schweine_Werte!$E110*0.5,IF(OR($C$60&gt;$AR110,$D$60&lt;$AR110),0,Schweine_Werte!$E110))</f>
        <v>0</v>
      </c>
      <c r="BC110" s="795">
        <f>IF(OR($C$12=$AR110,$D$12=$AR110),Schweine_Werte!$G110*0.5,IF(OR($C$12&gt;$AR110,$D$12&lt;$AR110),0,Schweine_Werte!$G110))</f>
        <v>0</v>
      </c>
      <c r="BD110" s="730">
        <f>IF(OR($C$24=$AR110,$D$24=$AR110),Schweine_Werte!$G110*0.5,IF(OR($C$24&gt;$AR110,$D$24&lt;$AR110),0,Schweine_Werte!$G110))</f>
        <v>0</v>
      </c>
      <c r="BE110" s="730">
        <f>IF(OR($C$36=$AR110,$D$36=$AR110),Schweine_Werte!$G110*0.5,IF(OR($C$36&gt;$AR110,$D$36&lt;$AR110),0,Schweine_Werte!$G110))</f>
        <v>0</v>
      </c>
      <c r="BF110" s="730">
        <f>IF(OR($C$48=$AR110,$D$48=$AR110),Schweine_Werte!$G110*0.5,IF(OR($C$48&gt;$AR110,$D$48&lt;$AR110),0,Schweine_Werte!$G110))</f>
        <v>0</v>
      </c>
      <c r="BG110" s="730">
        <f>IF(OR($C$60=$AR110,$D$60=$AR110),Schweine_Werte!$G110*0.5,IF(OR($C$60&gt;$AR110,$D$60&lt;$AR110),0,Schweine_Werte!$G110))</f>
        <v>0</v>
      </c>
      <c r="BH110" s="795">
        <f>IF(OR($C$12=$AR110,$D$12=$AR110),Schweine_Werte!$I110*0.5,IF(OR($C$12&gt;$AR110,$D$12&lt;$AR110),0,Schweine_Werte!$I110))</f>
        <v>0</v>
      </c>
      <c r="BI110" s="730">
        <f>IF(OR($C$24=$AR110,$D$24=$AR110),Schweine_Werte!$I110*0.5,IF(OR($C$24&gt;$AR110,$D$24&lt;$AR110),0,Schweine_Werte!$I110))</f>
        <v>0</v>
      </c>
      <c r="BJ110" s="730">
        <f>IF(OR($C$36=$AR110,$D$36=$AR110),Schweine_Werte!$I110*0.5,IF(OR($C$36&gt;$AR110,$D$36&lt;$AR110),0,Schweine_Werte!$I110))</f>
        <v>0</v>
      </c>
      <c r="BK110" s="730">
        <f>IF(OR($C$48=$AR110,$D$48=$AR110),Schweine_Werte!$I110*0.5,IF(OR($C$48&gt;$AR110,$D$48&lt;$AR110),0,Schweine_Werte!$I110))</f>
        <v>0</v>
      </c>
      <c r="BL110" s="730">
        <f>IF(OR($C$60=$AR110,$D$60=$AR110),Schweine_Werte!$I110*0.5,IF(OR($C$60&gt;$AR110,$D$60&lt;$AR110),0,Schweine_Werte!$I110))</f>
        <v>0</v>
      </c>
      <c r="BM110" s="795"/>
      <c r="BN110" s="730"/>
      <c r="BO110" s="730"/>
      <c r="BP110" s="730"/>
      <c r="BQ110" s="730"/>
      <c r="BR110" s="795">
        <f>IF(OR($C$74=$AR110,$D$74=$AR110),Schweine_Werte!$M110*0.5,IF(OR($C$74&gt;$AR110,$D$74&lt;$AR110),0,Schweine_Werte!$M110))</f>
        <v>0</v>
      </c>
      <c r="BS110" s="795">
        <f>IF(OR($C$83=$AR110,$D$83=$AR110),Schweine_Werte!$M110*0.5,IF(OR($C$83&gt;$AR110,$D$83&lt;$AR110),0,Schweine_Werte!$M110))</f>
        <v>0</v>
      </c>
      <c r="BT110" s="797">
        <f>IF(OR($C$92=$AR110,$D$92=$AR110),Schweine_Werte!$M110*0.5,IF(OR($C$92&gt;$AR110,$D$92&lt;$AR110),0,Schweine_Werte!$M110))</f>
        <v>0</v>
      </c>
      <c r="BU110" s="797">
        <f>IF(OR($C$101=$AR110,$D$101=$AR110),Schweine_Werte!$M110*0.5,IF(OR($C$101&gt;$AR110,$D$101&lt;$AR110),0,Schweine_Werte!$M110))</f>
        <v>0</v>
      </c>
      <c r="BV110" s="797">
        <f>IF(OR($C$110=$AR110,$D$110=$AR110),Schweine_Werte!$M110*0.5,IF(OR($C$110&gt;$AR110,$D$110&lt;$AR110),0,Schweine_Werte!$M110))</f>
        <v>0</v>
      </c>
      <c r="BW110" s="797">
        <f>IF(OR(8=$AR110,$E$127=$AR110),Schweine_Werte!$M110*0.5,IF(OR(8&gt;$AR110,$E$127&lt;$AR110),0,Schweine_Werte!$M110))</f>
        <v>1.4477278921508818</v>
      </c>
      <c r="BX110" s="797">
        <f>IF(OR(8=$AR110,$E$145=$AR110),Schweine_Werte!$M110*0.5,IF(OR(8&gt;$AR110,$E$145&lt;$AR110),0,Schweine_Werte!$M110))</f>
        <v>1.4477278921508818</v>
      </c>
      <c r="BY110" s="795">
        <f>IF(OR($C$74=$AR110,$D$74=$AR110),Schweine_Werte!$O110*0.5,IF(OR($C$74&gt;$AR110,$D$74&lt;$AR110),0,Schweine_Werte!$O110))</f>
        <v>0</v>
      </c>
      <c r="BZ110" s="795">
        <f>IF(OR($C$83=$AR110,$D$83=$AR110),Schweine_Werte!$O110*0.5,IF(OR($C$83&gt;$AR110,$D$83&lt;$AR110),0,Schweine_Werte!$O110))</f>
        <v>0</v>
      </c>
      <c r="CA110" s="797">
        <f>IF(OR($C$92=$AR110,$D$92=$AR110),Schweine_Werte!$O110*0.5,IF(OR($C$92&gt;$AR110,$D$92&lt;$AR110),0,Schweine_Werte!$O110))</f>
        <v>0</v>
      </c>
      <c r="CB110" s="797">
        <f>IF(OR($C$101=$AR110,$D$101=$AR110),Schweine_Werte!$O110*0.5,IF(OR($C$101&gt;$AR110,$D$101&lt;$AR110),0,Schweine_Werte!$O110))</f>
        <v>0</v>
      </c>
      <c r="CC110" s="797">
        <f>IF(OR($C$110=$AR110,$D$110=$AR110),Schweine_Werte!$O110*0.5,IF(OR($C$110&gt;$AR110,$D$110&lt;$AR110),0,Schweine_Werte!$O110))</f>
        <v>0</v>
      </c>
    </row>
    <row r="111" spans="1:81" x14ac:dyDescent="0.25">
      <c r="AR111" s="806">
        <v>115</v>
      </c>
      <c r="AS111" s="795">
        <f>IF(OR($C$12=$AR111,$D$12=$AR111),Schweine_Werte!$C111*0.5,IF(OR($C$12&gt;$AR111,$D$12&lt;$AR111),0,Schweine_Werte!$C111))</f>
        <v>0</v>
      </c>
      <c r="AT111" s="730">
        <f>IF(OR($C$24=$AR111,$D$24=$AR111),Schweine_Werte!$C111*0.5,IF(OR($C$24&gt;$AR111,$D$24&lt;$AR111),0,Schweine_Werte!$C111))</f>
        <v>0</v>
      </c>
      <c r="AU111" s="795">
        <f>IF(OR($C$36=$AR111,$D$36=$AR111),Schweine_Werte!$C111*0.5,IF(OR($C$36&gt;$AR111,$D$36&lt;$AR111),0,Schweine_Werte!$C111))</f>
        <v>0</v>
      </c>
      <c r="AV111" s="795">
        <f>IF(OR($C$48=$AR111,$D$48=$AR111),Schweine_Werte!$C111*0.5,IF(OR($C$48&gt;$AR111,$D$48&lt;$AR111),0,Schweine_Werte!$C111))</f>
        <v>0</v>
      </c>
      <c r="AW111" s="795">
        <f>IF(OR($C$60=$AR111,$D$60=$AR111),Schweine_Werte!$C111*0.5,IF(OR($C$60&gt;$AR111,$D$60&lt;$AR111),0,Schweine_Werte!$C111))</f>
        <v>0</v>
      </c>
      <c r="AX111" s="795">
        <f>IF(OR($C$12=$AR111,$D$12=$AR111),Schweine_Werte!$E111*0.5,IF(OR($C$12&gt;$AR111,$D$12&lt;$AR111),0,Schweine_Werte!$E111))</f>
        <v>0</v>
      </c>
      <c r="AY111" s="730">
        <f>IF(OR($C$24=$AR111,$D$24=$AR111),Schweine_Werte!$E111*0.5,IF(OR($C$24&gt;$AR111,$D$24&lt;$AR111),0,Schweine_Werte!$E111))</f>
        <v>0</v>
      </c>
      <c r="AZ111" s="730">
        <f>IF(OR($C$36=$AR111,$D$36=$AR111),Schweine_Werte!$E111*0.5,IF(OR($C$36&gt;$AR111,$D$36&lt;$AR111),0,Schweine_Werte!$E111))</f>
        <v>0</v>
      </c>
      <c r="BA111" s="730">
        <f>IF(OR($C$48=$AR111,$D$48=$AR111),Schweine_Werte!$E111*0.5,IF(OR($C$48&gt;$AR111,$D$48&lt;$AR111),0,Schweine_Werte!$E111))</f>
        <v>0</v>
      </c>
      <c r="BB111" s="730">
        <f>IF(OR($C$60=$AR111,$D$60=$AR111),Schweine_Werte!$E111*0.5,IF(OR($C$60&gt;$AR111,$D$60&lt;$AR111),0,Schweine_Werte!$E111))</f>
        <v>0</v>
      </c>
      <c r="BC111" s="795">
        <f>IF(OR($C$12=$AR111,$D$12=$AR111),Schweine_Werte!$G111*0.5,IF(OR($C$12&gt;$AR111,$D$12&lt;$AR111),0,Schweine_Werte!$G111))</f>
        <v>0</v>
      </c>
      <c r="BD111" s="730">
        <f>IF(OR($C$24=$AR111,$D$24=$AR111),Schweine_Werte!$G111*0.5,IF(OR($C$24&gt;$AR111,$D$24&lt;$AR111),0,Schweine_Werte!$G111))</f>
        <v>0</v>
      </c>
      <c r="BE111" s="730">
        <f>IF(OR($C$36=$AR111,$D$36=$AR111),Schweine_Werte!$G111*0.5,IF(OR($C$36&gt;$AR111,$D$36&lt;$AR111),0,Schweine_Werte!$G111))</f>
        <v>0</v>
      </c>
      <c r="BF111" s="730">
        <f>IF(OR($C$48=$AR111,$D$48=$AR111),Schweine_Werte!$G111*0.5,IF(OR($C$48&gt;$AR111,$D$48&lt;$AR111),0,Schweine_Werte!$G111))</f>
        <v>0</v>
      </c>
      <c r="BG111" s="730">
        <f>IF(OR($C$60=$AR111,$D$60=$AR111),Schweine_Werte!$G111*0.5,IF(OR($C$60&gt;$AR111,$D$60&lt;$AR111),0,Schweine_Werte!$G111))</f>
        <v>0</v>
      </c>
      <c r="BH111" s="795">
        <f>IF(OR($C$12=$AR111,$D$12=$AR111),Schweine_Werte!$I111*0.5,IF(OR($C$12&gt;$AR111,$D$12&lt;$AR111),0,Schweine_Werte!$I111))</f>
        <v>0</v>
      </c>
      <c r="BI111" s="730">
        <f>IF(OR($C$24=$AR111,$D$24=$AR111),Schweine_Werte!$I111*0.5,IF(OR($C$24&gt;$AR111,$D$24&lt;$AR111),0,Schweine_Werte!$I111))</f>
        <v>0</v>
      </c>
      <c r="BJ111" s="730">
        <f>IF(OR($C$36=$AR111,$D$36=$AR111),Schweine_Werte!$I111*0.5,IF(OR($C$36&gt;$AR111,$D$36&lt;$AR111),0,Schweine_Werte!$I111))</f>
        <v>0</v>
      </c>
      <c r="BK111" s="730">
        <f>IF(OR($C$48=$AR111,$D$48=$AR111),Schweine_Werte!$I111*0.5,IF(OR($C$48&gt;$AR111,$D$48&lt;$AR111),0,Schweine_Werte!$I111))</f>
        <v>0</v>
      </c>
      <c r="BL111" s="730">
        <f>IF(OR($C$60=$AR111,$D$60=$AR111),Schweine_Werte!$I111*0.5,IF(OR($C$60&gt;$AR111,$D$60&lt;$AR111),0,Schweine_Werte!$I111))</f>
        <v>0</v>
      </c>
      <c r="BM111" s="795"/>
      <c r="BN111" s="730"/>
      <c r="BO111" s="730"/>
      <c r="BP111" s="730"/>
      <c r="BQ111" s="730"/>
      <c r="BR111" s="795">
        <f>IF(OR($C$74=$AR111,$D$74=$AR111),Schweine_Werte!$M111*0.5,IF(OR($C$74&gt;$AR111,$D$74&lt;$AR111),0,Schweine_Werte!$M111))</f>
        <v>0</v>
      </c>
      <c r="BS111" s="795">
        <f>IF(OR($C$83=$AR111,$D$83=$AR111),Schweine_Werte!$M111*0.5,IF(OR($C$83&gt;$AR111,$D$83&lt;$AR111),0,Schweine_Werte!$M111))</f>
        <v>0</v>
      </c>
      <c r="BT111" s="797">
        <f>IF(OR($C$92=$AR111,$D$92=$AR111),Schweine_Werte!$M111*0.5,IF(OR($C$92&gt;$AR111,$D$92&lt;$AR111),0,Schweine_Werte!$M111))</f>
        <v>0</v>
      </c>
      <c r="BU111" s="797">
        <f>IF(OR($C$101=$AR111,$D$101=$AR111),Schweine_Werte!$M111*0.5,IF(OR($C$101&gt;$AR111,$D$101&lt;$AR111),0,Schweine_Werte!$M111))</f>
        <v>0</v>
      </c>
      <c r="BV111" s="797">
        <f>IF(OR($C$110=$AR111,$D$110=$AR111),Schweine_Werte!$M111*0.5,IF(OR($C$110&gt;$AR111,$D$110&lt;$AR111),0,Schweine_Werte!$M111))</f>
        <v>0</v>
      </c>
      <c r="BW111" s="797">
        <f>IF(OR(8=$AR111,$E$127=$AR111),Schweine_Werte!$M111*0.5,IF(OR(8&gt;$AR111,$E$127&lt;$AR111),0,Schweine_Werte!$M111))</f>
        <v>1.4477278921508818</v>
      </c>
      <c r="BX111" s="797">
        <f>IF(OR(8=$AR111,$E$145=$AR111),Schweine_Werte!$M111*0.5,IF(OR(8&gt;$AR111,$E$145&lt;$AR111),0,Schweine_Werte!$M111))</f>
        <v>1.4477278921508818</v>
      </c>
      <c r="BY111" s="795">
        <f>IF(OR($C$74=$AR111,$D$74=$AR111),Schweine_Werte!$O111*0.5,IF(OR($C$74&gt;$AR111,$D$74&lt;$AR111),0,Schweine_Werte!$O111))</f>
        <v>0</v>
      </c>
      <c r="BZ111" s="795">
        <f>IF(OR($C$83=$AR111,$D$83=$AR111),Schweine_Werte!$O111*0.5,IF(OR($C$83&gt;$AR111,$D$83&lt;$AR111),0,Schweine_Werte!$O111))</f>
        <v>0</v>
      </c>
      <c r="CA111" s="797">
        <f>IF(OR($C$92=$AR111,$D$92=$AR111),Schweine_Werte!$O111*0.5,IF(OR($C$92&gt;$AR111,$D$92&lt;$AR111),0,Schweine_Werte!$O111))</f>
        <v>0</v>
      </c>
      <c r="CB111" s="797">
        <f>IF(OR($C$101=$AR111,$D$101=$AR111),Schweine_Werte!$O111*0.5,IF(OR($C$101&gt;$AR111,$D$101&lt;$AR111),0,Schweine_Werte!$O111))</f>
        <v>0</v>
      </c>
      <c r="CC111" s="797">
        <f>IF(OR($C$110=$AR111,$D$110=$AR111),Schweine_Werte!$O111*0.5,IF(OR($C$110&gt;$AR111,$D$110&lt;$AR111),0,Schweine_Werte!$O111))</f>
        <v>0</v>
      </c>
    </row>
    <row r="112" spans="1:81" x14ac:dyDescent="0.25">
      <c r="AR112" s="806">
        <v>116</v>
      </c>
      <c r="AS112" s="795">
        <f>IF(OR($C$12=$AR112,$D$12=$AR112),Schweine_Werte!$C112*0.5,IF(OR($C$12&gt;$AR112,$D$12&lt;$AR112),0,Schweine_Werte!$C112))</f>
        <v>0</v>
      </c>
      <c r="AT112" s="730">
        <f>IF(OR($C$24=$AR112,$D$24=$AR112),Schweine_Werte!$C112*0.5,IF(OR($C$24&gt;$AR112,$D$24&lt;$AR112),0,Schweine_Werte!$C112))</f>
        <v>0</v>
      </c>
      <c r="AU112" s="795">
        <f>IF(OR($C$36=$AR112,$D$36=$AR112),Schweine_Werte!$C112*0.5,IF(OR($C$36&gt;$AR112,$D$36&lt;$AR112),0,Schweine_Werte!$C112))</f>
        <v>0</v>
      </c>
      <c r="AV112" s="795">
        <f>IF(OR($C$48=$AR112,$D$48=$AR112),Schweine_Werte!$C112*0.5,IF(OR($C$48&gt;$AR112,$D$48&lt;$AR112),0,Schweine_Werte!$C112))</f>
        <v>0</v>
      </c>
      <c r="AW112" s="795">
        <f>IF(OR($C$60=$AR112,$D$60=$AR112),Schweine_Werte!$C112*0.5,IF(OR($C$60&gt;$AR112,$D$60&lt;$AR112),0,Schweine_Werte!$C112))</f>
        <v>0</v>
      </c>
      <c r="AX112" s="795">
        <f>IF(OR($C$12=$AR112,$D$12=$AR112),Schweine_Werte!$E112*0.5,IF(OR($C$12&gt;$AR112,$D$12&lt;$AR112),0,Schweine_Werte!$E112))</f>
        <v>0</v>
      </c>
      <c r="AY112" s="730">
        <f>IF(OR($C$24=$AR112,$D$24=$AR112),Schweine_Werte!$E112*0.5,IF(OR($C$24&gt;$AR112,$D$24&lt;$AR112),0,Schweine_Werte!$E112))</f>
        <v>0</v>
      </c>
      <c r="AZ112" s="730">
        <f>IF(OR($C$36=$AR112,$D$36=$AR112),Schweine_Werte!$E112*0.5,IF(OR($C$36&gt;$AR112,$D$36&lt;$AR112),0,Schweine_Werte!$E112))</f>
        <v>0</v>
      </c>
      <c r="BA112" s="730">
        <f>IF(OR($C$48=$AR112,$D$48=$AR112),Schweine_Werte!$E112*0.5,IF(OR($C$48&gt;$AR112,$D$48&lt;$AR112),0,Schweine_Werte!$E112))</f>
        <v>0</v>
      </c>
      <c r="BB112" s="730">
        <f>IF(OR($C$60=$AR112,$D$60=$AR112),Schweine_Werte!$E112*0.5,IF(OR($C$60&gt;$AR112,$D$60&lt;$AR112),0,Schweine_Werte!$E112))</f>
        <v>0</v>
      </c>
      <c r="BC112" s="795">
        <f>IF(OR($C$12=$AR112,$D$12=$AR112),Schweine_Werte!$G112*0.5,IF(OR($C$12&gt;$AR112,$D$12&lt;$AR112),0,Schweine_Werte!$G112))</f>
        <v>0</v>
      </c>
      <c r="BD112" s="730">
        <f>IF(OR($C$24=$AR112,$D$24=$AR112),Schweine_Werte!$G112*0.5,IF(OR($C$24&gt;$AR112,$D$24&lt;$AR112),0,Schweine_Werte!$G112))</f>
        <v>0</v>
      </c>
      <c r="BE112" s="730">
        <f>IF(OR($C$36=$AR112,$D$36=$AR112),Schweine_Werte!$G112*0.5,IF(OR($C$36&gt;$AR112,$D$36&lt;$AR112),0,Schweine_Werte!$G112))</f>
        <v>0</v>
      </c>
      <c r="BF112" s="730">
        <f>IF(OR($C$48=$AR112,$D$48=$AR112),Schweine_Werte!$G112*0.5,IF(OR($C$48&gt;$AR112,$D$48&lt;$AR112),0,Schweine_Werte!$G112))</f>
        <v>0</v>
      </c>
      <c r="BG112" s="730">
        <f>IF(OR($C$60=$AR112,$D$60=$AR112),Schweine_Werte!$G112*0.5,IF(OR($C$60&gt;$AR112,$D$60&lt;$AR112),0,Schweine_Werte!$G112))</f>
        <v>0</v>
      </c>
      <c r="BH112" s="795">
        <f>IF(OR($C$12=$AR112,$D$12=$AR112),Schweine_Werte!$I112*0.5,IF(OR($C$12&gt;$AR112,$D$12&lt;$AR112),0,Schweine_Werte!$I112))</f>
        <v>0</v>
      </c>
      <c r="BI112" s="730">
        <f>IF(OR($C$24=$AR112,$D$24=$AR112),Schweine_Werte!$I112*0.5,IF(OR($C$24&gt;$AR112,$D$24&lt;$AR112),0,Schweine_Werte!$I112))</f>
        <v>0</v>
      </c>
      <c r="BJ112" s="730">
        <f>IF(OR($C$36=$AR112,$D$36=$AR112),Schweine_Werte!$I112*0.5,IF(OR($C$36&gt;$AR112,$D$36&lt;$AR112),0,Schweine_Werte!$I112))</f>
        <v>0</v>
      </c>
      <c r="BK112" s="730">
        <f>IF(OR($C$48=$AR112,$D$48=$AR112),Schweine_Werte!$I112*0.5,IF(OR($C$48&gt;$AR112,$D$48&lt;$AR112),0,Schweine_Werte!$I112))</f>
        <v>0</v>
      </c>
      <c r="BL112" s="730">
        <f>IF(OR($C$60=$AR112,$D$60=$AR112),Schweine_Werte!$I112*0.5,IF(OR($C$60&gt;$AR112,$D$60&lt;$AR112),0,Schweine_Werte!$I112))</f>
        <v>0</v>
      </c>
      <c r="BM112" s="795"/>
      <c r="BN112" s="730"/>
      <c r="BO112" s="730"/>
      <c r="BP112" s="730"/>
      <c r="BQ112" s="730"/>
      <c r="BR112" s="795">
        <f>IF(OR($C$74=$AR112,$D$74=$AR112),Schweine_Werte!$M112*0.5,IF(OR($C$74&gt;$AR112,$D$74&lt;$AR112),0,Schweine_Werte!$M112))</f>
        <v>0</v>
      </c>
      <c r="BS112" s="795">
        <f>IF(OR($C$83=$AR112,$D$83=$AR112),Schweine_Werte!$M112*0.5,IF(OR($C$83&gt;$AR112,$D$83&lt;$AR112),0,Schweine_Werte!$M112))</f>
        <v>0</v>
      </c>
      <c r="BT112" s="797">
        <f>IF(OR($C$92=$AR112,$D$92=$AR112),Schweine_Werte!$M112*0.5,IF(OR($C$92&gt;$AR112,$D$92&lt;$AR112),0,Schweine_Werte!$M112))</f>
        <v>0</v>
      </c>
      <c r="BU112" s="797">
        <f>IF(OR($C$101=$AR112,$D$101=$AR112),Schweine_Werte!$M112*0.5,IF(OR($C$101&gt;$AR112,$D$101&lt;$AR112),0,Schweine_Werte!$M112))</f>
        <v>0</v>
      </c>
      <c r="BV112" s="797">
        <f>IF(OR($C$110=$AR112,$D$110=$AR112),Schweine_Werte!$M112*0.5,IF(OR($C$110&gt;$AR112,$D$110&lt;$AR112),0,Schweine_Werte!$M112))</f>
        <v>0</v>
      </c>
      <c r="BW112" s="797">
        <f>IF(OR(8=$AR112,$E$127=$AR112),Schweine_Werte!$M112*0.5,IF(OR(8&gt;$AR112,$E$127&lt;$AR112),0,Schweine_Werte!$M112))</f>
        <v>1.4477278921508818</v>
      </c>
      <c r="BX112" s="797">
        <f>IF(OR(8=$AR112,$E$145=$AR112),Schweine_Werte!$M112*0.5,IF(OR(8&gt;$AR112,$E$145&lt;$AR112),0,Schweine_Werte!$M112))</f>
        <v>1.4477278921508818</v>
      </c>
      <c r="BY112" s="795">
        <f>IF(OR($C$74=$AR112,$D$74=$AR112),Schweine_Werte!$O112*0.5,IF(OR($C$74&gt;$AR112,$D$74&lt;$AR112),0,Schweine_Werte!$O112))</f>
        <v>0</v>
      </c>
      <c r="BZ112" s="795">
        <f>IF(OR($C$83=$AR112,$D$83=$AR112),Schweine_Werte!$O112*0.5,IF(OR($C$83&gt;$AR112,$D$83&lt;$AR112),0,Schweine_Werte!$O112))</f>
        <v>0</v>
      </c>
      <c r="CA112" s="797">
        <f>IF(OR($C$92=$AR112,$D$92=$AR112),Schweine_Werte!$O112*0.5,IF(OR($C$92&gt;$AR112,$D$92&lt;$AR112),0,Schweine_Werte!$O112))</f>
        <v>0</v>
      </c>
      <c r="CB112" s="797">
        <f>IF(OR($C$101=$AR112,$D$101=$AR112),Schweine_Werte!$O112*0.5,IF(OR($C$101&gt;$AR112,$D$101&lt;$AR112),0,Schweine_Werte!$O112))</f>
        <v>0</v>
      </c>
      <c r="CC112" s="797">
        <f>IF(OR($C$110=$AR112,$D$110=$AR112),Schweine_Werte!$O112*0.5,IF(OR($C$110&gt;$AR112,$D$110&lt;$AR112),0,Schweine_Werte!$O112))</f>
        <v>0</v>
      </c>
    </row>
    <row r="113" spans="1:81" x14ac:dyDescent="0.25">
      <c r="AR113" s="806">
        <v>117</v>
      </c>
      <c r="AS113" s="795">
        <f>IF(OR($C$12=$AR113,$D$12=$AR113),Schweine_Werte!$C113*0.5,IF(OR($C$12&gt;$AR113,$D$12&lt;$AR113),0,Schweine_Werte!$C113))</f>
        <v>0</v>
      </c>
      <c r="AT113" s="730">
        <f>IF(OR($C$24=$AR113,$D$24=$AR113),Schweine_Werte!$C113*0.5,IF(OR($C$24&gt;$AR113,$D$24&lt;$AR113),0,Schweine_Werte!$C113))</f>
        <v>0</v>
      </c>
      <c r="AU113" s="795">
        <f>IF(OR($C$36=$AR113,$D$36=$AR113),Schweine_Werte!$C113*0.5,IF(OR($C$36&gt;$AR113,$D$36&lt;$AR113),0,Schweine_Werte!$C113))</f>
        <v>0</v>
      </c>
      <c r="AV113" s="795">
        <f>IF(OR($C$48=$AR113,$D$48=$AR113),Schweine_Werte!$C113*0.5,IF(OR($C$48&gt;$AR113,$D$48&lt;$AR113),0,Schweine_Werte!$C113))</f>
        <v>0</v>
      </c>
      <c r="AW113" s="795">
        <f>IF(OR($C$60=$AR113,$D$60=$AR113),Schweine_Werte!$C113*0.5,IF(OR($C$60&gt;$AR113,$D$60&lt;$AR113),0,Schweine_Werte!$C113))</f>
        <v>0</v>
      </c>
      <c r="AX113" s="795">
        <f>IF(OR($C$12=$AR113,$D$12=$AR113),Schweine_Werte!$E113*0.5,IF(OR($C$12&gt;$AR113,$D$12&lt;$AR113),0,Schweine_Werte!$E113))</f>
        <v>0</v>
      </c>
      <c r="AY113" s="730">
        <f>IF(OR($C$24=$AR113,$D$24=$AR113),Schweine_Werte!$E113*0.5,IF(OR($C$24&gt;$AR113,$D$24&lt;$AR113),0,Schweine_Werte!$E113))</f>
        <v>0</v>
      </c>
      <c r="AZ113" s="730">
        <f>IF(OR($C$36=$AR113,$D$36=$AR113),Schweine_Werte!$E113*0.5,IF(OR($C$36&gt;$AR113,$D$36&lt;$AR113),0,Schweine_Werte!$E113))</f>
        <v>0</v>
      </c>
      <c r="BA113" s="730">
        <f>IF(OR($C$48=$AR113,$D$48=$AR113),Schweine_Werte!$E113*0.5,IF(OR($C$48&gt;$AR113,$D$48&lt;$AR113),0,Schweine_Werte!$E113))</f>
        <v>0</v>
      </c>
      <c r="BB113" s="730">
        <f>IF(OR($C$60=$AR113,$D$60=$AR113),Schweine_Werte!$E113*0.5,IF(OR($C$60&gt;$AR113,$D$60&lt;$AR113),0,Schweine_Werte!$E113))</f>
        <v>0</v>
      </c>
      <c r="BC113" s="795">
        <f>IF(OR($C$12=$AR113,$D$12=$AR113),Schweine_Werte!$G113*0.5,IF(OR($C$12&gt;$AR113,$D$12&lt;$AR113),0,Schweine_Werte!$G113))</f>
        <v>0</v>
      </c>
      <c r="BD113" s="730">
        <f>IF(OR($C$24=$AR113,$D$24=$AR113),Schweine_Werte!$G113*0.5,IF(OR($C$24&gt;$AR113,$D$24&lt;$AR113),0,Schweine_Werte!$G113))</f>
        <v>0</v>
      </c>
      <c r="BE113" s="730">
        <f>IF(OR($C$36=$AR113,$D$36=$AR113),Schweine_Werte!$G113*0.5,IF(OR($C$36&gt;$AR113,$D$36&lt;$AR113),0,Schweine_Werte!$G113))</f>
        <v>0</v>
      </c>
      <c r="BF113" s="730">
        <f>IF(OR($C$48=$AR113,$D$48=$AR113),Schweine_Werte!$G113*0.5,IF(OR($C$48&gt;$AR113,$D$48&lt;$AR113),0,Schweine_Werte!$G113))</f>
        <v>0</v>
      </c>
      <c r="BG113" s="730">
        <f>IF(OR($C$60=$AR113,$D$60=$AR113),Schweine_Werte!$G113*0.5,IF(OR($C$60&gt;$AR113,$D$60&lt;$AR113),0,Schweine_Werte!$G113))</f>
        <v>0</v>
      </c>
      <c r="BH113" s="795">
        <f>IF(OR($C$12=$AR113,$D$12=$AR113),Schweine_Werte!$I113*0.5,IF(OR($C$12&gt;$AR113,$D$12&lt;$AR113),0,Schweine_Werte!$I113))</f>
        <v>0</v>
      </c>
      <c r="BI113" s="730">
        <f>IF(OR($C$24=$AR113,$D$24=$AR113),Schweine_Werte!$I113*0.5,IF(OR($C$24&gt;$AR113,$D$24&lt;$AR113),0,Schweine_Werte!$I113))</f>
        <v>0</v>
      </c>
      <c r="BJ113" s="730">
        <f>IF(OR($C$36=$AR113,$D$36=$AR113),Schweine_Werte!$I113*0.5,IF(OR($C$36&gt;$AR113,$D$36&lt;$AR113),0,Schweine_Werte!$I113))</f>
        <v>0</v>
      </c>
      <c r="BK113" s="730">
        <f>IF(OR($C$48=$AR113,$D$48=$AR113),Schweine_Werte!$I113*0.5,IF(OR($C$48&gt;$AR113,$D$48&lt;$AR113),0,Schweine_Werte!$I113))</f>
        <v>0</v>
      </c>
      <c r="BL113" s="730">
        <f>IF(OR($C$60=$AR113,$D$60=$AR113),Schweine_Werte!$I113*0.5,IF(OR($C$60&gt;$AR113,$D$60&lt;$AR113),0,Schweine_Werte!$I113))</f>
        <v>0</v>
      </c>
      <c r="BM113" s="795"/>
      <c r="BN113" s="730"/>
      <c r="BO113" s="730"/>
      <c r="BP113" s="730"/>
      <c r="BQ113" s="730"/>
      <c r="BR113" s="795">
        <f>IF(OR($C$74=$AR113,$D$74=$AR113),Schweine_Werte!$M113*0.5,IF(OR($C$74&gt;$AR113,$D$74&lt;$AR113),0,Schweine_Werte!$M113))</f>
        <v>0</v>
      </c>
      <c r="BS113" s="795">
        <f>IF(OR($C$83=$AR113,$D$83=$AR113),Schweine_Werte!$M113*0.5,IF(OR($C$83&gt;$AR113,$D$83&lt;$AR113),0,Schweine_Werte!$M113))</f>
        <v>0</v>
      </c>
      <c r="BT113" s="797">
        <f>IF(OR($C$92=$AR113,$D$92=$AR113),Schweine_Werte!$M113*0.5,IF(OR($C$92&gt;$AR113,$D$92&lt;$AR113),0,Schweine_Werte!$M113))</f>
        <v>0</v>
      </c>
      <c r="BU113" s="797">
        <f>IF(OR($C$101=$AR113,$D$101=$AR113),Schweine_Werte!$M113*0.5,IF(OR($C$101&gt;$AR113,$D$101&lt;$AR113),0,Schweine_Werte!$M113))</f>
        <v>0</v>
      </c>
      <c r="BV113" s="797">
        <f>IF(OR($C$110=$AR113,$D$110=$AR113),Schweine_Werte!$M113*0.5,IF(OR($C$110&gt;$AR113,$D$110&lt;$AR113),0,Schweine_Werte!$M113))</f>
        <v>0</v>
      </c>
      <c r="BW113" s="797">
        <f>IF(OR(8=$AR113,$E$127=$AR113),Schweine_Werte!$M113*0.5,IF(OR(8&gt;$AR113,$E$127&lt;$AR113),0,Schweine_Werte!$M113))</f>
        <v>1.4477278921508818</v>
      </c>
      <c r="BX113" s="797">
        <f>IF(OR(8=$AR113,$E$145=$AR113),Schweine_Werte!$M113*0.5,IF(OR(8&gt;$AR113,$E$145&lt;$AR113),0,Schweine_Werte!$M113))</f>
        <v>1.4477278921508818</v>
      </c>
      <c r="BY113" s="795">
        <f>IF(OR($C$74=$AR113,$D$74=$AR113),Schweine_Werte!$O113*0.5,IF(OR($C$74&gt;$AR113,$D$74&lt;$AR113),0,Schweine_Werte!$O113))</f>
        <v>0</v>
      </c>
      <c r="BZ113" s="795">
        <f>IF(OR($C$83=$AR113,$D$83=$AR113),Schweine_Werte!$O113*0.5,IF(OR($C$83&gt;$AR113,$D$83&lt;$AR113),0,Schweine_Werte!$O113))</f>
        <v>0</v>
      </c>
      <c r="CA113" s="797">
        <f>IF(OR($C$92=$AR113,$D$92=$AR113),Schweine_Werte!$O113*0.5,IF(OR($C$92&gt;$AR113,$D$92&lt;$AR113),0,Schweine_Werte!$O113))</f>
        <v>0</v>
      </c>
      <c r="CB113" s="797">
        <f>IF(OR($C$101=$AR113,$D$101=$AR113),Schweine_Werte!$O113*0.5,IF(OR($C$101&gt;$AR113,$D$101&lt;$AR113),0,Schweine_Werte!$O113))</f>
        <v>0</v>
      </c>
      <c r="CC113" s="797">
        <f>IF(OR($C$110=$AR113,$D$110=$AR113),Schweine_Werte!$O113*0.5,IF(OR($C$110&gt;$AR113,$D$110&lt;$AR113),0,Schweine_Werte!$O113))</f>
        <v>0</v>
      </c>
    </row>
    <row r="114" spans="1:81" x14ac:dyDescent="0.25">
      <c r="AR114" s="806">
        <v>118</v>
      </c>
      <c r="AS114" s="795">
        <f>IF(OR($C$12=$AR114,$D$12=$AR114),Schweine_Werte!$C114*0.5,IF(OR($C$12&gt;$AR114,$D$12&lt;$AR114),0,Schweine_Werte!$C114))</f>
        <v>0</v>
      </c>
      <c r="AT114" s="730">
        <f>IF(OR($C$24=$AR114,$D$24=$AR114),Schweine_Werte!$C114*0.5,IF(OR($C$24&gt;$AR114,$D$24&lt;$AR114),0,Schweine_Werte!$C114))</f>
        <v>0</v>
      </c>
      <c r="AU114" s="795">
        <f>IF(OR($C$36=$AR114,$D$36=$AR114),Schweine_Werte!$C114*0.5,IF(OR($C$36&gt;$AR114,$D$36&lt;$AR114),0,Schweine_Werte!$C114))</f>
        <v>0</v>
      </c>
      <c r="AV114" s="795">
        <f>IF(OR($C$48=$AR114,$D$48=$AR114),Schweine_Werte!$C114*0.5,IF(OR($C$48&gt;$AR114,$D$48&lt;$AR114),0,Schweine_Werte!$C114))</f>
        <v>0</v>
      </c>
      <c r="AW114" s="795">
        <f>IF(OR($C$60=$AR114,$D$60=$AR114),Schweine_Werte!$C114*0.5,IF(OR($C$60&gt;$AR114,$D$60&lt;$AR114),0,Schweine_Werte!$C114))</f>
        <v>0</v>
      </c>
      <c r="AX114" s="795">
        <f>IF(OR($C$12=$AR114,$D$12=$AR114),Schweine_Werte!$E114*0.5,IF(OR($C$12&gt;$AR114,$D$12&lt;$AR114),0,Schweine_Werte!$E114))</f>
        <v>0</v>
      </c>
      <c r="AY114" s="730">
        <f>IF(OR($C$24=$AR114,$D$24=$AR114),Schweine_Werte!$E114*0.5,IF(OR($C$24&gt;$AR114,$D$24&lt;$AR114),0,Schweine_Werte!$E114))</f>
        <v>0</v>
      </c>
      <c r="AZ114" s="730">
        <f>IF(OR($C$36=$AR114,$D$36=$AR114),Schweine_Werte!$E114*0.5,IF(OR($C$36&gt;$AR114,$D$36&lt;$AR114),0,Schweine_Werte!$E114))</f>
        <v>0</v>
      </c>
      <c r="BA114" s="730">
        <f>IF(OR($C$48=$AR114,$D$48=$AR114),Schweine_Werte!$E114*0.5,IF(OR($C$48&gt;$AR114,$D$48&lt;$AR114),0,Schweine_Werte!$E114))</f>
        <v>0</v>
      </c>
      <c r="BB114" s="730">
        <f>IF(OR($C$60=$AR114,$D$60=$AR114),Schweine_Werte!$E114*0.5,IF(OR($C$60&gt;$AR114,$D$60&lt;$AR114),0,Schweine_Werte!$E114))</f>
        <v>0</v>
      </c>
      <c r="BC114" s="795">
        <f>IF(OR($C$12=$AR114,$D$12=$AR114),Schweine_Werte!$G114*0.5,IF(OR($C$12&gt;$AR114,$D$12&lt;$AR114),0,Schweine_Werte!$G114))</f>
        <v>0</v>
      </c>
      <c r="BD114" s="730">
        <f>IF(OR($C$24=$AR114,$D$24=$AR114),Schweine_Werte!$G114*0.5,IF(OR($C$24&gt;$AR114,$D$24&lt;$AR114),0,Schweine_Werte!$G114))</f>
        <v>0</v>
      </c>
      <c r="BE114" s="730">
        <f>IF(OR($C$36=$AR114,$D$36=$AR114),Schweine_Werte!$G114*0.5,IF(OR($C$36&gt;$AR114,$D$36&lt;$AR114),0,Schweine_Werte!$G114))</f>
        <v>0</v>
      </c>
      <c r="BF114" s="730">
        <f>IF(OR($C$48=$AR114,$D$48=$AR114),Schweine_Werte!$G114*0.5,IF(OR($C$48&gt;$AR114,$D$48&lt;$AR114),0,Schweine_Werte!$G114))</f>
        <v>0</v>
      </c>
      <c r="BG114" s="730">
        <f>IF(OR($C$60=$AR114,$D$60=$AR114),Schweine_Werte!$G114*0.5,IF(OR($C$60&gt;$AR114,$D$60&lt;$AR114),0,Schweine_Werte!$G114))</f>
        <v>0</v>
      </c>
      <c r="BH114" s="795">
        <f>IF(OR($C$12=$AR114,$D$12=$AR114),Schweine_Werte!$I114*0.5,IF(OR($C$12&gt;$AR114,$D$12&lt;$AR114),0,Schweine_Werte!$I114))</f>
        <v>0</v>
      </c>
      <c r="BI114" s="730">
        <f>IF(OR($C$24=$AR114,$D$24=$AR114),Schweine_Werte!$I114*0.5,IF(OR($C$24&gt;$AR114,$D$24&lt;$AR114),0,Schweine_Werte!$I114))</f>
        <v>0</v>
      </c>
      <c r="BJ114" s="730">
        <f>IF(OR($C$36=$AR114,$D$36=$AR114),Schweine_Werte!$I114*0.5,IF(OR($C$36&gt;$AR114,$D$36&lt;$AR114),0,Schweine_Werte!$I114))</f>
        <v>0</v>
      </c>
      <c r="BK114" s="730">
        <f>IF(OR($C$48=$AR114,$D$48=$AR114),Schweine_Werte!$I114*0.5,IF(OR($C$48&gt;$AR114,$D$48&lt;$AR114),0,Schweine_Werte!$I114))</f>
        <v>0</v>
      </c>
      <c r="BL114" s="730">
        <f>IF(OR($C$60=$AR114,$D$60=$AR114),Schweine_Werte!$I114*0.5,IF(OR($C$60&gt;$AR114,$D$60&lt;$AR114),0,Schweine_Werte!$I114))</f>
        <v>0</v>
      </c>
      <c r="BM114" s="795"/>
      <c r="BN114" s="730"/>
      <c r="BO114" s="730"/>
      <c r="BP114" s="730"/>
      <c r="BQ114" s="730"/>
      <c r="BR114" s="795">
        <f>IF(OR($C$74=$AR114,$D$74=$AR114),Schweine_Werte!$M114*0.5,IF(OR($C$74&gt;$AR114,$D$74&lt;$AR114),0,Schweine_Werte!$M114))</f>
        <v>0</v>
      </c>
      <c r="BS114" s="795">
        <f>IF(OR($C$83=$AR114,$D$83=$AR114),Schweine_Werte!$M114*0.5,IF(OR($C$83&gt;$AR114,$D$83&lt;$AR114),0,Schweine_Werte!$M114))</f>
        <v>0</v>
      </c>
      <c r="BT114" s="797">
        <f>IF(OR($C$92=$AR114,$D$92=$AR114),Schweine_Werte!$M114*0.5,IF(OR($C$92&gt;$AR114,$D$92&lt;$AR114),0,Schweine_Werte!$M114))</f>
        <v>0</v>
      </c>
      <c r="BU114" s="797">
        <f>IF(OR($C$101=$AR114,$D$101=$AR114),Schweine_Werte!$M114*0.5,IF(OR($C$101&gt;$AR114,$D$101&lt;$AR114),0,Schweine_Werte!$M114))</f>
        <v>0</v>
      </c>
      <c r="BV114" s="797">
        <f>IF(OR($C$110=$AR114,$D$110=$AR114),Schweine_Werte!$M114*0.5,IF(OR($C$110&gt;$AR114,$D$110&lt;$AR114),0,Schweine_Werte!$M114))</f>
        <v>0</v>
      </c>
      <c r="BW114" s="797">
        <f>IF(OR(8=$AR114,$E$127=$AR114),Schweine_Werte!$M114*0.5,IF(OR(8&gt;$AR114,$E$127&lt;$AR114),0,Schweine_Werte!$M114))</f>
        <v>1.4477278921508818</v>
      </c>
      <c r="BX114" s="797">
        <f>IF(OR(8=$AR114,$E$145=$AR114),Schweine_Werte!$M114*0.5,IF(OR(8&gt;$AR114,$E$145&lt;$AR114),0,Schweine_Werte!$M114))</f>
        <v>1.4477278921508818</v>
      </c>
      <c r="BY114" s="795">
        <f>IF(OR($C$74=$AR114,$D$74=$AR114),Schweine_Werte!$O114*0.5,IF(OR($C$74&gt;$AR114,$D$74&lt;$AR114),0,Schweine_Werte!$O114))</f>
        <v>0</v>
      </c>
      <c r="BZ114" s="795">
        <f>IF(OR($C$83=$AR114,$D$83=$AR114),Schweine_Werte!$O114*0.5,IF(OR($C$83&gt;$AR114,$D$83&lt;$AR114),0,Schweine_Werte!$O114))</f>
        <v>0</v>
      </c>
      <c r="CA114" s="797">
        <f>IF(OR($C$92=$AR114,$D$92=$AR114),Schweine_Werte!$O114*0.5,IF(OR($C$92&gt;$AR114,$D$92&lt;$AR114),0,Schweine_Werte!$O114))</f>
        <v>0</v>
      </c>
      <c r="CB114" s="797">
        <f>IF(OR($C$101=$AR114,$D$101=$AR114),Schweine_Werte!$O114*0.5,IF(OR($C$101&gt;$AR114,$D$101&lt;$AR114),0,Schweine_Werte!$O114))</f>
        <v>0</v>
      </c>
      <c r="CC114" s="797">
        <f>IF(OR($C$110=$AR114,$D$110=$AR114),Schweine_Werte!$O114*0.5,IF(OR($C$110&gt;$AR114,$D$110&lt;$AR114),0,Schweine_Werte!$O114))</f>
        <v>0</v>
      </c>
    </row>
    <row r="115" spans="1:81" x14ac:dyDescent="0.25">
      <c r="AR115" s="806">
        <v>119</v>
      </c>
      <c r="AS115" s="795">
        <f>IF(OR($C$12=$AR115,$D$12=$AR115),Schweine_Werte!$C115*0.5,IF(OR($C$12&gt;$AR115,$D$12&lt;$AR115),0,Schweine_Werte!$C115))</f>
        <v>0</v>
      </c>
      <c r="AT115" s="730">
        <f>IF(OR($C$24=$AR115,$D$24=$AR115),Schweine_Werte!$C115*0.5,IF(OR($C$24&gt;$AR115,$D$24&lt;$AR115),0,Schweine_Werte!$C115))</f>
        <v>0</v>
      </c>
      <c r="AU115" s="795">
        <f>IF(OR($C$36=$AR115,$D$36=$AR115),Schweine_Werte!$C115*0.5,IF(OR($C$36&gt;$AR115,$D$36&lt;$AR115),0,Schweine_Werte!$C115))</f>
        <v>0</v>
      </c>
      <c r="AV115" s="795">
        <f>IF(OR($C$48=$AR115,$D$48=$AR115),Schweine_Werte!$C115*0.5,IF(OR($C$48&gt;$AR115,$D$48&lt;$AR115),0,Schweine_Werte!$C115))</f>
        <v>0</v>
      </c>
      <c r="AW115" s="795">
        <f>IF(OR($C$60=$AR115,$D$60=$AR115),Schweine_Werte!$C115*0.5,IF(OR($C$60&gt;$AR115,$D$60&lt;$AR115),0,Schweine_Werte!$C115))</f>
        <v>0</v>
      </c>
      <c r="AX115" s="795">
        <f>IF(OR($C$12=$AR115,$D$12=$AR115),Schweine_Werte!$E115*0.5,IF(OR($C$12&gt;$AR115,$D$12&lt;$AR115),0,Schweine_Werte!$E115))</f>
        <v>0</v>
      </c>
      <c r="AY115" s="730">
        <f>IF(OR($C$24=$AR115,$D$24=$AR115),Schweine_Werte!$E115*0.5,IF(OR($C$24&gt;$AR115,$D$24&lt;$AR115),0,Schweine_Werte!$E115))</f>
        <v>0</v>
      </c>
      <c r="AZ115" s="730">
        <f>IF(OR($C$36=$AR115,$D$36=$AR115),Schweine_Werte!$E115*0.5,IF(OR($C$36&gt;$AR115,$D$36&lt;$AR115),0,Schweine_Werte!$E115))</f>
        <v>0</v>
      </c>
      <c r="BA115" s="730">
        <f>IF(OR($C$48=$AR115,$D$48=$AR115),Schweine_Werte!$E115*0.5,IF(OR($C$48&gt;$AR115,$D$48&lt;$AR115),0,Schweine_Werte!$E115))</f>
        <v>0</v>
      </c>
      <c r="BB115" s="730">
        <f>IF(OR($C$60=$AR115,$D$60=$AR115),Schweine_Werte!$E115*0.5,IF(OR($C$60&gt;$AR115,$D$60&lt;$AR115),0,Schweine_Werte!$E115))</f>
        <v>0</v>
      </c>
      <c r="BC115" s="795">
        <f>IF(OR($C$12=$AR115,$D$12=$AR115),Schweine_Werte!$G115*0.5,IF(OR($C$12&gt;$AR115,$D$12&lt;$AR115),0,Schweine_Werte!$G115))</f>
        <v>0</v>
      </c>
      <c r="BD115" s="730">
        <f>IF(OR($C$24=$AR115,$D$24=$AR115),Schweine_Werte!$G115*0.5,IF(OR($C$24&gt;$AR115,$D$24&lt;$AR115),0,Schweine_Werte!$G115))</f>
        <v>0</v>
      </c>
      <c r="BE115" s="730">
        <f>IF(OR($C$36=$AR115,$D$36=$AR115),Schweine_Werte!$G115*0.5,IF(OR($C$36&gt;$AR115,$D$36&lt;$AR115),0,Schweine_Werte!$G115))</f>
        <v>0</v>
      </c>
      <c r="BF115" s="730">
        <f>IF(OR($C$48=$AR115,$D$48=$AR115),Schweine_Werte!$G115*0.5,IF(OR($C$48&gt;$AR115,$D$48&lt;$AR115),0,Schweine_Werte!$G115))</f>
        <v>0</v>
      </c>
      <c r="BG115" s="730">
        <f>IF(OR($C$60=$AR115,$D$60=$AR115),Schweine_Werte!$G115*0.5,IF(OR($C$60&gt;$AR115,$D$60&lt;$AR115),0,Schweine_Werte!$G115))</f>
        <v>0</v>
      </c>
      <c r="BH115" s="795">
        <f>IF(OR($C$12=$AR115,$D$12=$AR115),Schweine_Werte!$I115*0.5,IF(OR($C$12&gt;$AR115,$D$12&lt;$AR115),0,Schweine_Werte!$I115))</f>
        <v>0</v>
      </c>
      <c r="BI115" s="730">
        <f>IF(OR($C$24=$AR115,$D$24=$AR115),Schweine_Werte!$I115*0.5,IF(OR($C$24&gt;$AR115,$D$24&lt;$AR115),0,Schweine_Werte!$I115))</f>
        <v>0</v>
      </c>
      <c r="BJ115" s="730">
        <f>IF(OR($C$36=$AR115,$D$36=$AR115),Schweine_Werte!$I115*0.5,IF(OR($C$36&gt;$AR115,$D$36&lt;$AR115),0,Schweine_Werte!$I115))</f>
        <v>0</v>
      </c>
      <c r="BK115" s="730">
        <f>IF(OR($C$48=$AR115,$D$48=$AR115),Schweine_Werte!$I115*0.5,IF(OR($C$48&gt;$AR115,$D$48&lt;$AR115),0,Schweine_Werte!$I115))</f>
        <v>0</v>
      </c>
      <c r="BL115" s="730">
        <f>IF(OR($C$60=$AR115,$D$60=$AR115),Schweine_Werte!$I115*0.5,IF(OR($C$60&gt;$AR115,$D$60&lt;$AR115),0,Schweine_Werte!$I115))</f>
        <v>0</v>
      </c>
      <c r="BM115" s="795"/>
      <c r="BN115" s="730"/>
      <c r="BO115" s="730"/>
      <c r="BP115" s="730"/>
      <c r="BQ115" s="730"/>
      <c r="BR115" s="795">
        <f>IF(OR($C$74=$AR115,$D$74=$AR115),Schweine_Werte!$M115*0.5,IF(OR($C$74&gt;$AR115,$D$74&lt;$AR115),0,Schweine_Werte!$M115))</f>
        <v>0</v>
      </c>
      <c r="BS115" s="795">
        <f>IF(OR($C$83=$AR115,$D$83=$AR115),Schweine_Werte!$M115*0.5,IF(OR($C$83&gt;$AR115,$D$83&lt;$AR115),0,Schweine_Werte!$M115))</f>
        <v>0</v>
      </c>
      <c r="BT115" s="797">
        <f>IF(OR($C$92=$AR115,$D$92=$AR115),Schweine_Werte!$M115*0.5,IF(OR($C$92&gt;$AR115,$D$92&lt;$AR115),0,Schweine_Werte!$M115))</f>
        <v>0</v>
      </c>
      <c r="BU115" s="797">
        <f>IF(OR($C$101=$AR115,$D$101=$AR115),Schweine_Werte!$M115*0.5,IF(OR($C$101&gt;$AR115,$D$101&lt;$AR115),0,Schweine_Werte!$M115))</f>
        <v>0</v>
      </c>
      <c r="BV115" s="797">
        <f>IF(OR($C$110=$AR115,$D$110=$AR115),Schweine_Werte!$M115*0.5,IF(OR($C$110&gt;$AR115,$D$110&lt;$AR115),0,Schweine_Werte!$M115))</f>
        <v>0</v>
      </c>
      <c r="BW115" s="797">
        <f>IF(OR(8=$AR115,$E$127=$AR115),Schweine_Werte!$M115*0.5,IF(OR(8&gt;$AR115,$E$127&lt;$AR115),0,Schweine_Werte!$M115))</f>
        <v>1.4477278921508818</v>
      </c>
      <c r="BX115" s="797">
        <f>IF(OR(8=$AR115,$E$145=$AR115),Schweine_Werte!$M115*0.5,IF(OR(8&gt;$AR115,$E$145&lt;$AR115),0,Schweine_Werte!$M115))</f>
        <v>1.4477278921508818</v>
      </c>
      <c r="BY115" s="795">
        <f>IF(OR($C$74=$AR115,$D$74=$AR115),Schweine_Werte!$O115*0.5,IF(OR($C$74&gt;$AR115,$D$74&lt;$AR115),0,Schweine_Werte!$O115))</f>
        <v>0</v>
      </c>
      <c r="BZ115" s="795">
        <f>IF(OR($C$83=$AR115,$D$83=$AR115),Schweine_Werte!$O115*0.5,IF(OR($C$83&gt;$AR115,$D$83&lt;$AR115),0,Schweine_Werte!$O115))</f>
        <v>0</v>
      </c>
      <c r="CA115" s="797">
        <f>IF(OR($C$92=$AR115,$D$92=$AR115),Schweine_Werte!$O115*0.5,IF(OR($C$92&gt;$AR115,$D$92&lt;$AR115),0,Schweine_Werte!$O115))</f>
        <v>0</v>
      </c>
      <c r="CB115" s="797">
        <f>IF(OR($C$101=$AR115,$D$101=$AR115),Schweine_Werte!$O115*0.5,IF(OR($C$101&gt;$AR115,$D$101&lt;$AR115),0,Schweine_Werte!$O115))</f>
        <v>0</v>
      </c>
      <c r="CC115" s="797">
        <f>IF(OR($C$110=$AR115,$D$110=$AR115),Schweine_Werte!$O115*0.5,IF(OR($C$110&gt;$AR115,$D$110&lt;$AR115),0,Schweine_Werte!$O115))</f>
        <v>0</v>
      </c>
    </row>
    <row r="116" spans="1:81" ht="13.8" thickBot="1" x14ac:dyDescent="0.3">
      <c r="AR116" s="806">
        <v>120</v>
      </c>
      <c r="AS116" s="795">
        <f>IF(OR($C$12=$AR116,$D$12=$AR116),Schweine_Werte!$C116*0.5,IF(OR($C$12&gt;$AR116,$D$12&lt;$AR116),0,Schweine_Werte!$C116))</f>
        <v>0</v>
      </c>
      <c r="AT116" s="730">
        <f>IF(OR($C$24=$AR116,$D$24=$AR116),Schweine_Werte!$C116*0.5,IF(OR($C$24&gt;$AR116,$D$24&lt;$AR116),0,Schweine_Werte!$C116))</f>
        <v>0</v>
      </c>
      <c r="AU116" s="795">
        <f>IF(OR($C$36=$AR116,$D$36=$AR116),Schweine_Werte!$C116*0.5,IF(OR($C$36&gt;$AR116,$D$36&lt;$AR116),0,Schweine_Werte!$C116))</f>
        <v>0</v>
      </c>
      <c r="AV116" s="795">
        <f>IF(OR($C$48=$AR116,$D$48=$AR116),Schweine_Werte!$C116*0.5,IF(OR($C$48&gt;$AR116,$D$48&lt;$AR116),0,Schweine_Werte!$C116))</f>
        <v>0</v>
      </c>
      <c r="AW116" s="795">
        <f>IF(OR($C$60=$AR116,$D$60=$AR116),Schweine_Werte!$C116*0.5,IF(OR($C$60&gt;$AR116,$D$60&lt;$AR116),0,Schweine_Werte!$C116))</f>
        <v>0</v>
      </c>
      <c r="AX116" s="795">
        <f>IF(OR($C$12=$AR116,$D$12=$AR116),Schweine_Werte!$E116*0.5,IF(OR($C$12&gt;$AR116,$D$12&lt;$AR116),0,Schweine_Werte!$E116))</f>
        <v>0</v>
      </c>
      <c r="AY116" s="730">
        <f>IF(OR($C$24=$AR116,$D$24=$AR116),Schweine_Werte!$E116*0.5,IF(OR($C$24&gt;$AR116,$D$24&lt;$AR116),0,Schweine_Werte!$E116))</f>
        <v>0</v>
      </c>
      <c r="AZ116" s="730">
        <f>IF(OR($C$36=$AR116,$D$36=$AR116),Schweine_Werte!$E116*0.5,IF(OR($C$36&gt;$AR116,$D$36&lt;$AR116),0,Schweine_Werte!$E116))</f>
        <v>0</v>
      </c>
      <c r="BA116" s="730">
        <f>IF(OR($C$48=$AR116,$D$48=$AR116),Schweine_Werte!$E116*0.5,IF(OR($C$48&gt;$AR116,$D$48&lt;$AR116),0,Schweine_Werte!$E116))</f>
        <v>0</v>
      </c>
      <c r="BB116" s="730">
        <f>IF(OR($C$60=$AR116,$D$60=$AR116),Schweine_Werte!$E116*0.5,IF(OR($C$60&gt;$AR116,$D$60&lt;$AR116),0,Schweine_Werte!$E116))</f>
        <v>0</v>
      </c>
      <c r="BC116" s="795">
        <f>IF(OR($C$12=$AR116,$D$12=$AR116),Schweine_Werte!$G116*0.5,IF(OR($C$12&gt;$AR116,$D$12&lt;$AR116),0,Schweine_Werte!$G116))</f>
        <v>0</v>
      </c>
      <c r="BD116" s="730">
        <f>IF(OR($C$24=$AR116,$D$24=$AR116),Schweine_Werte!$G116*0.5,IF(OR($C$24&gt;$AR116,$D$24&lt;$AR116),0,Schweine_Werte!$G116))</f>
        <v>0</v>
      </c>
      <c r="BE116" s="730">
        <f>IF(OR($C$36=$AR116,$D$36=$AR116),Schweine_Werte!$G116*0.5,IF(OR($C$36&gt;$AR116,$D$36&lt;$AR116),0,Schweine_Werte!$G116))</f>
        <v>0</v>
      </c>
      <c r="BF116" s="730">
        <f>IF(OR($C$48=$AR116,$D$48=$AR116),Schweine_Werte!$G116*0.5,IF(OR($C$48&gt;$AR116,$D$48&lt;$AR116),0,Schweine_Werte!$G116))</f>
        <v>0</v>
      </c>
      <c r="BG116" s="730">
        <f>IF(OR($C$60=$AR116,$D$60=$AR116),Schweine_Werte!$G116*0.5,IF(OR($C$60&gt;$AR116,$D$60&lt;$AR116),0,Schweine_Werte!$G116))</f>
        <v>0</v>
      </c>
      <c r="BH116" s="795">
        <f>IF(OR($C$12=$AR116,$D$12=$AR116),Schweine_Werte!$I116*0.5,IF(OR($C$12&gt;$AR116,$D$12&lt;$AR116),0,Schweine_Werte!$I116))</f>
        <v>0</v>
      </c>
      <c r="BI116" s="730">
        <f>IF(OR($C$24=$AR116,$D$24=$AR116),Schweine_Werte!$I116*0.5,IF(OR($C$24&gt;$AR116,$D$24&lt;$AR116),0,Schweine_Werte!$I116))</f>
        <v>0</v>
      </c>
      <c r="BJ116" s="730">
        <f>IF(OR($C$36=$AR116,$D$36=$AR116),Schweine_Werte!$I116*0.5,IF(OR($C$36&gt;$AR116,$D$36&lt;$AR116),0,Schweine_Werte!$I116))</f>
        <v>0</v>
      </c>
      <c r="BK116" s="730">
        <f>IF(OR($C$48=$AR116,$D$48=$AR116),Schweine_Werte!$I116*0.5,IF(OR($C$48&gt;$AR116,$D$48&lt;$AR116),0,Schweine_Werte!$I116))</f>
        <v>0</v>
      </c>
      <c r="BL116" s="730">
        <f>IF(OR($C$60=$AR116,$D$60=$AR116),Schweine_Werte!$I116*0.5,IF(OR($C$60&gt;$AR116,$D$60&lt;$AR116),0,Schweine_Werte!$I116))</f>
        <v>0</v>
      </c>
      <c r="BM116" s="795"/>
      <c r="BN116" s="730"/>
      <c r="BO116" s="730"/>
      <c r="BP116" s="730"/>
      <c r="BQ116" s="730"/>
      <c r="BR116" s="795">
        <f>IF(OR($C$74=$AR116,$D$74=$AR116),Schweine_Werte!$M116*0.5,IF(OR($C$74&gt;$AR116,$D$74&lt;$AR116),0,Schweine_Werte!$M116))</f>
        <v>0</v>
      </c>
      <c r="BS116" s="795">
        <f>IF(OR($C$83=$AR116,$D$83=$AR116),Schweine_Werte!$M116*0.5,IF(OR($C$83&gt;$AR116,$D$83&lt;$AR116),0,Schweine_Werte!$M116))</f>
        <v>0</v>
      </c>
      <c r="BT116" s="797">
        <f>IF(OR($C$92=$AR116,$D$92=$AR116),Schweine_Werte!$M116*0.5,IF(OR($C$92&gt;$AR116,$D$92&lt;$AR116),0,Schweine_Werte!$M116))</f>
        <v>0</v>
      </c>
      <c r="BU116" s="797">
        <f>IF(OR($C$101=$AR116,$D$101=$AR116),Schweine_Werte!$M116*0.5,IF(OR($C$101&gt;$AR116,$D$101&lt;$AR116),0,Schweine_Werte!$M116))</f>
        <v>0</v>
      </c>
      <c r="BV116" s="797">
        <f>IF(OR($C$110=$AR116,$D$110=$AR116),Schweine_Werte!$M116*0.5,IF(OR($C$110&gt;$AR116,$D$110&lt;$AR116),0,Schweine_Werte!$M116))</f>
        <v>0</v>
      </c>
      <c r="BW116" s="797">
        <f>IF(OR(8=$AR116,$E$127=$AR116),Schweine_Werte!$M116*0.5,IF(OR(8&gt;$AR116,$E$127&lt;$AR116),0,Schweine_Werte!$M116))</f>
        <v>1.4477278921508818</v>
      </c>
      <c r="BX116" s="797">
        <f>IF(OR(8=$AR116,$E$145=$AR116),Schweine_Werte!$M116*0.5,IF(OR(8&gt;$AR116,$E$145&lt;$AR116),0,Schweine_Werte!$M116))</f>
        <v>1.4477278921508818</v>
      </c>
      <c r="BY116" s="795">
        <f>IF(OR($C$74=$AR116,$D$74=$AR116),Schweine_Werte!$O116*0.5,IF(OR($C$74&gt;$AR116,$D$74&lt;$AR116),0,Schweine_Werte!$O116))</f>
        <v>0</v>
      </c>
      <c r="BZ116" s="795">
        <f>IF(OR($C$83=$AR116,$D$83=$AR116),Schweine_Werte!$O116*0.5,IF(OR($C$83&gt;$AR116,$D$83&lt;$AR116),0,Schweine_Werte!$O116))</f>
        <v>0</v>
      </c>
      <c r="CA116" s="797">
        <f>IF(OR($C$92=$AR116,$D$92=$AR116),Schweine_Werte!$O116*0.5,IF(OR($C$92&gt;$AR116,$D$92&lt;$AR116),0,Schweine_Werte!$O116))</f>
        <v>0</v>
      </c>
      <c r="CB116" s="797">
        <f>IF(OR($C$101=$AR116,$D$101=$AR116),Schweine_Werte!$O116*0.5,IF(OR($C$101&gt;$AR116,$D$101&lt;$AR116),0,Schweine_Werte!$O116))</f>
        <v>0</v>
      </c>
      <c r="CC116" s="797">
        <f>IF(OR($C$110=$AR116,$D$110=$AR116),Schweine_Werte!$O116*0.5,IF(OR($C$110&gt;$AR116,$D$110&lt;$AR116),0,Schweine_Werte!$O116))</f>
        <v>0</v>
      </c>
    </row>
    <row r="117" spans="1:81" ht="18" x14ac:dyDescent="0.35">
      <c r="B117" s="1629" t="s">
        <v>7810</v>
      </c>
      <c r="C117" s="1630"/>
      <c r="D117" s="1630"/>
      <c r="E117" s="1630"/>
      <c r="F117" s="1630"/>
      <c r="G117" s="1631"/>
      <c r="H117" s="807"/>
      <c r="I117" s="784"/>
      <c r="J117" s="784"/>
      <c r="K117" s="784"/>
      <c r="L117" s="784"/>
      <c r="M117" s="784"/>
      <c r="N117" s="784"/>
      <c r="O117" s="784"/>
      <c r="P117" s="784"/>
      <c r="Q117" s="784"/>
      <c r="R117" s="784"/>
      <c r="S117" s="784"/>
      <c r="T117" s="784"/>
      <c r="U117" s="784"/>
      <c r="V117" s="784"/>
      <c r="W117" s="784"/>
      <c r="X117" s="784"/>
      <c r="Y117" s="784"/>
      <c r="AR117" s="806">
        <v>121</v>
      </c>
      <c r="AS117" s="795">
        <f>IF(OR($C$12=$AR117,$D$12=$AR117),Schweine_Werte!$C117*0.5,IF(OR($C$12&gt;$AR117,$D$12&lt;$AR117),0,Schweine_Werte!$C117))</f>
        <v>0</v>
      </c>
      <c r="AT117" s="730">
        <f>IF(OR($C$24=$AR117,$D$24=$AR117),Schweine_Werte!$C117*0.5,IF(OR($C$24&gt;$AR117,$D$24&lt;$AR117),0,Schweine_Werte!$C117))</f>
        <v>0</v>
      </c>
      <c r="AU117" s="795">
        <f>IF(OR($C$36=$AR117,$D$36=$AR117),Schweine_Werte!$C117*0.5,IF(OR($C$36&gt;$AR117,$D$36&lt;$AR117),0,Schweine_Werte!$C117))</f>
        <v>0</v>
      </c>
      <c r="AV117" s="795">
        <f>IF(OR($C$48=$AR117,$D$48=$AR117),Schweine_Werte!$C117*0.5,IF(OR($C$48&gt;$AR117,$D$48&lt;$AR117),0,Schweine_Werte!$C117))</f>
        <v>0</v>
      </c>
      <c r="AW117" s="795">
        <f>IF(OR($C$60=$AR117,$D$60=$AR117),Schweine_Werte!$C117*0.5,IF(OR($C$60&gt;$AR117,$D$60&lt;$AR117),0,Schweine_Werte!$C117))</f>
        <v>0</v>
      </c>
      <c r="AX117" s="795">
        <f>IF(OR($C$12=$AR117,$D$12=$AR117),Schweine_Werte!$E117*0.5,IF(OR($C$12&gt;$AR117,$D$12&lt;$AR117),0,Schweine_Werte!$E117))</f>
        <v>0</v>
      </c>
      <c r="AY117" s="730">
        <f>IF(OR($C$24=$AR117,$D$24=$AR117),Schweine_Werte!$E117*0.5,IF(OR($C$24&gt;$AR117,$D$24&lt;$AR117),0,Schweine_Werte!$E117))</f>
        <v>0</v>
      </c>
      <c r="AZ117" s="730">
        <f>IF(OR($C$36=$AR117,$D$36=$AR117),Schweine_Werte!$E117*0.5,IF(OR($C$36&gt;$AR117,$D$36&lt;$AR117),0,Schweine_Werte!$E117))</f>
        <v>0</v>
      </c>
      <c r="BA117" s="730">
        <f>IF(OR($C$48=$AR117,$D$48=$AR117),Schweine_Werte!$E117*0.5,IF(OR($C$48&gt;$AR117,$D$48&lt;$AR117),0,Schweine_Werte!$E117))</f>
        <v>0</v>
      </c>
      <c r="BB117" s="730">
        <f>IF(OR($C$60=$AR117,$D$60=$AR117),Schweine_Werte!$E117*0.5,IF(OR($C$60&gt;$AR117,$D$60&lt;$AR117),0,Schweine_Werte!$E117))</f>
        <v>0</v>
      </c>
      <c r="BC117" s="795">
        <f>IF(OR($C$12=$AR117,$D$12=$AR117),Schweine_Werte!$G117*0.5,IF(OR($C$12&gt;$AR117,$D$12&lt;$AR117),0,Schweine_Werte!$G117))</f>
        <v>0</v>
      </c>
      <c r="BD117" s="730">
        <f>IF(OR($C$24=$AR117,$D$24=$AR117),Schweine_Werte!$G117*0.5,IF(OR($C$24&gt;$AR117,$D$24&lt;$AR117),0,Schweine_Werte!$G117))</f>
        <v>0</v>
      </c>
      <c r="BE117" s="730">
        <f>IF(OR($C$36=$AR117,$D$36=$AR117),Schweine_Werte!$G117*0.5,IF(OR($C$36&gt;$AR117,$D$36&lt;$AR117),0,Schweine_Werte!$G117))</f>
        <v>0</v>
      </c>
      <c r="BF117" s="730">
        <f>IF(OR($C$48=$AR117,$D$48=$AR117),Schweine_Werte!$G117*0.5,IF(OR($C$48&gt;$AR117,$D$48&lt;$AR117),0,Schweine_Werte!$G117))</f>
        <v>0</v>
      </c>
      <c r="BG117" s="730">
        <f>IF(OR($C$60=$AR117,$D$60=$AR117),Schweine_Werte!$G117*0.5,IF(OR($C$60&gt;$AR117,$D$60&lt;$AR117),0,Schweine_Werte!$G117))</f>
        <v>0</v>
      </c>
      <c r="BH117" s="795">
        <f>IF(OR($C$12=$AR117,$D$12=$AR117),Schweine_Werte!$I117*0.5,IF(OR($C$12&gt;$AR117,$D$12&lt;$AR117),0,Schweine_Werte!$I117))</f>
        <v>0</v>
      </c>
      <c r="BI117" s="730">
        <f>IF(OR($C$24=$AR117,$D$24=$AR117),Schweine_Werte!$I117*0.5,IF(OR($C$24&gt;$AR117,$D$24&lt;$AR117),0,Schweine_Werte!$I117))</f>
        <v>0</v>
      </c>
      <c r="BJ117" s="730">
        <f>IF(OR($C$36=$AR117,$D$36=$AR117),Schweine_Werte!$I117*0.5,IF(OR($C$36&gt;$AR117,$D$36&lt;$AR117),0,Schweine_Werte!$I117))</f>
        <v>0</v>
      </c>
      <c r="BK117" s="730">
        <f>IF(OR($C$48=$AR117,$D$48=$AR117),Schweine_Werte!$I117*0.5,IF(OR($C$48&gt;$AR117,$D$48&lt;$AR117),0,Schweine_Werte!$I117))</f>
        <v>0</v>
      </c>
      <c r="BL117" s="730">
        <f>IF(OR($C$60=$AR117,$D$60=$AR117),Schweine_Werte!$I117*0.5,IF(OR($C$60&gt;$AR117,$D$60&lt;$AR117),0,Schweine_Werte!$I117))</f>
        <v>0</v>
      </c>
      <c r="BM117" s="795"/>
      <c r="BN117" s="730"/>
      <c r="BO117" s="730"/>
      <c r="BP117" s="730"/>
      <c r="BQ117" s="730"/>
      <c r="BR117" s="795">
        <f>IF(OR($C$74=$AR117,$D$74=$AR117),Schweine_Werte!$M117*0.5,IF(OR($C$74&gt;$AR117,$D$74&lt;$AR117),0,Schweine_Werte!$M117))</f>
        <v>0</v>
      </c>
      <c r="BS117" s="795">
        <f>IF(OR($C$83=$AR117,$D$83=$AR117),Schweine_Werte!$M117*0.5,IF(OR($C$83&gt;$AR117,$D$83&lt;$AR117),0,Schweine_Werte!$M117))</f>
        <v>0</v>
      </c>
      <c r="BT117" s="797">
        <f>IF(OR($C$92=$AR117,$D$92=$AR117),Schweine_Werte!$M117*0.5,IF(OR($C$92&gt;$AR117,$D$92&lt;$AR117),0,Schweine_Werte!$M117))</f>
        <v>0</v>
      </c>
      <c r="BU117" s="797">
        <f>IF(OR($C$101=$AR117,$D$101=$AR117),Schweine_Werte!$M117*0.5,IF(OR($C$101&gt;$AR117,$D$101&lt;$AR117),0,Schweine_Werte!$M117))</f>
        <v>0</v>
      </c>
      <c r="BV117" s="797">
        <f>IF(OR($C$110=$AR117,$D$110=$AR117),Schweine_Werte!$M117*0.5,IF(OR($C$110&gt;$AR117,$D$110&lt;$AR117),0,Schweine_Werte!$M117))</f>
        <v>0</v>
      </c>
      <c r="BW117" s="797">
        <f>IF(OR(8=$AR117,$E$127=$AR117),Schweine_Werte!$M117*0.5,IF(OR(8&gt;$AR117,$E$127&lt;$AR117),0,Schweine_Werte!$M117))</f>
        <v>1.4477278921508818</v>
      </c>
      <c r="BX117" s="797">
        <f>IF(OR(8=$AR117,$E$145=$AR117),Schweine_Werte!$M117*0.5,IF(OR(8&gt;$AR117,$E$145&lt;$AR117),0,Schweine_Werte!$M117))</f>
        <v>1.4477278921508818</v>
      </c>
      <c r="BY117" s="795">
        <f>IF(OR($C$74=$AR117,$D$74=$AR117),Schweine_Werte!$O117*0.5,IF(OR($C$74&gt;$AR117,$D$74&lt;$AR117),0,Schweine_Werte!$O117))</f>
        <v>0</v>
      </c>
      <c r="BZ117" s="795">
        <f>IF(OR($C$83=$AR117,$D$83=$AR117),Schweine_Werte!$O117*0.5,IF(OR($C$83&gt;$AR117,$D$83&lt;$AR117),0,Schweine_Werte!$O117))</f>
        <v>0</v>
      </c>
      <c r="CA117" s="797">
        <f>IF(OR($C$92=$AR117,$D$92=$AR117),Schweine_Werte!$O117*0.5,IF(OR($C$92&gt;$AR117,$D$92&lt;$AR117),0,Schweine_Werte!$O117))</f>
        <v>0</v>
      </c>
      <c r="CB117" s="797">
        <f>IF(OR($C$101=$AR117,$D$101=$AR117),Schweine_Werte!$O117*0.5,IF(OR($C$101&gt;$AR117,$D$101&lt;$AR117),0,Schweine_Werte!$O117))</f>
        <v>0</v>
      </c>
      <c r="CC117" s="797">
        <f>IF(OR($C$110=$AR117,$D$110=$AR117),Schweine_Werte!$O117*0.5,IF(OR($C$110&gt;$AR117,$D$110&lt;$AR117),0,Schweine_Werte!$O117))</f>
        <v>0</v>
      </c>
    </row>
    <row r="118" spans="1:81" ht="18" x14ac:dyDescent="0.35">
      <c r="B118" t="s">
        <v>7730</v>
      </c>
      <c r="D118" t="s">
        <v>7731</v>
      </c>
      <c r="G118" t="s">
        <v>7732</v>
      </c>
      <c r="H118" s="784"/>
      <c r="I118" s="784"/>
      <c r="J118" s="784"/>
      <c r="K118" s="784"/>
      <c r="L118" s="784"/>
      <c r="M118" s="784"/>
      <c r="N118" s="784"/>
      <c r="O118" t="s">
        <v>7742</v>
      </c>
      <c r="P118" s="730" t="s">
        <v>7743</v>
      </c>
      <c r="Q118" s="730"/>
      <c r="R118" s="730"/>
      <c r="S118" s="730"/>
      <c r="T118" s="784"/>
      <c r="U118" s="784"/>
      <c r="V118" s="784"/>
      <c r="AR118" s="806">
        <v>122</v>
      </c>
      <c r="AS118" s="795">
        <f>IF(OR($C$12=$AR118,$D$12=$AR118),Schweine_Werte!$C118*0.5,IF(OR($C$12&gt;$AR118,$D$12&lt;$AR118),0,Schweine_Werte!$C118))</f>
        <v>0</v>
      </c>
      <c r="AT118" s="730">
        <f>IF(OR($C$24=$AR118,$D$24=$AR118),Schweine_Werte!$C118*0.5,IF(OR($C$24&gt;$AR118,$D$24&lt;$AR118),0,Schweine_Werte!$C118))</f>
        <v>0</v>
      </c>
      <c r="AU118" s="795">
        <f>IF(OR($C$36=$AR118,$D$36=$AR118),Schweine_Werte!$C118*0.5,IF(OR($C$36&gt;$AR118,$D$36&lt;$AR118),0,Schweine_Werte!$C118))</f>
        <v>0</v>
      </c>
      <c r="AV118" s="795">
        <f>IF(OR($C$48=$AR118,$D$48=$AR118),Schweine_Werte!$C118*0.5,IF(OR($C$48&gt;$AR118,$D$48&lt;$AR118),0,Schweine_Werte!$C118))</f>
        <v>0</v>
      </c>
      <c r="AW118" s="795">
        <f>IF(OR($C$60=$AR118,$D$60=$AR118),Schweine_Werte!$C118*0.5,IF(OR($C$60&gt;$AR118,$D$60&lt;$AR118),0,Schweine_Werte!$C118))</f>
        <v>0</v>
      </c>
      <c r="AX118" s="795">
        <f>IF(OR($C$12=$AR118,$D$12=$AR118),Schweine_Werte!$E118*0.5,IF(OR($C$12&gt;$AR118,$D$12&lt;$AR118),0,Schweine_Werte!$E118))</f>
        <v>0</v>
      </c>
      <c r="AY118" s="730">
        <f>IF(OR($C$24=$AR118,$D$24=$AR118),Schweine_Werte!$E118*0.5,IF(OR($C$24&gt;$AR118,$D$24&lt;$AR118),0,Schweine_Werte!$E118))</f>
        <v>0</v>
      </c>
      <c r="AZ118" s="730">
        <f>IF(OR($C$36=$AR118,$D$36=$AR118),Schweine_Werte!$E118*0.5,IF(OR($C$36&gt;$AR118,$D$36&lt;$AR118),0,Schweine_Werte!$E118))</f>
        <v>0</v>
      </c>
      <c r="BA118" s="730">
        <f>IF(OR($C$48=$AR118,$D$48=$AR118),Schweine_Werte!$E118*0.5,IF(OR($C$48&gt;$AR118,$D$48&lt;$AR118),0,Schweine_Werte!$E118))</f>
        <v>0</v>
      </c>
      <c r="BB118" s="730">
        <f>IF(OR($C$60=$AR118,$D$60=$AR118),Schweine_Werte!$E118*0.5,IF(OR($C$60&gt;$AR118,$D$60&lt;$AR118),0,Schweine_Werte!$E118))</f>
        <v>0</v>
      </c>
      <c r="BC118" s="795">
        <f>IF(OR($C$12=$AR118,$D$12=$AR118),Schweine_Werte!$G118*0.5,IF(OR($C$12&gt;$AR118,$D$12&lt;$AR118),0,Schweine_Werte!$G118))</f>
        <v>0</v>
      </c>
      <c r="BD118" s="730">
        <f>IF(OR($C$24=$AR118,$D$24=$AR118),Schweine_Werte!$G118*0.5,IF(OR($C$24&gt;$AR118,$D$24&lt;$AR118),0,Schweine_Werte!$G118))</f>
        <v>0</v>
      </c>
      <c r="BE118" s="730">
        <f>IF(OR($C$36=$AR118,$D$36=$AR118),Schweine_Werte!$G118*0.5,IF(OR($C$36&gt;$AR118,$D$36&lt;$AR118),0,Schweine_Werte!$G118))</f>
        <v>0</v>
      </c>
      <c r="BF118" s="730">
        <f>IF(OR($C$48=$AR118,$D$48=$AR118),Schweine_Werte!$G118*0.5,IF(OR($C$48&gt;$AR118,$D$48&lt;$AR118),0,Schweine_Werte!$G118))</f>
        <v>0</v>
      </c>
      <c r="BG118" s="730">
        <f>IF(OR($C$60=$AR118,$D$60=$AR118),Schweine_Werte!$G118*0.5,IF(OR($C$60&gt;$AR118,$D$60&lt;$AR118),0,Schweine_Werte!$G118))</f>
        <v>0</v>
      </c>
      <c r="BH118" s="795">
        <f>IF(OR($C$12=$AR118,$D$12=$AR118),Schweine_Werte!$I118*0.5,IF(OR($C$12&gt;$AR118,$D$12&lt;$AR118),0,Schweine_Werte!$I118))</f>
        <v>0</v>
      </c>
      <c r="BI118" s="730">
        <f>IF(OR($C$24=$AR118,$D$24=$AR118),Schweine_Werte!$I118*0.5,IF(OR($C$24&gt;$AR118,$D$24&lt;$AR118),0,Schweine_Werte!$I118))</f>
        <v>0</v>
      </c>
      <c r="BJ118" s="730">
        <f>IF(OR($C$36=$AR118,$D$36=$AR118),Schweine_Werte!$I118*0.5,IF(OR($C$36&gt;$AR118,$D$36&lt;$AR118),0,Schweine_Werte!$I118))</f>
        <v>0</v>
      </c>
      <c r="BK118" s="730">
        <f>IF(OR($C$48=$AR118,$D$48=$AR118),Schweine_Werte!$I118*0.5,IF(OR($C$48&gt;$AR118,$D$48&lt;$AR118),0,Schweine_Werte!$I118))</f>
        <v>0</v>
      </c>
      <c r="BL118" s="730">
        <f>IF(OR($C$60=$AR118,$D$60=$AR118),Schweine_Werte!$I118*0.5,IF(OR($C$60&gt;$AR118,$D$60&lt;$AR118),0,Schweine_Werte!$I118))</f>
        <v>0</v>
      </c>
      <c r="BM118" s="795"/>
      <c r="BN118" s="730"/>
      <c r="BO118" s="730"/>
      <c r="BP118" s="730"/>
      <c r="BQ118" s="730"/>
      <c r="BR118" s="795">
        <f>IF(OR($C$74=$AR118,$D$74=$AR118),Schweine_Werte!$M118*0.5,IF(OR($C$74&gt;$AR118,$D$74&lt;$AR118),0,Schweine_Werte!$M118))</f>
        <v>0</v>
      </c>
      <c r="BS118" s="795">
        <f>IF(OR($C$83=$AR118,$D$83=$AR118),Schweine_Werte!$M118*0.5,IF(OR($C$83&gt;$AR118,$D$83&lt;$AR118),0,Schweine_Werte!$M118))</f>
        <v>0</v>
      </c>
      <c r="BT118" s="797">
        <f>IF(OR($C$92=$AR118,$D$92=$AR118),Schweine_Werte!$M118*0.5,IF(OR($C$92&gt;$AR118,$D$92&lt;$AR118),0,Schweine_Werte!$M118))</f>
        <v>0</v>
      </c>
      <c r="BU118" s="797">
        <f>IF(OR($C$101=$AR118,$D$101=$AR118),Schweine_Werte!$M118*0.5,IF(OR($C$101&gt;$AR118,$D$101&lt;$AR118),0,Schweine_Werte!$M118))</f>
        <v>0</v>
      </c>
      <c r="BV118" s="797">
        <f>IF(OR($C$110=$AR118,$D$110=$AR118),Schweine_Werte!$M118*0.5,IF(OR($C$110&gt;$AR118,$D$110&lt;$AR118),0,Schweine_Werte!$M118))</f>
        <v>0</v>
      </c>
      <c r="BW118" s="797">
        <f>IF(OR(8=$AR118,$E$127=$AR118),Schweine_Werte!$M118*0.5,IF(OR(8&gt;$AR118,$E$127&lt;$AR118),0,Schweine_Werte!$M118))</f>
        <v>1.4477278921508818</v>
      </c>
      <c r="BX118" s="797">
        <f>IF(OR(8=$AR118,$E$145=$AR118),Schweine_Werte!$M118*0.5,IF(OR(8&gt;$AR118,$E$145&lt;$AR118),0,Schweine_Werte!$M118))</f>
        <v>1.4477278921508818</v>
      </c>
      <c r="BY118" s="795">
        <f>IF(OR($C$74=$AR118,$D$74=$AR118),Schweine_Werte!$O118*0.5,IF(OR($C$74&gt;$AR118,$D$74&lt;$AR118),0,Schweine_Werte!$O118))</f>
        <v>0</v>
      </c>
      <c r="BZ118" s="795">
        <f>IF(OR($C$83=$AR118,$D$83=$AR118),Schweine_Werte!$O118*0.5,IF(OR($C$83&gt;$AR118,$D$83&lt;$AR118),0,Schweine_Werte!$O118))</f>
        <v>0</v>
      </c>
      <c r="CA118" s="797">
        <f>IF(OR($C$92=$AR118,$D$92=$AR118),Schweine_Werte!$O118*0.5,IF(OR($C$92&gt;$AR118,$D$92&lt;$AR118),0,Schweine_Werte!$O118))</f>
        <v>0</v>
      </c>
      <c r="CB118" s="797">
        <f>IF(OR($C$101=$AR118,$D$101=$AR118),Schweine_Werte!$O118*0.5,IF(OR($C$101&gt;$AR118,$D$101&lt;$AR118),0,Schweine_Werte!$O118))</f>
        <v>0</v>
      </c>
      <c r="CC118" s="797">
        <f>IF(OR($C$110=$AR118,$D$110=$AR118),Schweine_Werte!$O118*0.5,IF(OR($C$110&gt;$AR118,$D$110&lt;$AR118),0,Schweine_Werte!$O118))</f>
        <v>0</v>
      </c>
    </row>
    <row r="119" spans="1:81" x14ac:dyDescent="0.25">
      <c r="B119" t="e">
        <f>+(E127-8)/0.45</f>
        <v>#VALUE!</v>
      </c>
      <c r="C119" t="s">
        <v>7655</v>
      </c>
      <c r="F119" s="730" t="e">
        <f>IF($E127&lt;=8,0,$B122*SUMPRODUCT($BW$4:$BW$31,Schweine_Werte!$V$4:$V$31)/SUM($BW$4:$BW$31))</f>
        <v>#VALUE!</v>
      </c>
      <c r="G119" s="730" t="e">
        <f>IF($E127&lt;=8,0,IF($B127=$A$8,SUMPRODUCT($BW$4:$BW$31,Schweine_Werte!HE$4:HE$31)/SUM($BW$4:$BW$31),IF($B127=$A$7,SUMPRODUCT($BW$4:$BW$31,Schweine_Werte!GQ$4:GQ$31)/SUM($BW$4:$BW$31),IF($B127=$A$6,SUMPRODUCT($BW$4:$BW$31,Schweine_Werte!GC$4:GC$31)/SUM($BW$4:$BW$31),SUMPRODUCT($BW$4:$BW$31,Schweine_Werte!FO$4:FO$31)/SUM($BW$4:$BW$31))))*$B122)</f>
        <v>#VALUE!</v>
      </c>
      <c r="H119" s="730" t="e">
        <f>IF($E127&lt;=8,0,IF($B127=$A$8,SUMPRODUCT($BW$4:$BW$31,Schweine_Werte!HF$4:HF$31)/SUM($BW$4:$BW$31),IF($B127=$A$7,SUMPRODUCT($BW$4:$BW$31,Schweine_Werte!GR$4:GR$31)/SUM($BW$4:$BW$31),IF($B127=$A$6,SUMPRODUCT($BW$4:$BW$31,Schweine_Werte!GD$4:GD$31)/SUM($BW$4:$BW$31),SUMPRODUCT($BW$4:$BW$31,Schweine_Werte!FP$4:FP$31)/SUM($BW$4:$BW$31))))*$B122)</f>
        <v>#VALUE!</v>
      </c>
      <c r="I119" s="730" t="e">
        <f>IF($E127&lt;=8,0,IF($B127=$A$8,SUMPRODUCT($BW$4:$BW$31,Schweine_Werte!HG$4:HG$31)/SUM($BW$4:$BW$31),IF($B127=$A$7,SUMPRODUCT($BW$4:$BW$31,Schweine_Werte!GS$4:GS$31)/SUM($BW$4:$BW$31),IF($B127=$A$6,SUMPRODUCT($BW$4:$BW$31,Schweine_Werte!GE$4:GE$31)/SUM($BW$4:$BW$31),SUMPRODUCT($BW$4:$BW$31,Schweine_Werte!FQ$4:FQ$31)/SUM($BW$4:$BW$31))))*$B122)</f>
        <v>#VALUE!</v>
      </c>
      <c r="J119" s="730" t="e">
        <f>SUMPRODUCT($BW$4:$BW$31,Schweine_Werte!$AD$4:$AD$31)/SUM($BW$4:$BW$31)*$B122</f>
        <v>#VALUE!</v>
      </c>
      <c r="K119" s="730" t="e">
        <f>SUMPRODUCT($BW$4:$BW$31,Schweine_Werte!$AL$4:$AL$31)/SUM($BW$4:$BW$31)*$B122</f>
        <v>#VALUE!</v>
      </c>
      <c r="L119" s="730"/>
      <c r="M119" s="730"/>
      <c r="N119" s="730"/>
      <c r="O119" s="730">
        <f>SUM($BW$4:$BW$23)+IF($E127&gt;28,$BW$24*0.5,$BW$24)</f>
        <v>44.44444444444445</v>
      </c>
      <c r="P119" s="730">
        <f>IF($E127&gt;28,SUM($BW$25:$BW$31)+$BW$24*0.5,0)</f>
        <v>11.390271160403584</v>
      </c>
      <c r="Q119" s="730" t="e">
        <f t="shared" ref="Q119:S120" si="55">T119*$F119</f>
        <v>#VALUE!</v>
      </c>
      <c r="R119" s="730" t="e">
        <f t="shared" si="55"/>
        <v>#VALUE!</v>
      </c>
      <c r="S119" s="730" t="e">
        <f t="shared" si="55"/>
        <v>#VALUE!</v>
      </c>
      <c r="T119" s="730">
        <f>+IF($E127&lt;=8,0,($O119*Schweine_Werte!$HT$15+$P119*Schweine_Werte!$HU$15)/SUM($O119:$P119))</f>
        <v>7.0161806212562894</v>
      </c>
      <c r="U119" s="730">
        <f>IF(E127&lt;=8,0,($O119*Schweine_Werte!$HV$15+$P119*Schweine_Werte!$HW$15)/SUM($O119:$P119))</f>
        <v>7.5920003876794322</v>
      </c>
      <c r="V119" s="730">
        <f>IF(E127&lt;=8,0,($O119*Schweine_Werte!$HX$15+$P119*Schweine_Werte!$HY$15)/SUM($O119:$P119))</f>
        <v>11</v>
      </c>
      <c r="AR119" s="806">
        <v>123</v>
      </c>
      <c r="AS119" s="795">
        <f>IF(OR($C$12=$AR119,$D$12=$AR119),Schweine_Werte!$C119*0.5,IF(OR($C$12&gt;$AR119,$D$12&lt;$AR119),0,Schweine_Werte!$C119))</f>
        <v>0</v>
      </c>
      <c r="AT119" s="730">
        <f>IF(OR($C$24=$AR119,$D$24=$AR119),Schweine_Werte!$C119*0.5,IF(OR($C$24&gt;$AR119,$D$24&lt;$AR119),0,Schweine_Werte!$C119))</f>
        <v>0</v>
      </c>
      <c r="AU119" s="795">
        <f>IF(OR($C$36=$AR119,$D$36=$AR119),Schweine_Werte!$C119*0.5,IF(OR($C$36&gt;$AR119,$D$36&lt;$AR119),0,Schweine_Werte!$C119))</f>
        <v>0</v>
      </c>
      <c r="AV119" s="795">
        <f>IF(OR($C$48=$AR119,$D$48=$AR119),Schweine_Werte!$C119*0.5,IF(OR($C$48&gt;$AR119,$D$48&lt;$AR119),0,Schweine_Werte!$C119))</f>
        <v>0</v>
      </c>
      <c r="AW119" s="795">
        <f>IF(OR($C$60=$AR119,$D$60=$AR119),Schweine_Werte!$C119*0.5,IF(OR($C$60&gt;$AR119,$D$60&lt;$AR119),0,Schweine_Werte!$C119))</f>
        <v>0</v>
      </c>
      <c r="AX119" s="795">
        <f>IF(OR($C$12=$AR119,$D$12=$AR119),Schweine_Werte!$E119*0.5,IF(OR($C$12&gt;$AR119,$D$12&lt;$AR119),0,Schweine_Werte!$E119))</f>
        <v>0</v>
      </c>
      <c r="AY119" s="730">
        <f>IF(OR($C$24=$AR119,$D$24=$AR119),Schweine_Werte!$E119*0.5,IF(OR($C$24&gt;$AR119,$D$24&lt;$AR119),0,Schweine_Werte!$E119))</f>
        <v>0</v>
      </c>
      <c r="AZ119" s="730">
        <f>IF(OR($C$36=$AR119,$D$36=$AR119),Schweine_Werte!$E119*0.5,IF(OR($C$36&gt;$AR119,$D$36&lt;$AR119),0,Schweine_Werte!$E119))</f>
        <v>0</v>
      </c>
      <c r="BA119" s="730">
        <f>IF(OR($C$48=$AR119,$D$48=$AR119),Schweine_Werte!$E119*0.5,IF(OR($C$48&gt;$AR119,$D$48&lt;$AR119),0,Schweine_Werte!$E119))</f>
        <v>0</v>
      </c>
      <c r="BB119" s="730">
        <f>IF(OR($C$60=$AR119,$D$60=$AR119),Schweine_Werte!$E119*0.5,IF(OR($C$60&gt;$AR119,$D$60&lt;$AR119),0,Schweine_Werte!$E119))</f>
        <v>0</v>
      </c>
      <c r="BC119" s="795">
        <f>IF(OR($C$12=$AR119,$D$12=$AR119),Schweine_Werte!$G119*0.5,IF(OR($C$12&gt;$AR119,$D$12&lt;$AR119),0,Schweine_Werte!$G119))</f>
        <v>0</v>
      </c>
      <c r="BD119" s="730">
        <f>IF(OR($C$24=$AR119,$D$24=$AR119),Schweine_Werte!$G119*0.5,IF(OR($C$24&gt;$AR119,$D$24&lt;$AR119),0,Schweine_Werte!$G119))</f>
        <v>0</v>
      </c>
      <c r="BE119" s="730">
        <f>IF(OR($C$36=$AR119,$D$36=$AR119),Schweine_Werte!$G119*0.5,IF(OR($C$36&gt;$AR119,$D$36&lt;$AR119),0,Schweine_Werte!$G119))</f>
        <v>0</v>
      </c>
      <c r="BF119" s="730">
        <f>IF(OR($C$48=$AR119,$D$48=$AR119),Schweine_Werte!$G119*0.5,IF(OR($C$48&gt;$AR119,$D$48&lt;$AR119),0,Schweine_Werte!$G119))</f>
        <v>0</v>
      </c>
      <c r="BG119" s="730">
        <f>IF(OR($C$60=$AR119,$D$60=$AR119),Schweine_Werte!$G119*0.5,IF(OR($C$60&gt;$AR119,$D$60&lt;$AR119),0,Schweine_Werte!$G119))</f>
        <v>0</v>
      </c>
      <c r="BH119" s="795">
        <f>IF(OR($C$12=$AR119,$D$12=$AR119),Schweine_Werte!$I119*0.5,IF(OR($C$12&gt;$AR119,$D$12&lt;$AR119),0,Schweine_Werte!$I119))</f>
        <v>0</v>
      </c>
      <c r="BI119" s="730">
        <f>IF(OR($C$24=$AR119,$D$24=$AR119),Schweine_Werte!$I119*0.5,IF(OR($C$24&gt;$AR119,$D$24&lt;$AR119),0,Schweine_Werte!$I119))</f>
        <v>0</v>
      </c>
      <c r="BJ119" s="730">
        <f>IF(OR($C$36=$AR119,$D$36=$AR119),Schweine_Werte!$I119*0.5,IF(OR($C$36&gt;$AR119,$D$36&lt;$AR119),0,Schweine_Werte!$I119))</f>
        <v>0</v>
      </c>
      <c r="BK119" s="730">
        <f>IF(OR($C$48=$AR119,$D$48=$AR119),Schweine_Werte!$I119*0.5,IF(OR($C$48&gt;$AR119,$D$48&lt;$AR119),0,Schweine_Werte!$I119))</f>
        <v>0</v>
      </c>
      <c r="BL119" s="730">
        <f>IF(OR($C$60=$AR119,$D$60=$AR119),Schweine_Werte!$I119*0.5,IF(OR($C$60&gt;$AR119,$D$60&lt;$AR119),0,Schweine_Werte!$I119))</f>
        <v>0</v>
      </c>
      <c r="BM119" s="795"/>
      <c r="BN119" s="730"/>
      <c r="BO119" s="730"/>
      <c r="BP119" s="730"/>
      <c r="BQ119" s="730"/>
      <c r="BR119" s="795">
        <f>IF(OR($C$74=$AR119,$D$74=$AR119),Schweine_Werte!$M119*0.5,IF(OR($C$74&gt;$AR119,$D$74&lt;$AR119),0,Schweine_Werte!$M119))</f>
        <v>0</v>
      </c>
      <c r="BS119" s="795">
        <f>IF(OR($C$83=$AR119,$D$83=$AR119),Schweine_Werte!$M119*0.5,IF(OR($C$83&gt;$AR119,$D$83&lt;$AR119),0,Schweine_Werte!$M119))</f>
        <v>0</v>
      </c>
      <c r="BT119" s="797">
        <f>IF(OR($C$92=$AR119,$D$92=$AR119),Schweine_Werte!$M119*0.5,IF(OR($C$92&gt;$AR119,$D$92&lt;$AR119),0,Schweine_Werte!$M119))</f>
        <v>0</v>
      </c>
      <c r="BU119" s="797">
        <f>IF(OR($C$101=$AR119,$D$101=$AR119),Schweine_Werte!$M119*0.5,IF(OR($C$101&gt;$AR119,$D$101&lt;$AR119),0,Schweine_Werte!$M119))</f>
        <v>0</v>
      </c>
      <c r="BV119" s="797">
        <f>IF(OR($C$110=$AR119,$D$110=$AR119),Schweine_Werte!$M119*0.5,IF(OR($C$110&gt;$AR119,$D$110&lt;$AR119),0,Schweine_Werte!$M119))</f>
        <v>0</v>
      </c>
      <c r="BW119" s="797">
        <f>IF(OR(8=$AR119,$E$127=$AR119),Schweine_Werte!$M119*0.5,IF(OR(8&gt;$AR119,$E$127&lt;$AR119),0,Schweine_Werte!$M119))</f>
        <v>1.4477278921508818</v>
      </c>
      <c r="BX119" s="797">
        <f>IF(OR(8=$AR119,$E$145=$AR119),Schweine_Werte!$M119*0.5,IF(OR(8&gt;$AR119,$E$145&lt;$AR119),0,Schweine_Werte!$M119))</f>
        <v>1.4477278921508818</v>
      </c>
      <c r="BY119" s="795">
        <f>IF(OR($C$74=$AR119,$D$74=$AR119),Schweine_Werte!$O119*0.5,IF(OR($C$74&gt;$AR119,$D$74&lt;$AR119),0,Schweine_Werte!$O119))</f>
        <v>0</v>
      </c>
      <c r="BZ119" s="795">
        <f>IF(OR($C$83=$AR119,$D$83=$AR119),Schweine_Werte!$O119*0.5,IF(OR($C$83&gt;$AR119,$D$83&lt;$AR119),0,Schweine_Werte!$O119))</f>
        <v>0</v>
      </c>
      <c r="CA119" s="797">
        <f>IF(OR($C$92=$AR119,$D$92=$AR119),Schweine_Werte!$O119*0.5,IF(OR($C$92&gt;$AR119,$D$92&lt;$AR119),0,Schweine_Werte!$O119))</f>
        <v>0</v>
      </c>
      <c r="CB119" s="797">
        <f>IF(OR($C$101=$AR119,$D$101=$AR119),Schweine_Werte!$O119*0.5,IF(OR($C$101&gt;$AR119,$D$101&lt;$AR119),0,Schweine_Werte!$O119))</f>
        <v>0</v>
      </c>
      <c r="CC119" s="797">
        <f>IF(OR($C$110=$AR119,$D$110=$AR119),Schweine_Werte!$O119*0.5,IF(OR($C$110&gt;$AR119,$D$110&lt;$AR119),0,Schweine_Werte!$O119))</f>
        <v>0</v>
      </c>
    </row>
    <row r="120" spans="1:81" x14ac:dyDescent="0.25">
      <c r="C120" s="363" t="s">
        <v>7740</v>
      </c>
      <c r="D120">
        <f>IF(D127&lt;22,22,IF(D127&gt;34,34,D127))</f>
        <v>34</v>
      </c>
      <c r="F120" s="730">
        <v>0.32</v>
      </c>
      <c r="G120" s="730" t="str">
        <f>IF($B$127=$A$5,VLOOKUP($D$120,Schweine_Werte!$IA$4:$IE$16,COLUMNS(Schweine_Werte!$IA$3:$IB$3),FALSE),IF($B$127=$A$6,VLOOKUP($D$120,Schweine_Werte!$IA$4:$IE$16,COLUMNS(Schweine_Werte!$IA$3:$IC$3),FALSE),IF($B$127=$A$7,VLOOKUP($D$120,Schweine_Werte!$IA$4:$IE$16,COLUMNS(Schweine_Werte!$IA$3:$ID$3),FALSE),IF($B$127=$A$8,VLOOKUP($D$120,Schweine_Werte!$IA$4:$IE$16,COLUMNS(Schweine_Werte!$IA$3:$IE$3),FALSE),"--"))))</f>
        <v>--</v>
      </c>
      <c r="H120" s="730" t="str">
        <f>IF($B$127=$A$5,VLOOKUP($D$120,Schweine_Werte!$IA$4:$II$16,COLUMNS(Schweine_Werte!$IA$3:$IF$3),FALSE),IF($B$127=$A$6,VLOOKUP($D$120,Schweine_Werte!$IA$4:$II$16,COLUMNS(Schweine_Werte!$IA$3:$IG$3),FALSE),IF($B$127=$A$7,VLOOKUP($D$120,Schweine_Werte!$IA$4:$II$16,COLUMNS(Schweine_Werte!$IA$3:$IH$3),FALSE),IF($B$127=$A$8,VLOOKUP($D$120,Schweine_Werte!$IA$4:$II$16,COLUMNS(Schweine_Werte!$IA$3:$II$3),FALSE),"--"))))</f>
        <v>--</v>
      </c>
      <c r="I120" s="730" t="str">
        <f>IF($B$127=$A$5,VLOOKUP($D$120,Schweine_Werte!$IA$4:$IM$16,COLUMNS(Schweine_Werte!$IA$3:$IJ$3),FALSE),IF($B$127=$A$6,VLOOKUP($D$120,Schweine_Werte!$IA$4:$IM$16,COLUMNS(Schweine_Werte!$IA$3:$IK$3),FALSE),IF($B$127=$A$7,VLOOKUP($D$120,Schweine_Werte!$IA$4:$IM$16,COLUMNS(Schweine_Werte!$IA$3:$IL$3),FALSE),IF($B$127=$A$8,VLOOKUP($D$120,Schweine_Werte!$IA$4:$IM$16,COLUMNS(Schweine_Werte!$IA$3:$IM$3),FALSE),"--"))))</f>
        <v>--</v>
      </c>
      <c r="J120" s="730">
        <f>VLOOKUP($D$120,Schweine_Werte!$IA$4:$IR$16,COLUMNS(Schweine_Werte!$IA$3:IN3),FALSE)</f>
        <v>4.8</v>
      </c>
      <c r="K120" s="730">
        <f>VLOOKUP($D$120,Schweine_Werte!$IA$4:$IR$16,COLUMNS(Schweine_Werte!$IA$3:IO3),FALSE)</f>
        <v>1.6</v>
      </c>
      <c r="L120" s="730"/>
      <c r="M120" s="730"/>
      <c r="N120" s="730"/>
      <c r="O120" s="730"/>
      <c r="P120" s="730"/>
      <c r="Q120" s="730">
        <f t="shared" si="55"/>
        <v>2</v>
      </c>
      <c r="R120" s="730">
        <f t="shared" si="55"/>
        <v>2.56</v>
      </c>
      <c r="S120" s="730">
        <f t="shared" si="55"/>
        <v>3.52</v>
      </c>
      <c r="T120" s="730">
        <f>VLOOKUP($D$120,Schweine_Werte!$IA$4:$IR$16,COLUMNS(Schweine_Werte!$IA$3:IP$3),FALSE)</f>
        <v>6.25</v>
      </c>
      <c r="U120" s="730">
        <f>VLOOKUP($D$120,Schweine_Werte!$IA$4:$IR$16,COLUMNS(Schweine_Werte!$IA$3:IQ$3),FALSE)</f>
        <v>8</v>
      </c>
      <c r="V120" s="730">
        <f>VLOOKUP($D$120,Schweine_Werte!$IA$4:$IR$16,COLUMNS(Schweine_Werte!$IA$3:IR$3),FALSE)</f>
        <v>11</v>
      </c>
      <c r="AR120" s="806">
        <v>124</v>
      </c>
      <c r="AS120" s="795">
        <f>IF(OR($C$12=$AR120,$D$12=$AR120),Schweine_Werte!$C120*0.5,IF(OR($C$12&gt;$AR120,$D$12&lt;$AR120),0,Schweine_Werte!$C120))</f>
        <v>0</v>
      </c>
      <c r="AT120" s="730">
        <f>IF(OR($C$24=$AR120,$D$24=$AR120),Schweine_Werte!$C120*0.5,IF(OR($C$24&gt;$AR120,$D$24&lt;$AR120),0,Schweine_Werte!$C120))</f>
        <v>0</v>
      </c>
      <c r="AU120" s="795">
        <f>IF(OR($C$36=$AR120,$D$36=$AR120),Schweine_Werte!$C120*0.5,IF(OR($C$36&gt;$AR120,$D$36&lt;$AR120),0,Schweine_Werte!$C120))</f>
        <v>0</v>
      </c>
      <c r="AV120" s="795">
        <f>IF(OR($C$48=$AR120,$D$48=$AR120),Schweine_Werte!$C120*0.5,IF(OR($C$48&gt;$AR120,$D$48&lt;$AR120),0,Schweine_Werte!$C120))</f>
        <v>0</v>
      </c>
      <c r="AW120" s="795">
        <f>IF(OR($C$60=$AR120,$D$60=$AR120),Schweine_Werte!$C120*0.5,IF(OR($C$60&gt;$AR120,$D$60&lt;$AR120),0,Schweine_Werte!$C120))</f>
        <v>0</v>
      </c>
      <c r="AX120" s="795">
        <f>IF(OR($C$12=$AR120,$D$12=$AR120),Schweine_Werte!$E120*0.5,IF(OR($C$12&gt;$AR120,$D$12&lt;$AR120),0,Schweine_Werte!$E120))</f>
        <v>0</v>
      </c>
      <c r="AY120" s="730">
        <f>IF(OR($C$24=$AR120,$D$24=$AR120),Schweine_Werte!$E120*0.5,IF(OR($C$24&gt;$AR120,$D$24&lt;$AR120),0,Schweine_Werte!$E120))</f>
        <v>0</v>
      </c>
      <c r="AZ120" s="730">
        <f>IF(OR($C$36=$AR120,$D$36=$AR120),Schweine_Werte!$E120*0.5,IF(OR($C$36&gt;$AR120,$D$36&lt;$AR120),0,Schweine_Werte!$E120))</f>
        <v>0</v>
      </c>
      <c r="BA120" s="730">
        <f>IF(OR($C$48=$AR120,$D$48=$AR120),Schweine_Werte!$E120*0.5,IF(OR($C$48&gt;$AR120,$D$48&lt;$AR120),0,Schweine_Werte!$E120))</f>
        <v>0</v>
      </c>
      <c r="BB120" s="730">
        <f>IF(OR($C$60=$AR120,$D$60=$AR120),Schweine_Werte!$E120*0.5,IF(OR($C$60&gt;$AR120,$D$60&lt;$AR120),0,Schweine_Werte!$E120))</f>
        <v>0</v>
      </c>
      <c r="BC120" s="795">
        <f>IF(OR($C$12=$AR120,$D$12=$AR120),Schweine_Werte!$G120*0.5,IF(OR($C$12&gt;$AR120,$D$12&lt;$AR120),0,Schweine_Werte!$G120))</f>
        <v>0</v>
      </c>
      <c r="BD120" s="730">
        <f>IF(OR($C$24=$AR120,$D$24=$AR120),Schweine_Werte!$G120*0.5,IF(OR($C$24&gt;$AR120,$D$24&lt;$AR120),0,Schweine_Werte!$G120))</f>
        <v>0</v>
      </c>
      <c r="BE120" s="730">
        <f>IF(OR($C$36=$AR120,$D$36=$AR120),Schweine_Werte!$G120*0.5,IF(OR($C$36&gt;$AR120,$D$36&lt;$AR120),0,Schweine_Werte!$G120))</f>
        <v>0</v>
      </c>
      <c r="BF120" s="730">
        <f>IF(OR($C$48=$AR120,$D$48=$AR120),Schweine_Werte!$G120*0.5,IF(OR($C$48&gt;$AR120,$D$48&lt;$AR120),0,Schweine_Werte!$G120))</f>
        <v>0</v>
      </c>
      <c r="BG120" s="730">
        <f>IF(OR($C$60=$AR120,$D$60=$AR120),Schweine_Werte!$G120*0.5,IF(OR($C$60&gt;$AR120,$D$60&lt;$AR120),0,Schweine_Werte!$G120))</f>
        <v>0</v>
      </c>
      <c r="BH120" s="795">
        <f>IF(OR($C$12=$AR120,$D$12=$AR120),Schweine_Werte!$I120*0.5,IF(OR($C$12&gt;$AR120,$D$12&lt;$AR120),0,Schweine_Werte!$I120))</f>
        <v>0</v>
      </c>
      <c r="BI120" s="730">
        <f>IF(OR($C$24=$AR120,$D$24=$AR120),Schweine_Werte!$I120*0.5,IF(OR($C$24&gt;$AR120,$D$24&lt;$AR120),0,Schweine_Werte!$I120))</f>
        <v>0</v>
      </c>
      <c r="BJ120" s="730">
        <f>IF(OR($C$36=$AR120,$D$36=$AR120),Schweine_Werte!$I120*0.5,IF(OR($C$36&gt;$AR120,$D$36&lt;$AR120),0,Schweine_Werte!$I120))</f>
        <v>0</v>
      </c>
      <c r="BK120" s="730">
        <f>IF(OR($C$48=$AR120,$D$48=$AR120),Schweine_Werte!$I120*0.5,IF(OR($C$48&gt;$AR120,$D$48&lt;$AR120),0,Schweine_Werte!$I120))</f>
        <v>0</v>
      </c>
      <c r="BL120" s="730">
        <f>IF(OR($C$60=$AR120,$D$60=$AR120),Schweine_Werte!$I120*0.5,IF(OR($C$60&gt;$AR120,$D$60&lt;$AR120),0,Schweine_Werte!$I120))</f>
        <v>0</v>
      </c>
      <c r="BM120" s="795"/>
      <c r="BN120" s="730"/>
      <c r="BO120" s="730"/>
      <c r="BP120" s="730"/>
      <c r="BQ120" s="730"/>
      <c r="BR120" s="795">
        <f>IF(OR($C$74=$AR120,$D$74=$AR120),Schweine_Werte!$M120*0.5,IF(OR($C$74&gt;$AR120,$D$74&lt;$AR120),0,Schweine_Werte!$M120))</f>
        <v>0</v>
      </c>
      <c r="BS120" s="795">
        <f>IF(OR($C$83=$AR120,$D$83=$AR120),Schweine_Werte!$M120*0.5,IF(OR($C$83&gt;$AR120,$D$83&lt;$AR120),0,Schweine_Werte!$M120))</f>
        <v>0</v>
      </c>
      <c r="BT120" s="797">
        <f>IF(OR($C$92=$AR120,$D$92=$AR120),Schweine_Werte!$M120*0.5,IF(OR($C$92&gt;$AR120,$D$92&lt;$AR120),0,Schweine_Werte!$M120))</f>
        <v>0</v>
      </c>
      <c r="BU120" s="797">
        <f>IF(OR($C$101=$AR120,$D$101=$AR120),Schweine_Werte!$M120*0.5,IF(OR($C$101&gt;$AR120,$D$101&lt;$AR120),0,Schweine_Werte!$M120))</f>
        <v>0</v>
      </c>
      <c r="BV120" s="797">
        <f>IF(OR($C$110=$AR120,$D$110=$AR120),Schweine_Werte!$M120*0.5,IF(OR($C$110&gt;$AR120,$D$110&lt;$AR120),0,Schweine_Werte!$M120))</f>
        <v>0</v>
      </c>
      <c r="BW120" s="797">
        <f>IF(OR(8=$AR120,$E$127=$AR120),Schweine_Werte!$M120*0.5,IF(OR(8&gt;$AR120,$E$127&lt;$AR120),0,Schweine_Werte!$M120))</f>
        <v>1.4477278921508818</v>
      </c>
      <c r="BX120" s="797">
        <f>IF(OR(8=$AR120,$E$145=$AR120),Schweine_Werte!$M120*0.5,IF(OR(8&gt;$AR120,$E$145&lt;$AR120),0,Schweine_Werte!$M120))</f>
        <v>1.4477278921508818</v>
      </c>
      <c r="BY120" s="795">
        <f>IF(OR($C$74=$AR120,$D$74=$AR120),Schweine_Werte!$O120*0.5,IF(OR($C$74&gt;$AR120,$D$74&lt;$AR120),0,Schweine_Werte!$O120))</f>
        <v>0</v>
      </c>
      <c r="BZ120" s="795">
        <f>IF(OR($C$83=$AR120,$D$83=$AR120),Schweine_Werte!$O120*0.5,IF(OR($C$83&gt;$AR120,$D$83&lt;$AR120),0,Schweine_Werte!$O120))</f>
        <v>0</v>
      </c>
      <c r="CA120" s="797">
        <f>IF(OR($C$92=$AR120,$D$92=$AR120),Schweine_Werte!$O120*0.5,IF(OR($C$92&gt;$AR120,$D$92&lt;$AR120),0,Schweine_Werte!$O120))</f>
        <v>0</v>
      </c>
      <c r="CB120" s="797">
        <f>IF(OR($C$101=$AR120,$D$101=$AR120),Schweine_Werte!$O120*0.5,IF(OR($C$101&gt;$AR120,$D$101&lt;$AR120),0,Schweine_Werte!$O120))</f>
        <v>0</v>
      </c>
      <c r="CC120" s="797">
        <f>IF(OR($C$110=$AR120,$D$110=$AR120),Schweine_Werte!$O120*0.5,IF(OR($C$110&gt;$AR120,$D$110&lt;$AR120),0,Schweine_Werte!$O120))</f>
        <v>0</v>
      </c>
    </row>
    <row r="121" spans="1:81" x14ac:dyDescent="0.25">
      <c r="B121" t="s">
        <v>7741</v>
      </c>
      <c r="C121" s="705"/>
      <c r="AR121" s="806">
        <v>125</v>
      </c>
      <c r="AS121" s="795">
        <f>IF(OR($C$12=$AR121,$D$12=$AR121),Schweine_Werte!$C121*0.5,IF(OR($C$12&gt;$AR121,$D$12&lt;$AR121),0,Schweine_Werte!$C121))</f>
        <v>0</v>
      </c>
      <c r="AT121" s="730">
        <f>IF(OR($C$24=$AR121,$D$24=$AR121),Schweine_Werte!$C121*0.5,IF(OR($C$24&gt;$AR121,$D$24&lt;$AR121),0,Schweine_Werte!$C121))</f>
        <v>0</v>
      </c>
      <c r="AU121" s="795">
        <f>IF(OR($C$36=$AR121,$D$36=$AR121),Schweine_Werte!$C121*0.5,IF(OR($C$36&gt;$AR121,$D$36&lt;$AR121),0,Schweine_Werte!$C121))</f>
        <v>0</v>
      </c>
      <c r="AV121" s="795">
        <f>IF(OR($C$48=$AR121,$D$48=$AR121),Schweine_Werte!$C121*0.5,IF(OR($C$48&gt;$AR121,$D$48&lt;$AR121),0,Schweine_Werte!$C121))</f>
        <v>0</v>
      </c>
      <c r="AW121" s="795">
        <f>IF(OR($C$60=$AR121,$D$60=$AR121),Schweine_Werte!$C121*0.5,IF(OR($C$60&gt;$AR121,$D$60&lt;$AR121),0,Schweine_Werte!$C121))</f>
        <v>0</v>
      </c>
      <c r="AX121" s="795">
        <f>IF(OR($C$12=$AR121,$D$12=$AR121),Schweine_Werte!$E121*0.5,IF(OR($C$12&gt;$AR121,$D$12&lt;$AR121),0,Schweine_Werte!$E121))</f>
        <v>0</v>
      </c>
      <c r="AY121" s="730">
        <f>IF(OR($C$24=$AR121,$D$24=$AR121),Schweine_Werte!$E121*0.5,IF(OR($C$24&gt;$AR121,$D$24&lt;$AR121),0,Schweine_Werte!$E121))</f>
        <v>0</v>
      </c>
      <c r="AZ121" s="730">
        <f>IF(OR($C$36=$AR121,$D$36=$AR121),Schweine_Werte!$E121*0.5,IF(OR($C$36&gt;$AR121,$D$36&lt;$AR121),0,Schweine_Werte!$E121))</f>
        <v>0</v>
      </c>
      <c r="BA121" s="730">
        <f>IF(OR($C$48=$AR121,$D$48=$AR121),Schweine_Werte!$E121*0.5,IF(OR($C$48&gt;$AR121,$D$48&lt;$AR121),0,Schweine_Werte!$E121))</f>
        <v>0</v>
      </c>
      <c r="BB121" s="730">
        <f>IF(OR($C$60=$AR121,$D$60=$AR121),Schweine_Werte!$E121*0.5,IF(OR($C$60&gt;$AR121,$D$60&lt;$AR121),0,Schweine_Werte!$E121))</f>
        <v>0</v>
      </c>
      <c r="BC121" s="795">
        <f>IF(OR($C$12=$AR121,$D$12=$AR121),Schweine_Werte!$G121*0.5,IF(OR($C$12&gt;$AR121,$D$12&lt;$AR121),0,Schweine_Werte!$G121))</f>
        <v>0</v>
      </c>
      <c r="BD121" s="730">
        <f>IF(OR($C$24=$AR121,$D$24=$AR121),Schweine_Werte!$G121*0.5,IF(OR($C$24&gt;$AR121,$D$24&lt;$AR121),0,Schweine_Werte!$G121))</f>
        <v>0</v>
      </c>
      <c r="BE121" s="730">
        <f>IF(OR($C$36=$AR121,$D$36=$AR121),Schweine_Werte!$G121*0.5,IF(OR($C$36&gt;$AR121,$D$36&lt;$AR121),0,Schweine_Werte!$G121))</f>
        <v>0</v>
      </c>
      <c r="BF121" s="730">
        <f>IF(OR($C$48=$AR121,$D$48=$AR121),Schweine_Werte!$G121*0.5,IF(OR($C$48&gt;$AR121,$D$48&lt;$AR121),0,Schweine_Werte!$G121))</f>
        <v>0</v>
      </c>
      <c r="BG121" s="730">
        <f>IF(OR($C$60=$AR121,$D$60=$AR121),Schweine_Werte!$G121*0.5,IF(OR($C$60&gt;$AR121,$D$60&lt;$AR121),0,Schweine_Werte!$G121))</f>
        <v>0</v>
      </c>
      <c r="BH121" s="795">
        <f>IF(OR($C$12=$AR121,$D$12=$AR121),Schweine_Werte!$I121*0.5,IF(OR($C$12&gt;$AR121,$D$12&lt;$AR121),0,Schweine_Werte!$I121))</f>
        <v>0</v>
      </c>
      <c r="BI121" s="730">
        <f>IF(OR($C$24=$AR121,$D$24=$AR121),Schweine_Werte!$I121*0.5,IF(OR($C$24&gt;$AR121,$D$24&lt;$AR121),0,Schweine_Werte!$I121))</f>
        <v>0</v>
      </c>
      <c r="BJ121" s="730">
        <f>IF(OR($C$36=$AR121,$D$36=$AR121),Schweine_Werte!$I121*0.5,IF(OR($C$36&gt;$AR121,$D$36&lt;$AR121),0,Schweine_Werte!$I121))</f>
        <v>0</v>
      </c>
      <c r="BK121" s="730">
        <f>IF(OR($C$48=$AR121,$D$48=$AR121),Schweine_Werte!$I121*0.5,IF(OR($C$48&gt;$AR121,$D$48&lt;$AR121),0,Schweine_Werte!$I121))</f>
        <v>0</v>
      </c>
      <c r="BL121" s="730">
        <f>IF(OR($C$60=$AR121,$D$60=$AR121),Schweine_Werte!$I121*0.5,IF(OR($C$60&gt;$AR121,$D$60&lt;$AR121),0,Schweine_Werte!$I121))</f>
        <v>0</v>
      </c>
      <c r="BM121" s="795"/>
      <c r="BN121" s="730"/>
      <c r="BO121" s="730"/>
      <c r="BP121" s="730"/>
      <c r="BQ121" s="730"/>
      <c r="BR121" s="795">
        <f>IF(OR($C$74=$AR121,$D$74=$AR121),Schweine_Werte!$M121*0.5,IF(OR($C$74&gt;$AR121,$D$74&lt;$AR121),0,Schweine_Werte!$M121))</f>
        <v>0</v>
      </c>
      <c r="BS121" s="795">
        <f>IF(OR($C$83=$AR121,$D$83=$AR121),Schweine_Werte!$M121*0.5,IF(OR($C$83&gt;$AR121,$D$83&lt;$AR121),0,Schweine_Werte!$M121))</f>
        <v>0</v>
      </c>
      <c r="BT121" s="797">
        <f>IF(OR($C$92=$AR121,$D$92=$AR121),Schweine_Werte!$M121*0.5,IF(OR($C$92&gt;$AR121,$D$92&lt;$AR121),0,Schweine_Werte!$M121))</f>
        <v>0</v>
      </c>
      <c r="BU121" s="797">
        <f>IF(OR($C$101=$AR121,$D$101=$AR121),Schweine_Werte!$M121*0.5,IF(OR($C$101&gt;$AR121,$D$101&lt;$AR121),0,Schweine_Werte!$M121))</f>
        <v>0</v>
      </c>
      <c r="BV121" s="797">
        <f>IF(OR($C$110=$AR121,$D$110=$AR121),Schweine_Werte!$M121*0.5,IF(OR($C$110&gt;$AR121,$D$110&lt;$AR121),0,Schweine_Werte!$M121))</f>
        <v>0</v>
      </c>
      <c r="BW121" s="797">
        <f>IF(OR(8=$AR121,$E$127=$AR121),Schweine_Werte!$M121*0.5,IF(OR(8&gt;$AR121,$E$127&lt;$AR121),0,Schweine_Werte!$M121))</f>
        <v>1.4477278921508818</v>
      </c>
      <c r="BX121" s="797">
        <f>IF(OR(8=$AR121,$E$145=$AR121),Schweine_Werte!$M121*0.5,IF(OR(8&gt;$AR121,$E$145&lt;$AR121),0,Schweine_Werte!$M121))</f>
        <v>1.4477278921508818</v>
      </c>
      <c r="BY121" s="795">
        <f>IF(OR($C$74=$AR121,$D$74=$AR121),Schweine_Werte!$O121*0.5,IF(OR($C$74&gt;$AR121,$D$74&lt;$AR121),0,Schweine_Werte!$O121))</f>
        <v>0</v>
      </c>
      <c r="BZ121" s="795">
        <f>IF(OR($C$83=$AR121,$D$83=$AR121),Schweine_Werte!$O121*0.5,IF(OR($C$83&gt;$AR121,$D$83&lt;$AR121),0,Schweine_Werte!$O121))</f>
        <v>0</v>
      </c>
      <c r="CA121" s="797">
        <f>IF(OR($C$92=$AR121,$D$92=$AR121),Schweine_Werte!$O121*0.5,IF(OR($C$92&gt;$AR121,$D$92&lt;$AR121),0,Schweine_Werte!$O121))</f>
        <v>0</v>
      </c>
      <c r="CB121" s="797">
        <f>IF(OR($C$101=$AR121,$D$101=$AR121),Schweine_Werte!$O121*0.5,IF(OR($C$101&gt;$AR121,$D$101&lt;$AR121),0,Schweine_Werte!$O121))</f>
        <v>0</v>
      </c>
      <c r="CC121" s="797">
        <f>IF(OR($C$110=$AR121,$D$110=$AR121),Schweine_Werte!$O121*0.5,IF(OR($C$110&gt;$AR121,$D$110&lt;$AR121),0,Schweine_Werte!$O121))</f>
        <v>0</v>
      </c>
    </row>
    <row r="122" spans="1:81" x14ac:dyDescent="0.25">
      <c r="B122" s="808" t="e">
        <f>+B119*D127/365</f>
        <v>#VALUE!</v>
      </c>
      <c r="C122" s="705"/>
      <c r="D122" s="363"/>
      <c r="E122" s="730"/>
      <c r="F122" s="730"/>
      <c r="G122" s="730"/>
      <c r="H122" s="730"/>
      <c r="I122" s="730"/>
      <c r="J122" s="730"/>
      <c r="K122" s="730"/>
      <c r="L122" s="730"/>
      <c r="M122" s="730"/>
      <c r="N122" s="730"/>
      <c r="O122" s="730"/>
      <c r="P122" s="730"/>
      <c r="Q122" s="730"/>
      <c r="R122" s="730"/>
      <c r="S122" s="730"/>
      <c r="U122" s="730"/>
      <c r="V122" s="730"/>
      <c r="AR122" s="806">
        <v>126</v>
      </c>
      <c r="AS122" s="795">
        <f>IF(OR($C$12=$AR122,$D$12=$AR122),Schweine_Werte!$C122*0.5,IF(OR($C$12&gt;$AR122,$D$12&lt;$AR122),0,Schweine_Werte!$C122))</f>
        <v>0</v>
      </c>
      <c r="AT122" s="730">
        <f>IF(OR($C$24=$AR122,$D$24=$AR122),Schweine_Werte!$C122*0.5,IF(OR($C$24&gt;$AR122,$D$24&lt;$AR122),0,Schweine_Werte!$C122))</f>
        <v>0</v>
      </c>
      <c r="AU122" s="795">
        <f>IF(OR($C$36=$AR122,$D$36=$AR122),Schweine_Werte!$C122*0.5,IF(OR($C$36&gt;$AR122,$D$36&lt;$AR122),0,Schweine_Werte!$C122))</f>
        <v>0</v>
      </c>
      <c r="AV122" s="795">
        <f>IF(OR($C$48=$AR122,$D$48=$AR122),Schweine_Werte!$C122*0.5,IF(OR($C$48&gt;$AR122,$D$48&lt;$AR122),0,Schweine_Werte!$C122))</f>
        <v>0</v>
      </c>
      <c r="AW122" s="795">
        <f>IF(OR($C$60=$AR122,$D$60=$AR122),Schweine_Werte!$C122*0.5,IF(OR($C$60&gt;$AR122,$D$60&lt;$AR122),0,Schweine_Werte!$C122))</f>
        <v>0</v>
      </c>
      <c r="AX122" s="795">
        <f>IF(OR($C$12=$AR122,$D$12=$AR122),Schweine_Werte!$E122*0.5,IF(OR($C$12&gt;$AR122,$D$12&lt;$AR122),0,Schweine_Werte!$E122))</f>
        <v>0</v>
      </c>
      <c r="AY122" s="730">
        <f>IF(OR($C$24=$AR122,$D$24=$AR122),Schweine_Werte!$E122*0.5,IF(OR($C$24&gt;$AR122,$D$24&lt;$AR122),0,Schweine_Werte!$E122))</f>
        <v>0</v>
      </c>
      <c r="AZ122" s="730">
        <f>IF(OR($C$36=$AR122,$D$36=$AR122),Schweine_Werte!$E122*0.5,IF(OR($C$36&gt;$AR122,$D$36&lt;$AR122),0,Schweine_Werte!$E122))</f>
        <v>0</v>
      </c>
      <c r="BA122" s="730">
        <f>IF(OR($C$48=$AR122,$D$48=$AR122),Schweine_Werte!$E122*0.5,IF(OR($C$48&gt;$AR122,$D$48&lt;$AR122),0,Schweine_Werte!$E122))</f>
        <v>0</v>
      </c>
      <c r="BB122" s="730">
        <f>IF(OR($C$60=$AR122,$D$60=$AR122),Schweine_Werte!$E122*0.5,IF(OR($C$60&gt;$AR122,$D$60&lt;$AR122),0,Schweine_Werte!$E122))</f>
        <v>0</v>
      </c>
      <c r="BC122" s="795">
        <f>IF(OR($C$12=$AR122,$D$12=$AR122),Schweine_Werte!$G122*0.5,IF(OR($C$12&gt;$AR122,$D$12&lt;$AR122),0,Schweine_Werte!$G122))</f>
        <v>0</v>
      </c>
      <c r="BD122" s="730">
        <f>IF(OR($C$24=$AR122,$D$24=$AR122),Schweine_Werte!$G122*0.5,IF(OR($C$24&gt;$AR122,$D$24&lt;$AR122),0,Schweine_Werte!$G122))</f>
        <v>0</v>
      </c>
      <c r="BE122" s="730">
        <f>IF(OR($C$36=$AR122,$D$36=$AR122),Schweine_Werte!$G122*0.5,IF(OR($C$36&gt;$AR122,$D$36&lt;$AR122),0,Schweine_Werte!$G122))</f>
        <v>0</v>
      </c>
      <c r="BF122" s="730">
        <f>IF(OR($C$48=$AR122,$D$48=$AR122),Schweine_Werte!$G122*0.5,IF(OR($C$48&gt;$AR122,$D$48&lt;$AR122),0,Schweine_Werte!$G122))</f>
        <v>0</v>
      </c>
      <c r="BG122" s="730">
        <f>IF(OR($C$60=$AR122,$D$60=$AR122),Schweine_Werte!$G122*0.5,IF(OR($C$60&gt;$AR122,$D$60&lt;$AR122),0,Schweine_Werte!$G122))</f>
        <v>0</v>
      </c>
      <c r="BH122" s="795">
        <f>IF(OR($C$12=$AR122,$D$12=$AR122),Schweine_Werte!$I122*0.5,IF(OR($C$12&gt;$AR122,$D$12&lt;$AR122),0,Schweine_Werte!$I122))</f>
        <v>0</v>
      </c>
      <c r="BI122" s="730">
        <f>IF(OR($C$24=$AR122,$D$24=$AR122),Schweine_Werte!$I122*0.5,IF(OR($C$24&gt;$AR122,$D$24&lt;$AR122),0,Schweine_Werte!$I122))</f>
        <v>0</v>
      </c>
      <c r="BJ122" s="730">
        <f>IF(OR($C$36=$AR122,$D$36=$AR122),Schweine_Werte!$I122*0.5,IF(OR($C$36&gt;$AR122,$D$36&lt;$AR122),0,Schweine_Werte!$I122))</f>
        <v>0</v>
      </c>
      <c r="BK122" s="730">
        <f>IF(OR($C$48=$AR122,$D$48=$AR122),Schweine_Werte!$I122*0.5,IF(OR($C$48&gt;$AR122,$D$48&lt;$AR122),0,Schweine_Werte!$I122))</f>
        <v>0</v>
      </c>
      <c r="BL122" s="730">
        <f>IF(OR($C$60=$AR122,$D$60=$AR122),Schweine_Werte!$I122*0.5,IF(OR($C$60&gt;$AR122,$D$60&lt;$AR122),0,Schweine_Werte!$I122))</f>
        <v>0</v>
      </c>
      <c r="BM122" s="795"/>
      <c r="BN122" s="730"/>
      <c r="BO122" s="730"/>
      <c r="BP122" s="730"/>
      <c r="BQ122" s="730"/>
      <c r="BR122" s="795">
        <f>IF(OR($C$74=$AR122,$D$74=$AR122),Schweine_Werte!$M122*0.5,IF(OR($C$74&gt;$AR122,$D$74&lt;$AR122),0,Schweine_Werte!$M122))</f>
        <v>0</v>
      </c>
      <c r="BS122" s="795">
        <f>IF(OR($C$83=$AR122,$D$83=$AR122),Schweine_Werte!$M122*0.5,IF(OR($C$83&gt;$AR122,$D$83&lt;$AR122),0,Schweine_Werte!$M122))</f>
        <v>0</v>
      </c>
      <c r="BT122" s="797">
        <f>IF(OR($C$92=$AR122,$D$92=$AR122),Schweine_Werte!$M122*0.5,IF(OR($C$92&gt;$AR122,$D$92&lt;$AR122),0,Schweine_Werte!$M122))</f>
        <v>0</v>
      </c>
      <c r="BU122" s="797">
        <f>IF(OR($C$101=$AR122,$D$101=$AR122),Schweine_Werte!$M122*0.5,IF(OR($C$101&gt;$AR122,$D$101&lt;$AR122),0,Schweine_Werte!$M122))</f>
        <v>0</v>
      </c>
      <c r="BV122" s="797">
        <f>IF(OR($C$110=$AR122,$D$110=$AR122),Schweine_Werte!$M122*0.5,IF(OR($C$110&gt;$AR122,$D$110&lt;$AR122),0,Schweine_Werte!$M122))</f>
        <v>0</v>
      </c>
      <c r="BW122" s="797">
        <f>IF(OR(8=$AR122,$E$127=$AR122),Schweine_Werte!$M122*0.5,IF(OR(8&gt;$AR122,$E$127&lt;$AR122),0,Schweine_Werte!$M122))</f>
        <v>1.4477278921508818</v>
      </c>
      <c r="BX122" s="797">
        <f>IF(OR(8=$AR122,$E$145=$AR122),Schweine_Werte!$M122*0.5,IF(OR(8&gt;$AR122,$E$145&lt;$AR122),0,Schweine_Werte!$M122))</f>
        <v>1.4477278921508818</v>
      </c>
      <c r="BY122" s="795">
        <f>IF(OR($C$74=$AR122,$D$74=$AR122),Schweine_Werte!$O122*0.5,IF(OR($C$74&gt;$AR122,$D$74&lt;$AR122),0,Schweine_Werte!$O122))</f>
        <v>0</v>
      </c>
      <c r="BZ122" s="795">
        <f>IF(OR($C$83=$AR122,$D$83=$AR122),Schweine_Werte!$O122*0.5,IF(OR($C$83&gt;$AR122,$D$83&lt;$AR122),0,Schweine_Werte!$O122))</f>
        <v>0</v>
      </c>
      <c r="CA122" s="797">
        <f>IF(OR($C$92=$AR122,$D$92=$AR122),Schweine_Werte!$O122*0.5,IF(OR($C$92&gt;$AR122,$D$92&lt;$AR122),0,Schweine_Werte!$O122))</f>
        <v>0</v>
      </c>
      <c r="CB122" s="797">
        <f>IF(OR($C$101=$AR122,$D$101=$AR122),Schweine_Werte!$O122*0.5,IF(OR($C$101&gt;$AR122,$D$101&lt;$AR122),0,Schweine_Werte!$O122))</f>
        <v>0</v>
      </c>
      <c r="CC122" s="797">
        <f>IF(OR($C$110=$AR122,$D$110=$AR122),Schweine_Werte!$O122*0.5,IF(OR($C$110&gt;$AR122,$D$110&lt;$AR122),0,Schweine_Werte!$O122))</f>
        <v>0</v>
      </c>
    </row>
    <row r="123" spans="1:81" x14ac:dyDescent="0.25">
      <c r="C123" s="705"/>
      <c r="D123" s="363"/>
      <c r="F123" s="730"/>
      <c r="G123" s="730"/>
      <c r="H123" s="730"/>
      <c r="I123" s="730"/>
      <c r="J123" s="730"/>
      <c r="K123" s="730"/>
      <c r="L123" s="730"/>
      <c r="M123" s="730"/>
      <c r="N123" s="730"/>
      <c r="O123" s="730"/>
      <c r="P123" s="730"/>
      <c r="Q123" s="730"/>
      <c r="R123" s="730"/>
      <c r="S123" s="730"/>
      <c r="T123" s="730"/>
      <c r="U123" s="730"/>
      <c r="V123" s="730"/>
      <c r="AR123" s="806">
        <v>127</v>
      </c>
      <c r="AS123" s="795">
        <f>IF(OR($C$12=$AR123,$D$12=$AR123),Schweine_Werte!$C123*0.5,IF(OR($C$12&gt;$AR123,$D$12&lt;$AR123),0,Schweine_Werte!$C123))</f>
        <v>0</v>
      </c>
      <c r="AT123" s="730">
        <f>IF(OR($C$24=$AR123,$D$24=$AR123),Schweine_Werte!$C123*0.5,IF(OR($C$24&gt;$AR123,$D$24&lt;$AR123),0,Schweine_Werte!$C123))</f>
        <v>0</v>
      </c>
      <c r="AU123" s="795">
        <f>IF(OR($C$36=$AR123,$D$36=$AR123),Schweine_Werte!$C123*0.5,IF(OR($C$36&gt;$AR123,$D$36&lt;$AR123),0,Schweine_Werte!$C123))</f>
        <v>0</v>
      </c>
      <c r="AV123" s="795">
        <f>IF(OR($C$48=$AR123,$D$48=$AR123),Schweine_Werte!$C123*0.5,IF(OR($C$48&gt;$AR123,$D$48&lt;$AR123),0,Schweine_Werte!$C123))</f>
        <v>0</v>
      </c>
      <c r="AW123" s="795">
        <f>IF(OR($C$60=$AR123,$D$60=$AR123),Schweine_Werte!$C123*0.5,IF(OR($C$60&gt;$AR123,$D$60&lt;$AR123),0,Schweine_Werte!$C123))</f>
        <v>0</v>
      </c>
      <c r="AX123" s="795">
        <f>IF(OR($C$12=$AR123,$D$12=$AR123),Schweine_Werte!$E123*0.5,IF(OR($C$12&gt;$AR123,$D$12&lt;$AR123),0,Schweine_Werte!$E123))</f>
        <v>0</v>
      </c>
      <c r="AY123" s="730">
        <f>IF(OR($C$24=$AR123,$D$24=$AR123),Schweine_Werte!$E123*0.5,IF(OR($C$24&gt;$AR123,$D$24&lt;$AR123),0,Schweine_Werte!$E123))</f>
        <v>0</v>
      </c>
      <c r="AZ123" s="730">
        <f>IF(OR($C$36=$AR123,$D$36=$AR123),Schweine_Werte!$E123*0.5,IF(OR($C$36&gt;$AR123,$D$36&lt;$AR123),0,Schweine_Werte!$E123))</f>
        <v>0</v>
      </c>
      <c r="BA123" s="730">
        <f>IF(OR($C$48=$AR123,$D$48=$AR123),Schweine_Werte!$E123*0.5,IF(OR($C$48&gt;$AR123,$D$48&lt;$AR123),0,Schweine_Werte!$E123))</f>
        <v>0</v>
      </c>
      <c r="BB123" s="730">
        <f>IF(OR($C$60=$AR123,$D$60=$AR123),Schweine_Werte!$E123*0.5,IF(OR($C$60&gt;$AR123,$D$60&lt;$AR123),0,Schweine_Werte!$E123))</f>
        <v>0</v>
      </c>
      <c r="BC123" s="795">
        <f>IF(OR($C$12=$AR123,$D$12=$AR123),Schweine_Werte!$G123*0.5,IF(OR($C$12&gt;$AR123,$D$12&lt;$AR123),0,Schweine_Werte!$G123))</f>
        <v>0</v>
      </c>
      <c r="BD123" s="730">
        <f>IF(OR($C$24=$AR123,$D$24=$AR123),Schweine_Werte!$G123*0.5,IF(OR($C$24&gt;$AR123,$D$24&lt;$AR123),0,Schweine_Werte!$G123))</f>
        <v>0</v>
      </c>
      <c r="BE123" s="730">
        <f>IF(OR($C$36=$AR123,$D$36=$AR123),Schweine_Werte!$G123*0.5,IF(OR($C$36&gt;$AR123,$D$36&lt;$AR123),0,Schweine_Werte!$G123))</f>
        <v>0</v>
      </c>
      <c r="BF123" s="730">
        <f>IF(OR($C$48=$AR123,$D$48=$AR123),Schweine_Werte!$G123*0.5,IF(OR($C$48&gt;$AR123,$D$48&lt;$AR123),0,Schweine_Werte!$G123))</f>
        <v>0</v>
      </c>
      <c r="BG123" s="730">
        <f>IF(OR($C$60=$AR123,$D$60=$AR123),Schweine_Werte!$G123*0.5,IF(OR($C$60&gt;$AR123,$D$60&lt;$AR123),0,Schweine_Werte!$G123))</f>
        <v>0</v>
      </c>
      <c r="BH123" s="795">
        <f>IF(OR($C$12=$AR123,$D$12=$AR123),Schweine_Werte!$I123*0.5,IF(OR($C$12&gt;$AR123,$D$12&lt;$AR123),0,Schweine_Werte!$I123))</f>
        <v>0</v>
      </c>
      <c r="BI123" s="730">
        <f>IF(OR($C$24=$AR123,$D$24=$AR123),Schweine_Werte!$I123*0.5,IF(OR($C$24&gt;$AR123,$D$24&lt;$AR123),0,Schweine_Werte!$I123))</f>
        <v>0</v>
      </c>
      <c r="BJ123" s="730">
        <f>IF(OR($C$36=$AR123,$D$36=$AR123),Schweine_Werte!$I123*0.5,IF(OR($C$36&gt;$AR123,$D$36&lt;$AR123),0,Schweine_Werte!$I123))</f>
        <v>0</v>
      </c>
      <c r="BK123" s="730">
        <f>IF(OR($C$48=$AR123,$D$48=$AR123),Schweine_Werte!$I123*0.5,IF(OR($C$48&gt;$AR123,$D$48&lt;$AR123),0,Schweine_Werte!$I123))</f>
        <v>0</v>
      </c>
      <c r="BL123" s="730">
        <f>IF(OR($C$60=$AR123,$D$60=$AR123),Schweine_Werte!$I123*0.5,IF(OR($C$60&gt;$AR123,$D$60&lt;$AR123),0,Schweine_Werte!$I123))</f>
        <v>0</v>
      </c>
      <c r="BM123" s="795"/>
      <c r="BN123" s="730"/>
      <c r="BO123" s="730"/>
      <c r="BP123" s="730"/>
      <c r="BQ123" s="730"/>
      <c r="BR123" s="795">
        <f>IF(OR($C$74=$AR123,$D$74=$AR123),Schweine_Werte!$M123*0.5,IF(OR($C$74&gt;$AR123,$D$74&lt;$AR123),0,Schweine_Werte!$M123))</f>
        <v>0</v>
      </c>
      <c r="BS123" s="795">
        <f>IF(OR($C$83=$AR123,$D$83=$AR123),Schweine_Werte!$M123*0.5,IF(OR($C$83&gt;$AR123,$D$83&lt;$AR123),0,Schweine_Werte!$M123))</f>
        <v>0</v>
      </c>
      <c r="BT123" s="797">
        <f>IF(OR($C$92=$AR123,$D$92=$AR123),Schweine_Werte!$M123*0.5,IF(OR($C$92&gt;$AR123,$D$92&lt;$AR123),0,Schweine_Werte!$M123))</f>
        <v>0</v>
      </c>
      <c r="BU123" s="797">
        <f>IF(OR($C$101=$AR123,$D$101=$AR123),Schweine_Werte!$M123*0.5,IF(OR($C$101&gt;$AR123,$D$101&lt;$AR123),0,Schweine_Werte!$M123))</f>
        <v>0</v>
      </c>
      <c r="BV123" s="797">
        <f>IF(OR($C$110=$AR123,$D$110=$AR123),Schweine_Werte!$M123*0.5,IF(OR($C$110&gt;$AR123,$D$110&lt;$AR123),0,Schweine_Werte!$M123))</f>
        <v>0</v>
      </c>
      <c r="BW123" s="797">
        <f>IF(OR(8=$AR123,$E$127=$AR123),Schweine_Werte!$M123*0.5,IF(OR(8&gt;$AR123,$E$127&lt;$AR123),0,Schweine_Werte!$M123))</f>
        <v>1.4477278921508818</v>
      </c>
      <c r="BX123" s="797">
        <f>IF(OR(8=$AR123,$E$145=$AR123),Schweine_Werte!$M123*0.5,IF(OR(8&gt;$AR123,$E$145&lt;$AR123),0,Schweine_Werte!$M123))</f>
        <v>1.4477278921508818</v>
      </c>
      <c r="BY123" s="795">
        <f>IF(OR($C$74=$AR123,$D$74=$AR123),Schweine_Werte!$O123*0.5,IF(OR($C$74&gt;$AR123,$D$74&lt;$AR123),0,Schweine_Werte!$O123))</f>
        <v>0</v>
      </c>
      <c r="BZ123" s="795">
        <f>IF(OR($C$83=$AR123,$D$83=$AR123),Schweine_Werte!$O123*0.5,IF(OR($C$83&gt;$AR123,$D$83&lt;$AR123),0,Schweine_Werte!$O123))</f>
        <v>0</v>
      </c>
      <c r="CA123" s="797">
        <f>IF(OR($C$92=$AR123,$D$92=$AR123),Schweine_Werte!$O123*0.5,IF(OR($C$92&gt;$AR123,$D$92&lt;$AR123),0,Schweine_Werte!$O123))</f>
        <v>0</v>
      </c>
      <c r="CB123" s="797">
        <f>IF(OR($C$101=$AR123,$D$101=$AR123),Schweine_Werte!$O123*0.5,IF(OR($C$101&gt;$AR123,$D$101&lt;$AR123),0,Schweine_Werte!$O123))</f>
        <v>0</v>
      </c>
      <c r="CC123" s="797">
        <f>IF(OR($C$110=$AR123,$D$110=$AR123),Schweine_Werte!$O123*0.5,IF(OR($C$110&gt;$AR123,$D$110&lt;$AR123),0,Schweine_Werte!$O123))</f>
        <v>0</v>
      </c>
    </row>
    <row r="124" spans="1:81" x14ac:dyDescent="0.25">
      <c r="C124" s="705"/>
      <c r="D124" s="363"/>
      <c r="E124" s="730"/>
      <c r="F124" s="730"/>
      <c r="G124" s="730"/>
      <c r="H124" s="730"/>
      <c r="I124" s="730"/>
      <c r="J124" s="730"/>
      <c r="K124" s="730"/>
      <c r="L124" s="730"/>
      <c r="M124" s="730"/>
      <c r="N124" s="730"/>
      <c r="O124" s="730"/>
      <c r="P124" s="730"/>
      <c r="Q124" s="730"/>
      <c r="R124" s="730"/>
      <c r="S124" s="730"/>
      <c r="T124" s="730"/>
      <c r="U124" s="730"/>
      <c r="V124" s="730"/>
      <c r="AR124" s="806">
        <v>128</v>
      </c>
      <c r="AS124" s="795">
        <f>IF(OR($C$12=$AR124,$D$12=$AR124),Schweine_Werte!$C124*0.5,IF(OR($C$12&gt;$AR124,$D$12&lt;$AR124),0,Schweine_Werte!$C124))</f>
        <v>0</v>
      </c>
      <c r="AT124" s="730">
        <f>IF(OR($C$24=$AR124,$D$24=$AR124),Schweine_Werte!$C124*0.5,IF(OR($C$24&gt;$AR124,$D$24&lt;$AR124),0,Schweine_Werte!$C124))</f>
        <v>0</v>
      </c>
      <c r="AU124" s="795">
        <f>IF(OR($C$36=$AR124,$D$36=$AR124),Schweine_Werte!$C124*0.5,IF(OR($C$36&gt;$AR124,$D$36&lt;$AR124),0,Schweine_Werte!$C124))</f>
        <v>0</v>
      </c>
      <c r="AV124" s="795">
        <f>IF(OR($C$48=$AR124,$D$48=$AR124),Schweine_Werte!$C124*0.5,IF(OR($C$48&gt;$AR124,$D$48&lt;$AR124),0,Schweine_Werte!$C124))</f>
        <v>0</v>
      </c>
      <c r="AW124" s="795">
        <f>IF(OR($C$60=$AR124,$D$60=$AR124),Schweine_Werte!$C124*0.5,IF(OR($C$60&gt;$AR124,$D$60&lt;$AR124),0,Schweine_Werte!$C124))</f>
        <v>0</v>
      </c>
      <c r="AX124" s="795">
        <f>IF(OR($C$12=$AR124,$D$12=$AR124),Schweine_Werte!$E124*0.5,IF(OR($C$12&gt;$AR124,$D$12&lt;$AR124),0,Schweine_Werte!$E124))</f>
        <v>0</v>
      </c>
      <c r="AY124" s="730">
        <f>IF(OR($C$24=$AR124,$D$24=$AR124),Schweine_Werte!$E124*0.5,IF(OR($C$24&gt;$AR124,$D$24&lt;$AR124),0,Schweine_Werte!$E124))</f>
        <v>0</v>
      </c>
      <c r="AZ124" s="730">
        <f>IF(OR($C$36=$AR124,$D$36=$AR124),Schweine_Werte!$E124*0.5,IF(OR($C$36&gt;$AR124,$D$36&lt;$AR124),0,Schweine_Werte!$E124))</f>
        <v>0</v>
      </c>
      <c r="BA124" s="730">
        <f>IF(OR($C$48=$AR124,$D$48=$AR124),Schweine_Werte!$E124*0.5,IF(OR($C$48&gt;$AR124,$D$48&lt;$AR124),0,Schweine_Werte!$E124))</f>
        <v>0</v>
      </c>
      <c r="BB124" s="730">
        <f>IF(OR($C$60=$AR124,$D$60=$AR124),Schweine_Werte!$E124*0.5,IF(OR($C$60&gt;$AR124,$D$60&lt;$AR124),0,Schweine_Werte!$E124))</f>
        <v>0</v>
      </c>
      <c r="BC124" s="795">
        <f>IF(OR($C$12=$AR124,$D$12=$AR124),Schweine_Werte!$G124*0.5,IF(OR($C$12&gt;$AR124,$D$12&lt;$AR124),0,Schweine_Werte!$G124))</f>
        <v>0</v>
      </c>
      <c r="BD124" s="730">
        <f>IF(OR($C$24=$AR124,$D$24=$AR124),Schweine_Werte!$G124*0.5,IF(OR($C$24&gt;$AR124,$D$24&lt;$AR124),0,Schweine_Werte!$G124))</f>
        <v>0</v>
      </c>
      <c r="BE124" s="730">
        <f>IF(OR($C$36=$AR124,$D$36=$AR124),Schweine_Werte!$G124*0.5,IF(OR($C$36&gt;$AR124,$D$36&lt;$AR124),0,Schweine_Werte!$G124))</f>
        <v>0</v>
      </c>
      <c r="BF124" s="730">
        <f>IF(OR($C$48=$AR124,$D$48=$AR124),Schweine_Werte!$G124*0.5,IF(OR($C$48&gt;$AR124,$D$48&lt;$AR124),0,Schweine_Werte!$G124))</f>
        <v>0</v>
      </c>
      <c r="BG124" s="730">
        <f>IF(OR($C$60=$AR124,$D$60=$AR124),Schweine_Werte!$G124*0.5,IF(OR($C$60&gt;$AR124,$D$60&lt;$AR124),0,Schweine_Werte!$G124))</f>
        <v>0</v>
      </c>
      <c r="BH124" s="795">
        <f>IF(OR($C$12=$AR124,$D$12=$AR124),Schweine_Werte!$I124*0.5,IF(OR($C$12&gt;$AR124,$D$12&lt;$AR124),0,Schweine_Werte!$I124))</f>
        <v>0</v>
      </c>
      <c r="BI124" s="730">
        <f>IF(OR($C$24=$AR124,$D$24=$AR124),Schweine_Werte!$I124*0.5,IF(OR($C$24&gt;$AR124,$D$24&lt;$AR124),0,Schweine_Werte!$I124))</f>
        <v>0</v>
      </c>
      <c r="BJ124" s="730">
        <f>IF(OR($C$36=$AR124,$D$36=$AR124),Schweine_Werte!$I124*0.5,IF(OR($C$36&gt;$AR124,$D$36&lt;$AR124),0,Schweine_Werte!$I124))</f>
        <v>0</v>
      </c>
      <c r="BK124" s="730">
        <f>IF(OR($C$48=$AR124,$D$48=$AR124),Schweine_Werte!$I124*0.5,IF(OR($C$48&gt;$AR124,$D$48&lt;$AR124),0,Schweine_Werte!$I124))</f>
        <v>0</v>
      </c>
      <c r="BL124" s="730">
        <f>IF(OR($C$60=$AR124,$D$60=$AR124),Schweine_Werte!$I124*0.5,IF(OR($C$60&gt;$AR124,$D$60&lt;$AR124),0,Schweine_Werte!$I124))</f>
        <v>0</v>
      </c>
      <c r="BM124" s="795"/>
      <c r="BN124" s="730"/>
      <c r="BO124" s="730"/>
      <c r="BP124" s="730"/>
      <c r="BQ124" s="730"/>
      <c r="BR124" s="795">
        <f>IF(OR($C$74=$AR124,$D$74=$AR124),Schweine_Werte!$M124*0.5,IF(OR($C$74&gt;$AR124,$D$74&lt;$AR124),0,Schweine_Werte!$M124))</f>
        <v>0</v>
      </c>
      <c r="BS124" s="795">
        <f>IF(OR($C$83=$AR124,$D$83=$AR124),Schweine_Werte!$M124*0.5,IF(OR($C$83&gt;$AR124,$D$83&lt;$AR124),0,Schweine_Werte!$M124))</f>
        <v>0</v>
      </c>
      <c r="BT124" s="797">
        <f>IF(OR($C$92=$AR124,$D$92=$AR124),Schweine_Werte!$M124*0.5,IF(OR($C$92&gt;$AR124,$D$92&lt;$AR124),0,Schweine_Werte!$M124))</f>
        <v>0</v>
      </c>
      <c r="BU124" s="797">
        <f>IF(OR($C$101=$AR124,$D$101=$AR124),Schweine_Werte!$M124*0.5,IF(OR($C$101&gt;$AR124,$D$101&lt;$AR124),0,Schweine_Werte!$M124))</f>
        <v>0</v>
      </c>
      <c r="BV124" s="797">
        <f>IF(OR($C$110=$AR124,$D$110=$AR124),Schweine_Werte!$M124*0.5,IF(OR($C$110&gt;$AR124,$D$110&lt;$AR124),0,Schweine_Werte!$M124))</f>
        <v>0</v>
      </c>
      <c r="BW124" s="797">
        <f>IF(OR(8=$AR124,$E$127=$AR124),Schweine_Werte!$M124*0.5,IF(OR(8&gt;$AR124,$E$127&lt;$AR124),0,Schweine_Werte!$M124))</f>
        <v>1.4477278921508818</v>
      </c>
      <c r="BX124" s="797">
        <f>IF(OR(8=$AR124,$E$145=$AR124),Schweine_Werte!$M124*0.5,IF(OR(8&gt;$AR124,$E$145&lt;$AR124),0,Schweine_Werte!$M124))</f>
        <v>1.4477278921508818</v>
      </c>
      <c r="BY124" s="795">
        <f>IF(OR($C$74=$AR124,$D$74=$AR124),Schweine_Werte!$O124*0.5,IF(OR($C$74&gt;$AR124,$D$74&lt;$AR124),0,Schweine_Werte!$O124))</f>
        <v>0</v>
      </c>
      <c r="BZ124" s="795">
        <f>IF(OR($C$83=$AR124,$D$83=$AR124),Schweine_Werte!$O124*0.5,IF(OR($C$83&gt;$AR124,$D$83&lt;$AR124),0,Schweine_Werte!$O124))</f>
        <v>0</v>
      </c>
      <c r="CA124" s="797">
        <f>IF(OR($C$92=$AR124,$D$92=$AR124),Schweine_Werte!$O124*0.5,IF(OR($C$92&gt;$AR124,$D$92&lt;$AR124),0,Schweine_Werte!$O124))</f>
        <v>0</v>
      </c>
      <c r="CB124" s="797">
        <f>IF(OR($C$101=$AR124,$D$101=$AR124),Schweine_Werte!$O124*0.5,IF(OR($C$101&gt;$AR124,$D$101&lt;$AR124),0,Schweine_Werte!$O124))</f>
        <v>0</v>
      </c>
      <c r="CC124" s="797">
        <f>IF(OR($C$110=$AR124,$D$110=$AR124),Schweine_Werte!$O124*0.5,IF(OR($C$110&gt;$AR124,$D$110&lt;$AR124),0,Schweine_Werte!$O124))</f>
        <v>0</v>
      </c>
    </row>
    <row r="125" spans="1:81" ht="15.6" x14ac:dyDescent="0.3">
      <c r="F125" s="357"/>
      <c r="G125" s="1626" t="s">
        <v>7713</v>
      </c>
      <c r="H125" s="1627"/>
      <c r="I125" s="1628"/>
      <c r="J125" s="1039" t="s">
        <v>596</v>
      </c>
      <c r="K125" s="1039" t="s">
        <v>226</v>
      </c>
      <c r="L125" s="1621" t="s">
        <v>7714</v>
      </c>
      <c r="M125" s="1622"/>
      <c r="N125" s="1623"/>
      <c r="O125" s="1621" t="s">
        <v>7715</v>
      </c>
      <c r="P125" s="1623"/>
      <c r="Q125" s="1621" t="s">
        <v>7770</v>
      </c>
      <c r="R125" s="1622"/>
      <c r="S125" s="1623"/>
      <c r="T125" s="1621" t="s">
        <v>7716</v>
      </c>
      <c r="U125" s="1622"/>
      <c r="V125" s="1623"/>
      <c r="W125" s="1621" t="s">
        <v>7798</v>
      </c>
      <c r="X125" s="1622"/>
      <c r="Y125" s="1623"/>
      <c r="AR125" s="806">
        <v>129</v>
      </c>
      <c r="AS125" s="795">
        <f>IF(OR($C$12=$AR125,$D$12=$AR125),Schweine_Werte!$C125*0.5,IF(OR($C$12&gt;$AR125,$D$12&lt;$AR125),0,Schweine_Werte!$C125))</f>
        <v>0</v>
      </c>
      <c r="AT125" s="730">
        <f>IF(OR($C$24=$AR125,$D$24=$AR125),Schweine_Werte!$C125*0.5,IF(OR($C$24&gt;$AR125,$D$24&lt;$AR125),0,Schweine_Werte!$C125))</f>
        <v>0</v>
      </c>
      <c r="AU125" s="795">
        <f>IF(OR($C$36=$AR125,$D$36=$AR125),Schweine_Werte!$C125*0.5,IF(OR($C$36&gt;$AR125,$D$36&lt;$AR125),0,Schweine_Werte!$C125))</f>
        <v>0</v>
      </c>
      <c r="AV125" s="795">
        <f>IF(OR($C$48=$AR125,$D$48=$AR125),Schweine_Werte!$C125*0.5,IF(OR($C$48&gt;$AR125,$D$48&lt;$AR125),0,Schweine_Werte!$C125))</f>
        <v>0</v>
      </c>
      <c r="AW125" s="795">
        <f>IF(OR($C$60=$AR125,$D$60=$AR125),Schweine_Werte!$C125*0.5,IF(OR($C$60&gt;$AR125,$D$60&lt;$AR125),0,Schweine_Werte!$C125))</f>
        <v>0</v>
      </c>
      <c r="AX125" s="795">
        <f>IF(OR($C$12=$AR125,$D$12=$AR125),Schweine_Werte!$E125*0.5,IF(OR($C$12&gt;$AR125,$D$12&lt;$AR125),0,Schweine_Werte!$E125))</f>
        <v>0</v>
      </c>
      <c r="AY125" s="730">
        <f>IF(OR($C$24=$AR125,$D$24=$AR125),Schweine_Werte!$E125*0.5,IF(OR($C$24&gt;$AR125,$D$24&lt;$AR125),0,Schweine_Werte!$E125))</f>
        <v>0</v>
      </c>
      <c r="AZ125" s="730">
        <f>IF(OR($C$36=$AR125,$D$36=$AR125),Schweine_Werte!$E125*0.5,IF(OR($C$36&gt;$AR125,$D$36&lt;$AR125),0,Schweine_Werte!$E125))</f>
        <v>0</v>
      </c>
      <c r="BA125" s="730">
        <f>IF(OR($C$48=$AR125,$D$48=$AR125),Schweine_Werte!$E125*0.5,IF(OR($C$48&gt;$AR125,$D$48&lt;$AR125),0,Schweine_Werte!$E125))</f>
        <v>0</v>
      </c>
      <c r="BB125" s="730">
        <f>IF(OR($C$60=$AR125,$D$60=$AR125),Schweine_Werte!$E125*0.5,IF(OR($C$60&gt;$AR125,$D$60&lt;$AR125),0,Schweine_Werte!$E125))</f>
        <v>0</v>
      </c>
      <c r="BC125" s="795">
        <f>IF(OR($C$12=$AR125,$D$12=$AR125),Schweine_Werte!$G125*0.5,IF(OR($C$12&gt;$AR125,$D$12&lt;$AR125),0,Schweine_Werte!$G125))</f>
        <v>0</v>
      </c>
      <c r="BD125" s="730">
        <f>IF(OR($C$24=$AR125,$D$24=$AR125),Schweine_Werte!$G125*0.5,IF(OR($C$24&gt;$AR125,$D$24&lt;$AR125),0,Schweine_Werte!$G125))</f>
        <v>0</v>
      </c>
      <c r="BE125" s="730">
        <f>IF(OR($C$36=$AR125,$D$36=$AR125),Schweine_Werte!$G125*0.5,IF(OR($C$36&gt;$AR125,$D$36&lt;$AR125),0,Schweine_Werte!$G125))</f>
        <v>0</v>
      </c>
      <c r="BF125" s="730">
        <f>IF(OR($C$48=$AR125,$D$48=$AR125),Schweine_Werte!$G125*0.5,IF(OR($C$48&gt;$AR125,$D$48&lt;$AR125),0,Schweine_Werte!$G125))</f>
        <v>0</v>
      </c>
      <c r="BG125" s="730">
        <f>IF(OR($C$60=$AR125,$D$60=$AR125),Schweine_Werte!$G125*0.5,IF(OR($C$60&gt;$AR125,$D$60&lt;$AR125),0,Schweine_Werte!$G125))</f>
        <v>0</v>
      </c>
      <c r="BH125" s="795">
        <f>IF(OR($C$12=$AR125,$D$12=$AR125),Schweine_Werte!$I125*0.5,IF(OR($C$12&gt;$AR125,$D$12&lt;$AR125),0,Schweine_Werte!$I125))</f>
        <v>0</v>
      </c>
      <c r="BI125" s="730">
        <f>IF(OR($C$24=$AR125,$D$24=$AR125),Schweine_Werte!$I125*0.5,IF(OR($C$24&gt;$AR125,$D$24&lt;$AR125),0,Schweine_Werte!$I125))</f>
        <v>0</v>
      </c>
      <c r="BJ125" s="730">
        <f>IF(OR($C$36=$AR125,$D$36=$AR125),Schweine_Werte!$I125*0.5,IF(OR($C$36&gt;$AR125,$D$36&lt;$AR125),0,Schweine_Werte!$I125))</f>
        <v>0</v>
      </c>
      <c r="BK125" s="730">
        <f>IF(OR($C$48=$AR125,$D$48=$AR125),Schweine_Werte!$I125*0.5,IF(OR($C$48&gt;$AR125,$D$48&lt;$AR125),0,Schweine_Werte!$I125))</f>
        <v>0</v>
      </c>
      <c r="BL125" s="730">
        <f>IF(OR($C$60=$AR125,$D$60=$AR125),Schweine_Werte!$I125*0.5,IF(OR($C$60&gt;$AR125,$D$60&lt;$AR125),0,Schweine_Werte!$I125))</f>
        <v>0</v>
      </c>
      <c r="BM125" s="795"/>
      <c r="BN125" s="730"/>
      <c r="BO125" s="730"/>
      <c r="BP125" s="730"/>
      <c r="BQ125" s="730"/>
      <c r="BR125" s="795">
        <f>IF(OR($C$74=$AR125,$D$74=$AR125),Schweine_Werte!$M125*0.5,IF(OR($C$74&gt;$AR125,$D$74&lt;$AR125),0,Schweine_Werte!$M125))</f>
        <v>0</v>
      </c>
      <c r="BS125" s="795">
        <f>IF(OR($C$83=$AR125,$D$83=$AR125),Schweine_Werte!$M125*0.5,IF(OR($C$83&gt;$AR125,$D$83&lt;$AR125),0,Schweine_Werte!$M125))</f>
        <v>0</v>
      </c>
      <c r="BT125" s="797">
        <f>IF(OR($C$92=$AR125,$D$92=$AR125),Schweine_Werte!$M125*0.5,IF(OR($C$92&gt;$AR125,$D$92&lt;$AR125),0,Schweine_Werte!$M125))</f>
        <v>0</v>
      </c>
      <c r="BU125" s="797">
        <f>IF(OR($C$101=$AR125,$D$101=$AR125),Schweine_Werte!$M125*0.5,IF(OR($C$101&gt;$AR125,$D$101&lt;$AR125),0,Schweine_Werte!$M125))</f>
        <v>0</v>
      </c>
      <c r="BV125" s="797">
        <f>IF(OR($C$110=$AR125,$D$110=$AR125),Schweine_Werte!$M125*0.5,IF(OR($C$110&gt;$AR125,$D$110&lt;$AR125),0,Schweine_Werte!$M125))</f>
        <v>0</v>
      </c>
      <c r="BW125" s="797">
        <f>IF(OR(8=$AR125,$E$127=$AR125),Schweine_Werte!$M125*0.5,IF(OR(8&gt;$AR125,$E$127&lt;$AR125),0,Schweine_Werte!$M125))</f>
        <v>1.4477278921508818</v>
      </c>
      <c r="BX125" s="797">
        <f>IF(OR(8=$AR125,$E$145=$AR125),Schweine_Werte!$M125*0.5,IF(OR(8&gt;$AR125,$E$145&lt;$AR125),0,Schweine_Werte!$M125))</f>
        <v>1.4477278921508818</v>
      </c>
      <c r="BY125" s="795">
        <f>IF(OR($C$74=$AR125,$D$74=$AR125),Schweine_Werte!$O125*0.5,IF(OR($C$74&gt;$AR125,$D$74&lt;$AR125),0,Schweine_Werte!$O125))</f>
        <v>0</v>
      </c>
      <c r="BZ125" s="795">
        <f>IF(OR($C$83=$AR125,$D$83=$AR125),Schweine_Werte!$O125*0.5,IF(OR($C$83&gt;$AR125,$D$83&lt;$AR125),0,Schweine_Werte!$O125))</f>
        <v>0</v>
      </c>
      <c r="CA125" s="797">
        <f>IF(OR($C$92=$AR125,$D$92=$AR125),Schweine_Werte!$O125*0.5,IF(OR($C$92&gt;$AR125,$D$92&lt;$AR125),0,Schweine_Werte!$O125))</f>
        <v>0</v>
      </c>
      <c r="CB125" s="797">
        <f>IF(OR($C$101=$AR125,$D$101=$AR125),Schweine_Werte!$O125*0.5,IF(OR($C$101&gt;$AR125,$D$101&lt;$AR125),0,Schweine_Werte!$O125))</f>
        <v>0</v>
      </c>
      <c r="CC125" s="797">
        <f>IF(OR($C$110=$AR125,$D$110=$AR125),Schweine_Werte!$O125*0.5,IF(OR($C$110&gt;$AR125,$D$110&lt;$AR125),0,Schweine_Werte!$O125))</f>
        <v>0</v>
      </c>
    </row>
    <row r="126" spans="1:81" ht="18" x14ac:dyDescent="0.3">
      <c r="B126" s="809" t="s">
        <v>7717</v>
      </c>
      <c r="C126" s="810"/>
      <c r="D126" s="811" t="s">
        <v>7744</v>
      </c>
      <c r="E126" s="812" t="s">
        <v>7660</v>
      </c>
      <c r="F126" s="747" t="s">
        <v>196</v>
      </c>
      <c r="G126" s="675" t="s">
        <v>4</v>
      </c>
      <c r="H126" s="675" t="s">
        <v>7719</v>
      </c>
      <c r="I126" s="675" t="s">
        <v>7720</v>
      </c>
      <c r="J126" s="676" t="s">
        <v>7721</v>
      </c>
      <c r="K126" s="676" t="s">
        <v>7721</v>
      </c>
      <c r="L126" s="677" t="s">
        <v>39</v>
      </c>
      <c r="M126" s="677" t="s">
        <v>7722</v>
      </c>
      <c r="N126" s="677" t="s">
        <v>41</v>
      </c>
      <c r="O126" s="678" t="s">
        <v>0</v>
      </c>
      <c r="P126" s="678" t="s">
        <v>8</v>
      </c>
      <c r="Q126" s="677" t="s">
        <v>39</v>
      </c>
      <c r="R126" s="677" t="s">
        <v>40</v>
      </c>
      <c r="S126" s="677" t="s">
        <v>41</v>
      </c>
      <c r="T126" s="677" t="s">
        <v>39</v>
      </c>
      <c r="U126" s="677" t="s">
        <v>40</v>
      </c>
      <c r="V126" s="677" t="s">
        <v>41</v>
      </c>
      <c r="W126" s="676" t="s">
        <v>7696</v>
      </c>
      <c r="X126" s="676" t="s">
        <v>7697</v>
      </c>
      <c r="Y126" s="676" t="s">
        <v>7698</v>
      </c>
      <c r="AR126" s="806">
        <v>130</v>
      </c>
      <c r="AS126" s="795">
        <f>IF(OR($C$12=$AR126,$D$12=$AR126),Schweine_Werte!$C126*0.5,IF(OR($C$12&gt;$AR126,$D$12&lt;$AR126),0,Schweine_Werte!$C126))</f>
        <v>0</v>
      </c>
      <c r="AT126" s="730">
        <f>IF(OR($C$24=$AR126,$D$24=$AR126),Schweine_Werte!$C126*0.5,IF(OR($C$24&gt;$AR126,$D$24&lt;$AR126),0,Schweine_Werte!$C126))</f>
        <v>0</v>
      </c>
      <c r="AU126" s="795">
        <f>IF(OR($C$36=$AR126,$D$36=$AR126),Schweine_Werte!$C126*0.5,IF(OR($C$36&gt;$AR126,$D$36&lt;$AR126),0,Schweine_Werte!$C126))</f>
        <v>0</v>
      </c>
      <c r="AV126" s="795">
        <f>IF(OR($C$48=$AR126,$D$48=$AR126),Schweine_Werte!$C126*0.5,IF(OR($C$48&gt;$AR126,$D$48&lt;$AR126),0,Schweine_Werte!$C126))</f>
        <v>0</v>
      </c>
      <c r="AW126" s="795">
        <f>IF(OR($C$60=$AR126,$D$60=$AR126),Schweine_Werte!$C126*0.5,IF(OR($C$60&gt;$AR126,$D$60&lt;$AR126),0,Schweine_Werte!$C126))</f>
        <v>0</v>
      </c>
      <c r="AX126" s="795">
        <f>IF(OR($C$12=$AR126,$D$12=$AR126),Schweine_Werte!$E126*0.5,IF(OR($C$12&gt;$AR126,$D$12&lt;$AR126),0,Schweine_Werte!$E126))</f>
        <v>0</v>
      </c>
      <c r="AY126" s="730">
        <f>IF(OR($C$24=$AR126,$D$24=$AR126),Schweine_Werte!$E126*0.5,IF(OR($C$24&gt;$AR126,$D$24&lt;$AR126),0,Schweine_Werte!$E126))</f>
        <v>0</v>
      </c>
      <c r="AZ126" s="730">
        <f>IF(OR($C$36=$AR126,$D$36=$AR126),Schweine_Werte!$E126*0.5,IF(OR($C$36&gt;$AR126,$D$36&lt;$AR126),0,Schweine_Werte!$E126))</f>
        <v>0</v>
      </c>
      <c r="BA126" s="730">
        <f>IF(OR($C$48=$AR126,$D$48=$AR126),Schweine_Werte!$E126*0.5,IF(OR($C$48&gt;$AR126,$D$48&lt;$AR126),0,Schweine_Werte!$E126))</f>
        <v>0</v>
      </c>
      <c r="BB126" s="730">
        <f>IF(OR($C$60=$AR126,$D$60=$AR126),Schweine_Werte!$E126*0.5,IF(OR($C$60&gt;$AR126,$D$60&lt;$AR126),0,Schweine_Werte!$E126))</f>
        <v>0</v>
      </c>
      <c r="BC126" s="795">
        <f>IF(OR($C$12=$AR126,$D$12=$AR126),Schweine_Werte!$G126*0.5,IF(OR($C$12&gt;$AR126,$D$12&lt;$AR126),0,Schweine_Werte!$G126))</f>
        <v>0</v>
      </c>
      <c r="BD126" s="730">
        <f>IF(OR($C$24=$AR126,$D$24=$AR126),Schweine_Werte!$G126*0.5,IF(OR($C$24&gt;$AR126,$D$24&lt;$AR126),0,Schweine_Werte!$G126))</f>
        <v>0</v>
      </c>
      <c r="BE126" s="730">
        <f>IF(OR($C$36=$AR126,$D$36=$AR126),Schweine_Werte!$G126*0.5,IF(OR($C$36&gt;$AR126,$D$36&lt;$AR126),0,Schweine_Werte!$G126))</f>
        <v>0</v>
      </c>
      <c r="BF126" s="730">
        <f>IF(OR($C$48=$AR126,$D$48=$AR126),Schweine_Werte!$G126*0.5,IF(OR($C$48&gt;$AR126,$D$48&lt;$AR126),0,Schweine_Werte!$G126))</f>
        <v>0</v>
      </c>
      <c r="BG126" s="730">
        <f>IF(OR($C$60=$AR126,$D$60=$AR126),Schweine_Werte!$G126*0.5,IF(OR($C$60&gt;$AR126,$D$60&lt;$AR126),0,Schweine_Werte!$G126))</f>
        <v>0</v>
      </c>
      <c r="BH126" s="795">
        <f>IF(OR($C$12=$AR126,$D$12=$AR126),Schweine_Werte!$I126*0.5,IF(OR($C$12&gt;$AR126,$D$12&lt;$AR126),0,Schweine_Werte!$I126))</f>
        <v>0</v>
      </c>
      <c r="BI126" s="730">
        <f>IF(OR($C$24=$AR126,$D$24=$AR126),Schweine_Werte!$I126*0.5,IF(OR($C$24&gt;$AR126,$D$24&lt;$AR126),0,Schweine_Werte!$I126))</f>
        <v>0</v>
      </c>
      <c r="BJ126" s="730">
        <f>IF(OR($C$36=$AR126,$D$36=$AR126),Schweine_Werte!$I126*0.5,IF(OR($C$36&gt;$AR126,$D$36&lt;$AR126),0,Schweine_Werte!$I126))</f>
        <v>0</v>
      </c>
      <c r="BK126" s="730">
        <f>IF(OR($C$48=$AR126,$D$48=$AR126),Schweine_Werte!$I126*0.5,IF(OR($C$48&gt;$AR126,$D$48&lt;$AR126),0,Schweine_Werte!$I126))</f>
        <v>0</v>
      </c>
      <c r="BL126" s="730">
        <f>IF(OR($C$60=$AR126,$D$60=$AR126),Schweine_Werte!$I126*0.5,IF(OR($C$60&gt;$AR126,$D$60&lt;$AR126),0,Schweine_Werte!$I126))</f>
        <v>0</v>
      </c>
      <c r="BM126" s="795"/>
      <c r="BN126" s="730"/>
      <c r="BO126" s="730"/>
      <c r="BP126" s="730"/>
      <c r="BQ126" s="730"/>
      <c r="BR126" s="795">
        <f>IF(OR($C$74=$AR126,$D$74=$AR126),Schweine_Werte!$M126*0.5,IF(OR($C$74&gt;$AR126,$D$74&lt;$AR126),0,Schweine_Werte!$M126))</f>
        <v>0</v>
      </c>
      <c r="BS126" s="795">
        <f>IF(OR($C$83=$AR126,$D$83=$AR126),Schweine_Werte!$M126*0.5,IF(OR($C$83&gt;$AR126,$D$83&lt;$AR126),0,Schweine_Werte!$M126))</f>
        <v>0</v>
      </c>
      <c r="BT126" s="797">
        <f>IF(OR($C$92=$AR126,$D$92=$AR126),Schweine_Werte!$M126*0.5,IF(OR($C$92&gt;$AR126,$D$92&lt;$AR126),0,Schweine_Werte!$M126))</f>
        <v>0</v>
      </c>
      <c r="BU126" s="797">
        <f>IF(OR($C$101=$AR126,$D$101=$AR126),Schweine_Werte!$M126*0.5,IF(OR($C$101&gt;$AR126,$D$101&lt;$AR126),0,Schweine_Werte!$M126))</f>
        <v>0</v>
      </c>
      <c r="BV126" s="797">
        <f>IF(OR($C$110=$AR126,$D$110=$AR126),Schweine_Werte!$M126*0.5,IF(OR($C$110&gt;$AR126,$D$110&lt;$AR126),0,Schweine_Werte!$M126))</f>
        <v>0</v>
      </c>
      <c r="BW126" s="797">
        <f>IF(OR(8=$AR126,$E$127=$AR126),Schweine_Werte!$M126*0.5,IF(OR(8&gt;$AR126,$E$127&lt;$AR126),0,Schweine_Werte!$M126))</f>
        <v>1.4477278921508818</v>
      </c>
      <c r="BX126" s="797">
        <f>IF(OR(8=$AR126,$E$145=$AR126),Schweine_Werte!$M126*0.5,IF(OR(8&gt;$AR126,$E$145&lt;$AR126),0,Schweine_Werte!$M126))</f>
        <v>1.4477278921508818</v>
      </c>
      <c r="BY126" s="795">
        <f>IF(OR($C$74=$AR126,$D$74=$AR126),Schweine_Werte!$O126*0.5,IF(OR($C$74&gt;$AR126,$D$74&lt;$AR126),0,Schweine_Werte!$O126))</f>
        <v>0</v>
      </c>
      <c r="BZ126" s="795">
        <f>IF(OR($C$83=$AR126,$D$83=$AR126),Schweine_Werte!$O126*0.5,IF(OR($C$83&gt;$AR126,$D$83&lt;$AR126),0,Schweine_Werte!$O126))</f>
        <v>0</v>
      </c>
      <c r="CA126" s="797">
        <f>IF(OR($C$92=$AR126,$D$92=$AR126),Schweine_Werte!$O126*0.5,IF(OR($C$92&gt;$AR126,$D$92&lt;$AR126),0,Schweine_Werte!$O126))</f>
        <v>0</v>
      </c>
      <c r="CB126" s="797">
        <f>IF(OR($C$101=$AR126,$D$101=$AR126),Schweine_Werte!$O126*0.5,IF(OR($C$101&gt;$AR126,$D$101&lt;$AR126),0,Schweine_Werte!$O126))</f>
        <v>0</v>
      </c>
      <c r="CC126" s="797">
        <f>IF(OR($C$110=$AR126,$D$110=$AR126),Schweine_Werte!$O126*0.5,IF(OR($C$110&gt;$AR126,$D$110&lt;$AR126),0,Schweine_Werte!$O126))</f>
        <v>0</v>
      </c>
    </row>
    <row r="127" spans="1:81" ht="15.6" x14ac:dyDescent="0.3">
      <c r="A127" t="s">
        <v>7796</v>
      </c>
      <c r="B127" s="817" t="str">
        <f>IF('Abweichende Werte'!W11=1,'Abweichende Werte'!F11,"")</f>
        <v/>
      </c>
      <c r="C127" s="817"/>
      <c r="D127" s="706" t="str">
        <f>IF('Abweichende Werte'!W11=1,'Abweichende Werte'!J11,"")</f>
        <v/>
      </c>
      <c r="E127" s="706" t="str">
        <f>IF('Abweichende Werte'!W11=1,'Abweichende Werte'!M11,"")</f>
        <v/>
      </c>
      <c r="F127" s="813" t="e">
        <f t="shared" ref="F127:K127" si="56">SUM(F119:F120)</f>
        <v>#VALUE!</v>
      </c>
      <c r="G127" s="813" t="e">
        <f t="shared" si="56"/>
        <v>#VALUE!</v>
      </c>
      <c r="H127" s="813" t="e">
        <f t="shared" si="56"/>
        <v>#VALUE!</v>
      </c>
      <c r="I127" s="813" t="e">
        <f t="shared" si="56"/>
        <v>#VALUE!</v>
      </c>
      <c r="J127" s="813" t="e">
        <f t="shared" si="56"/>
        <v>#VALUE!</v>
      </c>
      <c r="K127" s="813" t="e">
        <f t="shared" si="56"/>
        <v>#VALUE!</v>
      </c>
      <c r="L127" s="813" t="e">
        <f>Q127*365/1000+$J127-$K127</f>
        <v>#VALUE!</v>
      </c>
      <c r="M127" s="813" t="e">
        <f>R127*365/1000+$J127-$K127/2</f>
        <v>#VALUE!</v>
      </c>
      <c r="N127" s="813" t="e">
        <f>S127*365/1000+$J127</f>
        <v>#VALUE!</v>
      </c>
      <c r="O127" s="813">
        <v>5.5</v>
      </c>
      <c r="P127" s="813">
        <v>1.8</v>
      </c>
      <c r="Q127" s="813" t="e">
        <f>SUM(Q119:Q120)</f>
        <v>#VALUE!</v>
      </c>
      <c r="R127" s="813" t="e">
        <f>SUM(R119:R120)</f>
        <v>#VALUE!</v>
      </c>
      <c r="S127" s="813" t="e">
        <f>SUM(S119:S120)</f>
        <v>#VALUE!</v>
      </c>
      <c r="T127" s="813" t="e">
        <f>Q127/$F127</f>
        <v>#VALUE!</v>
      </c>
      <c r="U127" s="813" t="e">
        <f>R127/$F127</f>
        <v>#VALUE!</v>
      </c>
      <c r="V127" s="813" t="e">
        <f>S127/$F127</f>
        <v>#VALUE!</v>
      </c>
      <c r="W127" s="813" t="e">
        <f>($J127*0.055+Q127*0.365*0.86-$K127*0.018)/L127*100</f>
        <v>#VALUE!</v>
      </c>
      <c r="X127" s="813" t="e">
        <f>($J127*0.055+R127*0.365*0.86-$K127*0.018/2)/M127*100</f>
        <v>#VALUE!</v>
      </c>
      <c r="Y127" s="813" t="e">
        <f>($J127*0.055+S127*0.365*0.86)/N127*100</f>
        <v>#VALUE!</v>
      </c>
      <c r="AR127" s="806">
        <v>131</v>
      </c>
      <c r="AS127" s="795">
        <f>IF(OR($C$12=$AR127,$D$12=$AR127),Schweine_Werte!$C127*0.5,IF(OR($C$12&gt;$AR127,$D$12&lt;$AR127),0,Schweine_Werte!$C127))</f>
        <v>0</v>
      </c>
      <c r="AT127" s="730">
        <f>IF(OR($C$24=$AR127,$D$24=$AR127),Schweine_Werte!$C127*0.5,IF(OR($C$24&gt;$AR127,$D$24&lt;$AR127),0,Schweine_Werte!$C127))</f>
        <v>0</v>
      </c>
      <c r="AU127" s="795">
        <f>IF(OR($C$36=$AR127,$D$36=$AR127),Schweine_Werte!$C127*0.5,IF(OR($C$36&gt;$AR127,$D$36&lt;$AR127),0,Schweine_Werte!$C127))</f>
        <v>0</v>
      </c>
      <c r="AV127" s="795">
        <f>IF(OR($C$48=$AR127,$D$48=$AR127),Schweine_Werte!$C127*0.5,IF(OR($C$48&gt;$AR127,$D$48&lt;$AR127),0,Schweine_Werte!$C127))</f>
        <v>0</v>
      </c>
      <c r="AW127" s="795">
        <f>IF(OR($C$60=$AR127,$D$60=$AR127),Schweine_Werte!$C127*0.5,IF(OR($C$60&gt;$AR127,$D$60&lt;$AR127),0,Schweine_Werte!$C127))</f>
        <v>0</v>
      </c>
      <c r="AX127" s="795">
        <f>IF(OR($C$12=$AR127,$D$12=$AR127),Schweine_Werte!$E127*0.5,IF(OR($C$12&gt;$AR127,$D$12&lt;$AR127),0,Schweine_Werte!$E127))</f>
        <v>0</v>
      </c>
      <c r="AY127" s="730">
        <f>IF(OR($C$24=$AR127,$D$24=$AR127),Schweine_Werte!$E127*0.5,IF(OR($C$24&gt;$AR127,$D$24&lt;$AR127),0,Schweine_Werte!$E127))</f>
        <v>0</v>
      </c>
      <c r="AZ127" s="730">
        <f>IF(OR($C$36=$AR127,$D$36=$AR127),Schweine_Werte!$E127*0.5,IF(OR($C$36&gt;$AR127,$D$36&lt;$AR127),0,Schweine_Werte!$E127))</f>
        <v>0</v>
      </c>
      <c r="BA127" s="730">
        <f>IF(OR($C$48=$AR127,$D$48=$AR127),Schweine_Werte!$E127*0.5,IF(OR($C$48&gt;$AR127,$D$48&lt;$AR127),0,Schweine_Werte!$E127))</f>
        <v>0</v>
      </c>
      <c r="BB127" s="730">
        <f>IF(OR($C$60=$AR127,$D$60=$AR127),Schweine_Werte!$E127*0.5,IF(OR($C$60&gt;$AR127,$D$60&lt;$AR127),0,Schweine_Werte!$E127))</f>
        <v>0</v>
      </c>
      <c r="BC127" s="795">
        <f>IF(OR($C$12=$AR127,$D$12=$AR127),Schweine_Werte!$G127*0.5,IF(OR($C$12&gt;$AR127,$D$12&lt;$AR127),0,Schweine_Werte!$G127))</f>
        <v>0</v>
      </c>
      <c r="BD127" s="730">
        <f>IF(OR($C$24=$AR127,$D$24=$AR127),Schweine_Werte!$G127*0.5,IF(OR($C$24&gt;$AR127,$D$24&lt;$AR127),0,Schweine_Werte!$G127))</f>
        <v>0</v>
      </c>
      <c r="BE127" s="730">
        <f>IF(OR($C$36=$AR127,$D$36=$AR127),Schweine_Werte!$G127*0.5,IF(OR($C$36&gt;$AR127,$D$36&lt;$AR127),0,Schweine_Werte!$G127))</f>
        <v>0</v>
      </c>
      <c r="BF127" s="730">
        <f>IF(OR($C$48=$AR127,$D$48=$AR127),Schweine_Werte!$G127*0.5,IF(OR($C$48&gt;$AR127,$D$48&lt;$AR127),0,Schweine_Werte!$G127))</f>
        <v>0</v>
      </c>
      <c r="BG127" s="730">
        <f>IF(OR($C$60=$AR127,$D$60=$AR127),Schweine_Werte!$G127*0.5,IF(OR($C$60&gt;$AR127,$D$60&lt;$AR127),0,Schweine_Werte!$G127))</f>
        <v>0</v>
      </c>
      <c r="BH127" s="795">
        <f>IF(OR($C$12=$AR127,$D$12=$AR127),Schweine_Werte!$I127*0.5,IF(OR($C$12&gt;$AR127,$D$12&lt;$AR127),0,Schweine_Werte!$I127))</f>
        <v>0</v>
      </c>
      <c r="BI127" s="730">
        <f>IF(OR($C$24=$AR127,$D$24=$AR127),Schweine_Werte!$I127*0.5,IF(OR($C$24&gt;$AR127,$D$24&lt;$AR127),0,Schweine_Werte!$I127))</f>
        <v>0</v>
      </c>
      <c r="BJ127" s="730">
        <f>IF(OR($C$36=$AR127,$D$36=$AR127),Schweine_Werte!$I127*0.5,IF(OR($C$36&gt;$AR127,$D$36&lt;$AR127),0,Schweine_Werte!$I127))</f>
        <v>0</v>
      </c>
      <c r="BK127" s="730">
        <f>IF(OR($C$48=$AR127,$D$48=$AR127),Schweine_Werte!$I127*0.5,IF(OR($C$48&gt;$AR127,$D$48&lt;$AR127),0,Schweine_Werte!$I127))</f>
        <v>0</v>
      </c>
      <c r="BL127" s="730">
        <f>IF(OR($C$60=$AR127,$D$60=$AR127),Schweine_Werte!$I127*0.5,IF(OR($C$60&gt;$AR127,$D$60&lt;$AR127),0,Schweine_Werte!$I127))</f>
        <v>0</v>
      </c>
      <c r="BM127" s="795"/>
      <c r="BN127" s="730"/>
      <c r="BO127" s="730"/>
      <c r="BP127" s="730"/>
      <c r="BQ127" s="730"/>
      <c r="BR127" s="795">
        <f>IF(OR($C$74=$AR127,$D$74=$AR127),Schweine_Werte!$M127*0.5,IF(OR($C$74&gt;$AR127,$D$74&lt;$AR127),0,Schweine_Werte!$M127))</f>
        <v>0</v>
      </c>
      <c r="BS127" s="795">
        <f>IF(OR($C$83=$AR127,$D$83=$AR127),Schweine_Werte!$M127*0.5,IF(OR($C$83&gt;$AR127,$D$83&lt;$AR127),0,Schweine_Werte!$M127))</f>
        <v>0</v>
      </c>
      <c r="BT127" s="797">
        <f>IF(OR($C$92=$AR127,$D$92=$AR127),Schweine_Werte!$M127*0.5,IF(OR($C$92&gt;$AR127,$D$92&lt;$AR127),0,Schweine_Werte!$M127))</f>
        <v>0</v>
      </c>
      <c r="BU127" s="797">
        <f>IF(OR($C$101=$AR127,$D$101=$AR127),Schweine_Werte!$M127*0.5,IF(OR($C$101&gt;$AR127,$D$101&lt;$AR127),0,Schweine_Werte!$M127))</f>
        <v>0</v>
      </c>
      <c r="BV127" s="797">
        <f>IF(OR($C$110=$AR127,$D$110=$AR127),Schweine_Werte!$M127*0.5,IF(OR($C$110&gt;$AR127,$D$110&lt;$AR127),0,Schweine_Werte!$M127))</f>
        <v>0</v>
      </c>
      <c r="BW127" s="797">
        <f>IF(OR(8=$AR127,$E$127=$AR127),Schweine_Werte!$M127*0.5,IF(OR(8&gt;$AR127,$E$127&lt;$AR127),0,Schweine_Werte!$M127))</f>
        <v>1.4477278921508818</v>
      </c>
      <c r="BX127" s="797">
        <f>IF(OR(8=$AR127,$E$145=$AR127),Schweine_Werte!$M127*0.5,IF(OR(8&gt;$AR127,$E$145&lt;$AR127),0,Schweine_Werte!$M127))</f>
        <v>1.4477278921508818</v>
      </c>
      <c r="BY127" s="795">
        <f>IF(OR($C$74=$AR127,$D$74=$AR127),Schweine_Werte!$O127*0.5,IF(OR($C$74&gt;$AR127,$D$74&lt;$AR127),0,Schweine_Werte!$O127))</f>
        <v>0</v>
      </c>
      <c r="BZ127" s="795">
        <f>IF(OR($C$83=$AR127,$D$83=$AR127),Schweine_Werte!$O127*0.5,IF(OR($C$83&gt;$AR127,$D$83&lt;$AR127),0,Schweine_Werte!$O127))</f>
        <v>0</v>
      </c>
      <c r="CA127" s="797">
        <f>IF(OR($C$92=$AR127,$D$92=$AR127),Schweine_Werte!$O127*0.5,IF(OR($C$92&gt;$AR127,$D$92&lt;$AR127),0,Schweine_Werte!$O127))</f>
        <v>0</v>
      </c>
      <c r="CB127" s="797">
        <f>IF(OR($C$101=$AR127,$D$101=$AR127),Schweine_Werte!$O127*0.5,IF(OR($C$101&gt;$AR127,$D$101&lt;$AR127),0,Schweine_Werte!$O127))</f>
        <v>0</v>
      </c>
      <c r="CC127" s="797">
        <f>IF(OR($C$110=$AR127,$D$110=$AR127),Schweine_Werte!$O127*0.5,IF(OR($C$110&gt;$AR127,$D$110&lt;$AR127),0,Schweine_Werte!$O127))</f>
        <v>0</v>
      </c>
    </row>
    <row r="128" spans="1:81" x14ac:dyDescent="0.25">
      <c r="E128" t="s">
        <v>7726</v>
      </c>
      <c r="AR128" s="806">
        <v>132</v>
      </c>
      <c r="AS128" s="795">
        <f>IF(OR($C$12=$AR128,$D$12=$AR128),Schweine_Werte!$C128*0.5,IF(OR($C$12&gt;$AR128,$D$12&lt;$AR128),0,Schweine_Werte!$C128))</f>
        <v>0</v>
      </c>
      <c r="AT128" s="730">
        <f>IF(OR($C$24=$AR128,$D$24=$AR128),Schweine_Werte!$C128*0.5,IF(OR($C$24&gt;$AR128,$D$24&lt;$AR128),0,Schweine_Werte!$C128))</f>
        <v>0</v>
      </c>
      <c r="AU128" s="795">
        <f>IF(OR($C$36=$AR128,$D$36=$AR128),Schweine_Werte!$C128*0.5,IF(OR($C$36&gt;$AR128,$D$36&lt;$AR128),0,Schweine_Werte!$C128))</f>
        <v>0</v>
      </c>
      <c r="AV128" s="795">
        <f>IF(OR($C$48=$AR128,$D$48=$AR128),Schweine_Werte!$C128*0.5,IF(OR($C$48&gt;$AR128,$D$48&lt;$AR128),0,Schweine_Werte!$C128))</f>
        <v>0</v>
      </c>
      <c r="AW128" s="795">
        <f>IF(OR($C$60=$AR128,$D$60=$AR128),Schweine_Werte!$C128*0.5,IF(OR($C$60&gt;$AR128,$D$60&lt;$AR128),0,Schweine_Werte!$C128))</f>
        <v>0</v>
      </c>
      <c r="AX128" s="795">
        <f>IF(OR($C$12=$AR128,$D$12=$AR128),Schweine_Werte!$E128*0.5,IF(OR($C$12&gt;$AR128,$D$12&lt;$AR128),0,Schweine_Werte!$E128))</f>
        <v>0</v>
      </c>
      <c r="AY128" s="730">
        <f>IF(OR($C$24=$AR128,$D$24=$AR128),Schweine_Werte!$E128*0.5,IF(OR($C$24&gt;$AR128,$D$24&lt;$AR128),0,Schweine_Werte!$E128))</f>
        <v>0</v>
      </c>
      <c r="AZ128" s="730">
        <f>IF(OR($C$36=$AR128,$D$36=$AR128),Schweine_Werte!$E128*0.5,IF(OR($C$36&gt;$AR128,$D$36&lt;$AR128),0,Schweine_Werte!$E128))</f>
        <v>0</v>
      </c>
      <c r="BA128" s="730">
        <f>IF(OR($C$48=$AR128,$D$48=$AR128),Schweine_Werte!$E128*0.5,IF(OR($C$48&gt;$AR128,$D$48&lt;$AR128),0,Schweine_Werte!$E128))</f>
        <v>0</v>
      </c>
      <c r="BB128" s="730">
        <f>IF(OR($C$60=$AR128,$D$60=$AR128),Schweine_Werte!$E128*0.5,IF(OR($C$60&gt;$AR128,$D$60&lt;$AR128),0,Schweine_Werte!$E128))</f>
        <v>0</v>
      </c>
      <c r="BC128" s="795">
        <f>IF(OR($C$12=$AR128,$D$12=$AR128),Schweine_Werte!$G128*0.5,IF(OR($C$12&gt;$AR128,$D$12&lt;$AR128),0,Schweine_Werte!$G128))</f>
        <v>0</v>
      </c>
      <c r="BD128" s="730">
        <f>IF(OR($C$24=$AR128,$D$24=$AR128),Schweine_Werte!$G128*0.5,IF(OR($C$24&gt;$AR128,$D$24&lt;$AR128),0,Schweine_Werte!$G128))</f>
        <v>0</v>
      </c>
      <c r="BE128" s="730">
        <f>IF(OR($C$36=$AR128,$D$36=$AR128),Schweine_Werte!$G128*0.5,IF(OR($C$36&gt;$AR128,$D$36&lt;$AR128),0,Schweine_Werte!$G128))</f>
        <v>0</v>
      </c>
      <c r="BF128" s="730">
        <f>IF(OR($C$48=$AR128,$D$48=$AR128),Schweine_Werte!$G128*0.5,IF(OR($C$48&gt;$AR128,$D$48&lt;$AR128),0,Schweine_Werte!$G128))</f>
        <v>0</v>
      </c>
      <c r="BG128" s="730">
        <f>IF(OR($C$60=$AR128,$D$60=$AR128),Schweine_Werte!$G128*0.5,IF(OR($C$60&gt;$AR128,$D$60&lt;$AR128),0,Schweine_Werte!$G128))</f>
        <v>0</v>
      </c>
      <c r="BH128" s="795">
        <f>IF(OR($C$12=$AR128,$D$12=$AR128),Schweine_Werte!$I128*0.5,IF(OR($C$12&gt;$AR128,$D$12&lt;$AR128),0,Schweine_Werte!$I128))</f>
        <v>0</v>
      </c>
      <c r="BI128" s="730">
        <f>IF(OR($C$24=$AR128,$D$24=$AR128),Schweine_Werte!$I128*0.5,IF(OR($C$24&gt;$AR128,$D$24&lt;$AR128),0,Schweine_Werte!$I128))</f>
        <v>0</v>
      </c>
      <c r="BJ128" s="730">
        <f>IF(OR($C$36=$AR128,$D$36=$AR128),Schweine_Werte!$I128*0.5,IF(OR($C$36&gt;$AR128,$D$36&lt;$AR128),0,Schweine_Werte!$I128))</f>
        <v>0</v>
      </c>
      <c r="BK128" s="730">
        <f>IF(OR($C$48=$AR128,$D$48=$AR128),Schweine_Werte!$I128*0.5,IF(OR($C$48&gt;$AR128,$D$48&lt;$AR128),0,Schweine_Werte!$I128))</f>
        <v>0</v>
      </c>
      <c r="BL128" s="730">
        <f>IF(OR($C$60=$AR128,$D$60=$AR128),Schweine_Werte!$I128*0.5,IF(OR($C$60&gt;$AR128,$D$60&lt;$AR128),0,Schweine_Werte!$I128))</f>
        <v>0</v>
      </c>
      <c r="BM128" s="795"/>
      <c r="BN128" s="730"/>
      <c r="BO128" s="730"/>
      <c r="BP128" s="730"/>
      <c r="BQ128" s="730"/>
      <c r="BR128" s="795">
        <f>IF(OR($C$74=$AR128,$D$74=$AR128),Schweine_Werte!$M128*0.5,IF(OR($C$74&gt;$AR128,$D$74&lt;$AR128),0,Schweine_Werte!$M128))</f>
        <v>0</v>
      </c>
      <c r="BS128" s="795">
        <f>IF(OR($C$83=$AR128,$D$83=$AR128),Schweine_Werte!$M128*0.5,IF(OR($C$83&gt;$AR128,$D$83&lt;$AR128),0,Schweine_Werte!$M128))</f>
        <v>0</v>
      </c>
      <c r="BT128" s="797">
        <f>IF(OR($C$92=$AR128,$D$92=$AR128),Schweine_Werte!$M128*0.5,IF(OR($C$92&gt;$AR128,$D$92&lt;$AR128),0,Schweine_Werte!$M128))</f>
        <v>0</v>
      </c>
      <c r="BU128" s="797">
        <f>IF(OR($C$101=$AR128,$D$101=$AR128),Schweine_Werte!$M128*0.5,IF(OR($C$101&gt;$AR128,$D$101&lt;$AR128),0,Schweine_Werte!$M128))</f>
        <v>0</v>
      </c>
      <c r="BV128" s="797">
        <f>IF(OR($C$110=$AR128,$D$110=$AR128),Schweine_Werte!$M128*0.5,IF(OR($C$110&gt;$AR128,$D$110&lt;$AR128),0,Schweine_Werte!$M128))</f>
        <v>0</v>
      </c>
      <c r="BW128" s="797">
        <f>IF(OR(8=$AR128,$E$127=$AR128),Schweine_Werte!$M128*0.5,IF(OR(8&gt;$AR128,$E$127&lt;$AR128),0,Schweine_Werte!$M128))</f>
        <v>1.4477278921508818</v>
      </c>
      <c r="BX128" s="797">
        <f>IF(OR(8=$AR128,$E$145=$AR128),Schweine_Werte!$M128*0.5,IF(OR(8&gt;$AR128,$E$145&lt;$AR128),0,Schweine_Werte!$M128))</f>
        <v>1.4477278921508818</v>
      </c>
      <c r="BY128" s="795">
        <f>IF(OR($C$74=$AR128,$D$74=$AR128),Schweine_Werte!$O128*0.5,IF(OR($C$74&gt;$AR128,$D$74&lt;$AR128),0,Schweine_Werte!$O128))</f>
        <v>0</v>
      </c>
      <c r="BZ128" s="795">
        <f>IF(OR($C$83=$AR128,$D$83=$AR128),Schweine_Werte!$O128*0.5,IF(OR($C$83&gt;$AR128,$D$83&lt;$AR128),0,Schweine_Werte!$O128))</f>
        <v>0</v>
      </c>
      <c r="CA128" s="797">
        <f>IF(OR($C$92=$AR128,$D$92=$AR128),Schweine_Werte!$O128*0.5,IF(OR($C$92&gt;$AR128,$D$92&lt;$AR128),0,Schweine_Werte!$O128))</f>
        <v>0</v>
      </c>
      <c r="CB128" s="797">
        <f>IF(OR($C$101=$AR128,$D$101=$AR128),Schweine_Werte!$O128*0.5,IF(OR($C$101&gt;$AR128,$D$101&lt;$AR128),0,Schweine_Werte!$O128))</f>
        <v>0</v>
      </c>
      <c r="CC128" s="797">
        <f>IF(OR($C$110=$AR128,$D$110=$AR128),Schweine_Werte!$O128*0.5,IF(OR($C$110&gt;$AR128,$D$110&lt;$AR128),0,Schweine_Werte!$O128))</f>
        <v>0</v>
      </c>
    </row>
    <row r="129" spans="2:81" x14ac:dyDescent="0.25">
      <c r="F129" s="730"/>
      <c r="G129" s="730"/>
      <c r="H129" s="730"/>
      <c r="I129" s="730"/>
      <c r="J129" s="730"/>
      <c r="K129" s="730"/>
      <c r="L129" s="730"/>
      <c r="M129" s="730"/>
      <c r="N129" s="730"/>
      <c r="O129" s="730"/>
      <c r="P129" s="730"/>
      <c r="Q129" s="730"/>
      <c r="R129" s="730"/>
      <c r="S129" s="730"/>
      <c r="T129" s="730"/>
      <c r="U129" s="730"/>
      <c r="V129" s="730"/>
      <c r="W129" s="730"/>
      <c r="X129" s="730"/>
      <c r="Y129" s="730"/>
      <c r="AR129" s="806">
        <v>133</v>
      </c>
      <c r="AS129" s="795">
        <f>IF(OR($C$12=$AR129,$D$12=$AR129),Schweine_Werte!$C129*0.5,IF(OR($C$12&gt;$AR129,$D$12&lt;$AR129),0,Schweine_Werte!$C129))</f>
        <v>0</v>
      </c>
      <c r="AT129" s="730">
        <f>IF(OR($C$24=$AR129,$D$24=$AR129),Schweine_Werte!$C129*0.5,IF(OR($C$24&gt;$AR129,$D$24&lt;$AR129),0,Schweine_Werte!$C129))</f>
        <v>0</v>
      </c>
      <c r="AU129" s="795">
        <f>IF(OR($C$36=$AR129,$D$36=$AR129),Schweine_Werte!$C129*0.5,IF(OR($C$36&gt;$AR129,$D$36&lt;$AR129),0,Schweine_Werte!$C129))</f>
        <v>0</v>
      </c>
      <c r="AV129" s="795">
        <f>IF(OR($C$48=$AR129,$D$48=$AR129),Schweine_Werte!$C129*0.5,IF(OR($C$48&gt;$AR129,$D$48&lt;$AR129),0,Schweine_Werte!$C129))</f>
        <v>0</v>
      </c>
      <c r="AW129" s="795">
        <f>IF(OR($C$60=$AR129,$D$60=$AR129),Schweine_Werte!$C129*0.5,IF(OR($C$60&gt;$AR129,$D$60&lt;$AR129),0,Schweine_Werte!$C129))</f>
        <v>0</v>
      </c>
      <c r="AX129" s="795">
        <f>IF(OR($C$12=$AR129,$D$12=$AR129),Schweine_Werte!$E129*0.5,IF(OR($C$12&gt;$AR129,$D$12&lt;$AR129),0,Schweine_Werte!$E129))</f>
        <v>0</v>
      </c>
      <c r="AY129" s="730">
        <f>IF(OR($C$24=$AR129,$D$24=$AR129),Schweine_Werte!$E129*0.5,IF(OR($C$24&gt;$AR129,$D$24&lt;$AR129),0,Schweine_Werte!$E129))</f>
        <v>0</v>
      </c>
      <c r="AZ129" s="730">
        <f>IF(OR($C$36=$AR129,$D$36=$AR129),Schweine_Werte!$E129*0.5,IF(OR($C$36&gt;$AR129,$D$36&lt;$AR129),0,Schweine_Werte!$E129))</f>
        <v>0</v>
      </c>
      <c r="BA129" s="730">
        <f>IF(OR($C$48=$AR129,$D$48=$AR129),Schweine_Werte!$E129*0.5,IF(OR($C$48&gt;$AR129,$D$48&lt;$AR129),0,Schweine_Werte!$E129))</f>
        <v>0</v>
      </c>
      <c r="BB129" s="730">
        <f>IF(OR($C$60=$AR129,$D$60=$AR129),Schweine_Werte!$E129*0.5,IF(OR($C$60&gt;$AR129,$D$60&lt;$AR129),0,Schweine_Werte!$E129))</f>
        <v>0</v>
      </c>
      <c r="BC129" s="795">
        <f>IF(OR($C$12=$AR129,$D$12=$AR129),Schweine_Werte!$G129*0.5,IF(OR($C$12&gt;$AR129,$D$12&lt;$AR129),0,Schweine_Werte!$G129))</f>
        <v>0</v>
      </c>
      <c r="BD129" s="730">
        <f>IF(OR($C$24=$AR129,$D$24=$AR129),Schweine_Werte!$G129*0.5,IF(OR($C$24&gt;$AR129,$D$24&lt;$AR129),0,Schweine_Werte!$G129))</f>
        <v>0</v>
      </c>
      <c r="BE129" s="730">
        <f>IF(OR($C$36=$AR129,$D$36=$AR129),Schweine_Werte!$G129*0.5,IF(OR($C$36&gt;$AR129,$D$36&lt;$AR129),0,Schweine_Werte!$G129))</f>
        <v>0</v>
      </c>
      <c r="BF129" s="730">
        <f>IF(OR($C$48=$AR129,$D$48=$AR129),Schweine_Werte!$G129*0.5,IF(OR($C$48&gt;$AR129,$D$48&lt;$AR129),0,Schweine_Werte!$G129))</f>
        <v>0</v>
      </c>
      <c r="BG129" s="730">
        <f>IF(OR($C$60=$AR129,$D$60=$AR129),Schweine_Werte!$G129*0.5,IF(OR($C$60&gt;$AR129,$D$60&lt;$AR129),0,Schweine_Werte!$G129))</f>
        <v>0</v>
      </c>
      <c r="BH129" s="795">
        <f>IF(OR($C$12=$AR129,$D$12=$AR129),Schweine_Werte!$I129*0.5,IF(OR($C$12&gt;$AR129,$D$12&lt;$AR129),0,Schweine_Werte!$I129))</f>
        <v>0</v>
      </c>
      <c r="BI129" s="730">
        <f>IF(OR($C$24=$AR129,$D$24=$AR129),Schweine_Werte!$I129*0.5,IF(OR($C$24&gt;$AR129,$D$24&lt;$AR129),0,Schweine_Werte!$I129))</f>
        <v>0</v>
      </c>
      <c r="BJ129" s="730">
        <f>IF(OR($C$36=$AR129,$D$36=$AR129),Schweine_Werte!$I129*0.5,IF(OR($C$36&gt;$AR129,$D$36&lt;$AR129),0,Schweine_Werte!$I129))</f>
        <v>0</v>
      </c>
      <c r="BK129" s="730">
        <f>IF(OR($C$48=$AR129,$D$48=$AR129),Schweine_Werte!$I129*0.5,IF(OR($C$48&gt;$AR129,$D$48&lt;$AR129),0,Schweine_Werte!$I129))</f>
        <v>0</v>
      </c>
      <c r="BL129" s="730">
        <f>IF(OR($C$60=$AR129,$D$60=$AR129),Schweine_Werte!$I129*0.5,IF(OR($C$60&gt;$AR129,$D$60&lt;$AR129),0,Schweine_Werte!$I129))</f>
        <v>0</v>
      </c>
      <c r="BM129" s="795"/>
      <c r="BN129" s="730"/>
      <c r="BO129" s="730"/>
      <c r="BP129" s="730"/>
      <c r="BQ129" s="730"/>
      <c r="BR129" s="795">
        <f>IF(OR($C$74=$AR129,$D$74=$AR129),Schweine_Werte!$M129*0.5,IF(OR($C$74&gt;$AR129,$D$74&lt;$AR129),0,Schweine_Werte!$M129))</f>
        <v>0</v>
      </c>
      <c r="BS129" s="795">
        <f>IF(OR($C$83=$AR129,$D$83=$AR129),Schweine_Werte!$M129*0.5,IF(OR($C$83&gt;$AR129,$D$83&lt;$AR129),0,Schweine_Werte!$M129))</f>
        <v>0</v>
      </c>
      <c r="BT129" s="797">
        <f>IF(OR($C$92=$AR129,$D$92=$AR129),Schweine_Werte!$M129*0.5,IF(OR($C$92&gt;$AR129,$D$92&lt;$AR129),0,Schweine_Werte!$M129))</f>
        <v>0</v>
      </c>
      <c r="BU129" s="797">
        <f>IF(OR($C$101=$AR129,$D$101=$AR129),Schweine_Werte!$M129*0.5,IF(OR($C$101&gt;$AR129,$D$101&lt;$AR129),0,Schweine_Werte!$M129))</f>
        <v>0</v>
      </c>
      <c r="BV129" s="797">
        <f>IF(OR($C$110=$AR129,$D$110=$AR129),Schweine_Werte!$M129*0.5,IF(OR($C$110&gt;$AR129,$D$110&lt;$AR129),0,Schweine_Werte!$M129))</f>
        <v>0</v>
      </c>
      <c r="BW129" s="797">
        <f>IF(OR(8=$AR129,$E$127=$AR129),Schweine_Werte!$M129*0.5,IF(OR(8&gt;$AR129,$E$127&lt;$AR129),0,Schweine_Werte!$M129))</f>
        <v>1.4477278921508818</v>
      </c>
      <c r="BX129" s="797">
        <f>IF(OR(8=$AR129,$E$145=$AR129),Schweine_Werte!$M129*0.5,IF(OR(8&gt;$AR129,$E$145&lt;$AR129),0,Schweine_Werte!$M129))</f>
        <v>1.4477278921508818</v>
      </c>
      <c r="BY129" s="795">
        <f>IF(OR($C$74=$AR129,$D$74=$AR129),Schweine_Werte!$O129*0.5,IF(OR($C$74&gt;$AR129,$D$74&lt;$AR129),0,Schweine_Werte!$O129))</f>
        <v>0</v>
      </c>
      <c r="BZ129" s="795">
        <f>IF(OR($C$83=$AR129,$D$83=$AR129),Schweine_Werte!$O129*0.5,IF(OR($C$83&gt;$AR129,$D$83&lt;$AR129),0,Schweine_Werte!$O129))</f>
        <v>0</v>
      </c>
      <c r="CA129" s="797">
        <f>IF(OR($C$92=$AR129,$D$92=$AR129),Schweine_Werte!$O129*0.5,IF(OR($C$92&gt;$AR129,$D$92&lt;$AR129),0,Schweine_Werte!$O129))</f>
        <v>0</v>
      </c>
      <c r="CB129" s="797">
        <f>IF(OR($C$101=$AR129,$D$101=$AR129),Schweine_Werte!$O129*0.5,IF(OR($C$101&gt;$AR129,$D$101&lt;$AR129),0,Schweine_Werte!$O129))</f>
        <v>0</v>
      </c>
      <c r="CC129" s="797">
        <f>IF(OR($C$110=$AR129,$D$110=$AR129),Schweine_Werte!$O129*0.5,IF(OR($C$110&gt;$AR129,$D$110&lt;$AR129),0,Schweine_Werte!$O129))</f>
        <v>0</v>
      </c>
    </row>
    <row r="130" spans="2:81" x14ac:dyDescent="0.25">
      <c r="F130" s="730"/>
      <c r="G130" s="730"/>
      <c r="H130" s="730"/>
      <c r="I130" s="730"/>
      <c r="J130" s="730"/>
      <c r="K130" s="730"/>
      <c r="L130" s="730"/>
      <c r="M130" s="730"/>
      <c r="N130" s="730"/>
      <c r="O130" s="730"/>
      <c r="P130" s="730"/>
      <c r="Q130" s="730"/>
      <c r="R130" s="730"/>
      <c r="S130" s="730"/>
      <c r="T130" s="730"/>
      <c r="U130" s="730"/>
      <c r="V130" s="730"/>
      <c r="W130" s="730"/>
      <c r="X130" s="730"/>
      <c r="Y130" s="730"/>
      <c r="AR130" s="806">
        <v>134</v>
      </c>
      <c r="AS130" s="795">
        <f>IF(OR($C$12=$AR130,$D$12=$AR130),Schweine_Werte!$C130*0.5,IF(OR($C$12&gt;$AR130,$D$12&lt;$AR130),0,Schweine_Werte!$C130))</f>
        <v>0</v>
      </c>
      <c r="AT130" s="730">
        <f>IF(OR($C$24=$AR130,$D$24=$AR130),Schweine_Werte!$C130*0.5,IF(OR($C$24&gt;$AR130,$D$24&lt;$AR130),0,Schweine_Werte!$C130))</f>
        <v>0</v>
      </c>
      <c r="AU130" s="795">
        <f>IF(OR($C$36=$AR130,$D$36=$AR130),Schweine_Werte!$C130*0.5,IF(OR($C$36&gt;$AR130,$D$36&lt;$AR130),0,Schweine_Werte!$C130))</f>
        <v>0</v>
      </c>
      <c r="AV130" s="795">
        <f>IF(OR($C$48=$AR130,$D$48=$AR130),Schweine_Werte!$C130*0.5,IF(OR($C$48&gt;$AR130,$D$48&lt;$AR130),0,Schweine_Werte!$C130))</f>
        <v>0</v>
      </c>
      <c r="AW130" s="795">
        <f>IF(OR($C$60=$AR130,$D$60=$AR130),Schweine_Werte!$C130*0.5,IF(OR($C$60&gt;$AR130,$D$60&lt;$AR130),0,Schweine_Werte!$C130))</f>
        <v>0</v>
      </c>
      <c r="AX130" s="795">
        <f>IF(OR($C$12=$AR130,$D$12=$AR130),Schweine_Werte!$E130*0.5,IF(OR($C$12&gt;$AR130,$D$12&lt;$AR130),0,Schweine_Werte!$E130))</f>
        <v>0</v>
      </c>
      <c r="AY130" s="730">
        <f>IF(OR($C$24=$AR130,$D$24=$AR130),Schweine_Werte!$E130*0.5,IF(OR($C$24&gt;$AR130,$D$24&lt;$AR130),0,Schweine_Werte!$E130))</f>
        <v>0</v>
      </c>
      <c r="AZ130" s="730">
        <f>IF(OR($C$36=$AR130,$D$36=$AR130),Schweine_Werte!$E130*0.5,IF(OR($C$36&gt;$AR130,$D$36&lt;$AR130),0,Schweine_Werte!$E130))</f>
        <v>0</v>
      </c>
      <c r="BA130" s="730">
        <f>IF(OR($C$48=$AR130,$D$48=$AR130),Schweine_Werte!$E130*0.5,IF(OR($C$48&gt;$AR130,$D$48&lt;$AR130),0,Schweine_Werte!$E130))</f>
        <v>0</v>
      </c>
      <c r="BB130" s="730">
        <f>IF(OR($C$60=$AR130,$D$60=$AR130),Schweine_Werte!$E130*0.5,IF(OR($C$60&gt;$AR130,$D$60&lt;$AR130),0,Schweine_Werte!$E130))</f>
        <v>0</v>
      </c>
      <c r="BC130" s="795">
        <f>IF(OR($C$12=$AR130,$D$12=$AR130),Schweine_Werte!$G130*0.5,IF(OR($C$12&gt;$AR130,$D$12&lt;$AR130),0,Schweine_Werte!$G130))</f>
        <v>0</v>
      </c>
      <c r="BD130" s="730">
        <f>IF(OR($C$24=$AR130,$D$24=$AR130),Schweine_Werte!$G130*0.5,IF(OR($C$24&gt;$AR130,$D$24&lt;$AR130),0,Schweine_Werte!$G130))</f>
        <v>0</v>
      </c>
      <c r="BE130" s="730">
        <f>IF(OR($C$36=$AR130,$D$36=$AR130),Schweine_Werte!$G130*0.5,IF(OR($C$36&gt;$AR130,$D$36&lt;$AR130),0,Schweine_Werte!$G130))</f>
        <v>0</v>
      </c>
      <c r="BF130" s="730">
        <f>IF(OR($C$48=$AR130,$D$48=$AR130),Schweine_Werte!$G130*0.5,IF(OR($C$48&gt;$AR130,$D$48&lt;$AR130),0,Schweine_Werte!$G130))</f>
        <v>0</v>
      </c>
      <c r="BG130" s="730">
        <f>IF(OR($C$60=$AR130,$D$60=$AR130),Schweine_Werte!$G130*0.5,IF(OR($C$60&gt;$AR130,$D$60&lt;$AR130),0,Schweine_Werte!$G130))</f>
        <v>0</v>
      </c>
      <c r="BH130" s="795">
        <f>IF(OR($C$12=$AR130,$D$12=$AR130),Schweine_Werte!$I130*0.5,IF(OR($C$12&gt;$AR130,$D$12&lt;$AR130),0,Schweine_Werte!$I130))</f>
        <v>0</v>
      </c>
      <c r="BI130" s="730">
        <f>IF(OR($C$24=$AR130,$D$24=$AR130),Schweine_Werte!$I130*0.5,IF(OR($C$24&gt;$AR130,$D$24&lt;$AR130),0,Schweine_Werte!$I130))</f>
        <v>0</v>
      </c>
      <c r="BJ130" s="730">
        <f>IF(OR($C$36=$AR130,$D$36=$AR130),Schweine_Werte!$I130*0.5,IF(OR($C$36&gt;$AR130,$D$36&lt;$AR130),0,Schweine_Werte!$I130))</f>
        <v>0</v>
      </c>
      <c r="BK130" s="730">
        <f>IF(OR($C$48=$AR130,$D$48=$AR130),Schweine_Werte!$I130*0.5,IF(OR($C$48&gt;$AR130,$D$48&lt;$AR130),0,Schweine_Werte!$I130))</f>
        <v>0</v>
      </c>
      <c r="BL130" s="730">
        <f>IF(OR($C$60=$AR130,$D$60=$AR130),Schweine_Werte!$I130*0.5,IF(OR($C$60&gt;$AR130,$D$60&lt;$AR130),0,Schweine_Werte!$I130))</f>
        <v>0</v>
      </c>
      <c r="BM130" s="795"/>
      <c r="BN130" s="730"/>
      <c r="BO130" s="730"/>
      <c r="BP130" s="730"/>
      <c r="BQ130" s="730"/>
      <c r="BR130" s="795">
        <f>IF(OR($C$74=$AR130,$D$74=$AR130),Schweine_Werte!$M130*0.5,IF(OR($C$74&gt;$AR130,$D$74&lt;$AR130),0,Schweine_Werte!$M130))</f>
        <v>0</v>
      </c>
      <c r="BS130" s="795">
        <f>IF(OR($C$83=$AR130,$D$83=$AR130),Schweine_Werte!$M130*0.5,IF(OR($C$83&gt;$AR130,$D$83&lt;$AR130),0,Schweine_Werte!$M130))</f>
        <v>0</v>
      </c>
      <c r="BT130" s="797">
        <f>IF(OR($C$92=$AR130,$D$92=$AR130),Schweine_Werte!$M130*0.5,IF(OR($C$92&gt;$AR130,$D$92&lt;$AR130),0,Schweine_Werte!$M130))</f>
        <v>0</v>
      </c>
      <c r="BU130" s="797">
        <f>IF(OR($C$101=$AR130,$D$101=$AR130),Schweine_Werte!$M130*0.5,IF(OR($C$101&gt;$AR130,$D$101&lt;$AR130),0,Schweine_Werte!$M130))</f>
        <v>0</v>
      </c>
      <c r="BV130" s="797">
        <f>IF(OR($C$110=$AR130,$D$110=$AR130),Schweine_Werte!$M130*0.5,IF(OR($C$110&gt;$AR130,$D$110&lt;$AR130),0,Schweine_Werte!$M130))</f>
        <v>0</v>
      </c>
      <c r="BW130" s="797">
        <f>IF(OR(8=$AR130,$E$127=$AR130),Schweine_Werte!$M130*0.5,IF(OR(8&gt;$AR130,$E$127&lt;$AR130),0,Schweine_Werte!$M130))</f>
        <v>1.4477278921508818</v>
      </c>
      <c r="BX130" s="797">
        <f>IF(OR(8=$AR130,$E$145=$AR130),Schweine_Werte!$M130*0.5,IF(OR(8&gt;$AR130,$E$145&lt;$AR130),0,Schweine_Werte!$M130))</f>
        <v>1.4477278921508818</v>
      </c>
      <c r="BY130" s="795">
        <f>IF(OR($C$74=$AR130,$D$74=$AR130),Schweine_Werte!$O130*0.5,IF(OR($C$74&gt;$AR130,$D$74&lt;$AR130),0,Schweine_Werte!$O130))</f>
        <v>0</v>
      </c>
      <c r="BZ130" s="795">
        <f>IF(OR($C$83=$AR130,$D$83=$AR130),Schweine_Werte!$O130*0.5,IF(OR($C$83&gt;$AR130,$D$83&lt;$AR130),0,Schweine_Werte!$O130))</f>
        <v>0</v>
      </c>
      <c r="CA130" s="797">
        <f>IF(OR($C$92=$AR130,$D$92=$AR130),Schweine_Werte!$O130*0.5,IF(OR($C$92&gt;$AR130,$D$92&lt;$AR130),0,Schweine_Werte!$O130))</f>
        <v>0</v>
      </c>
      <c r="CB130" s="797">
        <f>IF(OR($C$101=$AR130,$D$101=$AR130),Schweine_Werte!$O130*0.5,IF(OR($C$101&gt;$AR130,$D$101&lt;$AR130),0,Schweine_Werte!$O130))</f>
        <v>0</v>
      </c>
      <c r="CC130" s="797">
        <f>IF(OR($C$110=$AR130,$D$110=$AR130),Schweine_Werte!$O130*0.5,IF(OR($C$110&gt;$AR130,$D$110&lt;$AR130),0,Schweine_Werte!$O130))</f>
        <v>0</v>
      </c>
    </row>
    <row r="131" spans="2:81" x14ac:dyDescent="0.25">
      <c r="F131" s="730"/>
      <c r="G131" s="730"/>
      <c r="H131" s="730"/>
      <c r="I131" s="730"/>
      <c r="J131" s="730"/>
      <c r="K131" s="730"/>
      <c r="L131" s="730"/>
      <c r="M131" s="730"/>
      <c r="N131" s="730"/>
      <c r="O131" s="730"/>
      <c r="P131" s="730"/>
      <c r="Q131" s="730"/>
      <c r="R131" s="730"/>
      <c r="S131" s="730"/>
      <c r="T131" s="730"/>
      <c r="U131" s="730"/>
      <c r="V131" s="730"/>
      <c r="W131" s="730"/>
      <c r="X131" s="730"/>
      <c r="Y131" s="730"/>
      <c r="AR131" s="806">
        <v>135</v>
      </c>
      <c r="AS131" s="795">
        <f>IF(OR($C$12=$AR131,$D$12=$AR131),Schweine_Werte!$C131*0.5,IF(OR($C$12&gt;$AR131,$D$12&lt;$AR131),0,Schweine_Werte!$C131))</f>
        <v>0</v>
      </c>
      <c r="AT131" s="730">
        <f>IF(OR($C$24=$AR131,$D$24=$AR131),Schweine_Werte!$C131*0.5,IF(OR($C$24&gt;$AR131,$D$24&lt;$AR131),0,Schweine_Werte!$C131))</f>
        <v>0</v>
      </c>
      <c r="AU131" s="795">
        <f>IF(OR($C$36=$AR131,$D$36=$AR131),Schweine_Werte!$C131*0.5,IF(OR($C$36&gt;$AR131,$D$36&lt;$AR131),0,Schweine_Werte!$C131))</f>
        <v>0</v>
      </c>
      <c r="AV131" s="795">
        <f>IF(OR($C$48=$AR131,$D$48=$AR131),Schweine_Werte!$C131*0.5,IF(OR($C$48&gt;$AR131,$D$48&lt;$AR131),0,Schweine_Werte!$C131))</f>
        <v>0</v>
      </c>
      <c r="AW131" s="795">
        <f>IF(OR($C$60=$AR131,$D$60=$AR131),Schweine_Werte!$C131*0.5,IF(OR($C$60&gt;$AR131,$D$60&lt;$AR131),0,Schweine_Werte!$C131))</f>
        <v>0</v>
      </c>
      <c r="AX131" s="795">
        <f>IF(OR($C$12=$AR131,$D$12=$AR131),Schweine_Werte!$E131*0.5,IF(OR($C$12&gt;$AR131,$D$12&lt;$AR131),0,Schweine_Werte!$E131))</f>
        <v>0</v>
      </c>
      <c r="AY131" s="730">
        <f>IF(OR($C$24=$AR131,$D$24=$AR131),Schweine_Werte!$E131*0.5,IF(OR($C$24&gt;$AR131,$D$24&lt;$AR131),0,Schweine_Werte!$E131))</f>
        <v>0</v>
      </c>
      <c r="AZ131" s="730">
        <f>IF(OR($C$36=$AR131,$D$36=$AR131),Schweine_Werte!$E131*0.5,IF(OR($C$36&gt;$AR131,$D$36&lt;$AR131),0,Schweine_Werte!$E131))</f>
        <v>0</v>
      </c>
      <c r="BA131" s="730">
        <f>IF(OR($C$48=$AR131,$D$48=$AR131),Schweine_Werte!$E131*0.5,IF(OR($C$48&gt;$AR131,$D$48&lt;$AR131),0,Schweine_Werte!$E131))</f>
        <v>0</v>
      </c>
      <c r="BB131" s="730">
        <f>IF(OR($C$60=$AR131,$D$60=$AR131),Schweine_Werte!$E131*0.5,IF(OR($C$60&gt;$AR131,$D$60&lt;$AR131),0,Schweine_Werte!$E131))</f>
        <v>0</v>
      </c>
      <c r="BC131" s="795">
        <f>IF(OR($C$12=$AR131,$D$12=$AR131),Schweine_Werte!$G131*0.5,IF(OR($C$12&gt;$AR131,$D$12&lt;$AR131),0,Schweine_Werte!$G131))</f>
        <v>0</v>
      </c>
      <c r="BD131" s="730">
        <f>IF(OR($C$24=$AR131,$D$24=$AR131),Schweine_Werte!$G131*0.5,IF(OR($C$24&gt;$AR131,$D$24&lt;$AR131),0,Schweine_Werte!$G131))</f>
        <v>0</v>
      </c>
      <c r="BE131" s="730">
        <f>IF(OR($C$36=$AR131,$D$36=$AR131),Schweine_Werte!$G131*0.5,IF(OR($C$36&gt;$AR131,$D$36&lt;$AR131),0,Schweine_Werte!$G131))</f>
        <v>0</v>
      </c>
      <c r="BF131" s="730">
        <f>IF(OR($C$48=$AR131,$D$48=$AR131),Schweine_Werte!$G131*0.5,IF(OR($C$48&gt;$AR131,$D$48&lt;$AR131),0,Schweine_Werte!$G131))</f>
        <v>0</v>
      </c>
      <c r="BG131" s="730">
        <f>IF(OR($C$60=$AR131,$D$60=$AR131),Schweine_Werte!$G131*0.5,IF(OR($C$60&gt;$AR131,$D$60&lt;$AR131),0,Schweine_Werte!$G131))</f>
        <v>0</v>
      </c>
      <c r="BH131" s="795">
        <f>IF(OR($C$12=$AR131,$D$12=$AR131),Schweine_Werte!$I131*0.5,IF(OR($C$12&gt;$AR131,$D$12&lt;$AR131),0,Schweine_Werte!$I131))</f>
        <v>0</v>
      </c>
      <c r="BI131" s="730">
        <f>IF(OR($C$24=$AR131,$D$24=$AR131),Schweine_Werte!$I131*0.5,IF(OR($C$24&gt;$AR131,$D$24&lt;$AR131),0,Schweine_Werte!$I131))</f>
        <v>0</v>
      </c>
      <c r="BJ131" s="730">
        <f>IF(OR($C$36=$AR131,$D$36=$AR131),Schweine_Werte!$I131*0.5,IF(OR($C$36&gt;$AR131,$D$36&lt;$AR131),0,Schweine_Werte!$I131))</f>
        <v>0</v>
      </c>
      <c r="BK131" s="730">
        <f>IF(OR($C$48=$AR131,$D$48=$AR131),Schweine_Werte!$I131*0.5,IF(OR($C$48&gt;$AR131,$D$48&lt;$AR131),0,Schweine_Werte!$I131))</f>
        <v>0</v>
      </c>
      <c r="BL131" s="730">
        <f>IF(OR($C$60=$AR131,$D$60=$AR131),Schweine_Werte!$I131*0.5,IF(OR($C$60&gt;$AR131,$D$60&lt;$AR131),0,Schweine_Werte!$I131))</f>
        <v>0</v>
      </c>
      <c r="BM131" s="795"/>
      <c r="BN131" s="730"/>
      <c r="BO131" s="730"/>
      <c r="BP131" s="730"/>
      <c r="BQ131" s="730"/>
      <c r="BR131" s="795">
        <f>IF(OR($C$74=$AR131,$D$74=$AR131),Schweine_Werte!$M131*0.5,IF(OR($C$74&gt;$AR131,$D$74&lt;$AR131),0,Schweine_Werte!$M131))</f>
        <v>0</v>
      </c>
      <c r="BS131" s="795">
        <f>IF(OR($C$83=$AR131,$D$83=$AR131),Schweine_Werte!$M131*0.5,IF(OR($C$83&gt;$AR131,$D$83&lt;$AR131),0,Schweine_Werte!$M131))</f>
        <v>0</v>
      </c>
      <c r="BT131" s="797">
        <f>IF(OR($C$92=$AR131,$D$92=$AR131),Schweine_Werte!$M131*0.5,IF(OR($C$92&gt;$AR131,$D$92&lt;$AR131),0,Schweine_Werte!$M131))</f>
        <v>0</v>
      </c>
      <c r="BU131" s="797">
        <f>IF(OR($C$101=$AR131,$D$101=$AR131),Schweine_Werte!$M131*0.5,IF(OR($C$101&gt;$AR131,$D$101&lt;$AR131),0,Schweine_Werte!$M131))</f>
        <v>0</v>
      </c>
      <c r="BV131" s="797">
        <f>IF(OR($C$110=$AR131,$D$110=$AR131),Schweine_Werte!$M131*0.5,IF(OR($C$110&gt;$AR131,$D$110&lt;$AR131),0,Schweine_Werte!$M131))</f>
        <v>0</v>
      </c>
      <c r="BW131" s="797">
        <f>IF(OR(8=$AR131,$E$127=$AR131),Schweine_Werte!$M131*0.5,IF(OR(8&gt;$AR131,$E$127&lt;$AR131),0,Schweine_Werte!$M131))</f>
        <v>1.4477278921508818</v>
      </c>
      <c r="BX131" s="797">
        <f>IF(OR(8=$AR131,$E$145=$AR131),Schweine_Werte!$M131*0.5,IF(OR(8&gt;$AR131,$E$145&lt;$AR131),0,Schweine_Werte!$M131))</f>
        <v>1.4477278921508818</v>
      </c>
      <c r="BY131" s="795">
        <f>IF(OR($C$74=$AR131,$D$74=$AR131),Schweine_Werte!$O131*0.5,IF(OR($C$74&gt;$AR131,$D$74&lt;$AR131),0,Schweine_Werte!$O131))</f>
        <v>0</v>
      </c>
      <c r="BZ131" s="795">
        <f>IF(OR($C$83=$AR131,$D$83=$AR131),Schweine_Werte!$O131*0.5,IF(OR($C$83&gt;$AR131,$D$83&lt;$AR131),0,Schweine_Werte!$O131))</f>
        <v>0</v>
      </c>
      <c r="CA131" s="797">
        <f>IF(OR($C$92=$AR131,$D$92=$AR131),Schweine_Werte!$O131*0.5,IF(OR($C$92&gt;$AR131,$D$92&lt;$AR131),0,Schweine_Werte!$O131))</f>
        <v>0</v>
      </c>
      <c r="CB131" s="797">
        <f>IF(OR($C$101=$AR131,$D$101=$AR131),Schweine_Werte!$O131*0.5,IF(OR($C$101&gt;$AR131,$D$101&lt;$AR131),0,Schweine_Werte!$O131))</f>
        <v>0</v>
      </c>
      <c r="CC131" s="797">
        <f>IF(OR($C$110=$AR131,$D$110=$AR131),Schweine_Werte!$O131*0.5,IF(OR($C$110&gt;$AR131,$D$110&lt;$AR131),0,Schweine_Werte!$O131))</f>
        <v>0</v>
      </c>
    </row>
    <row r="132" spans="2:81" x14ac:dyDescent="0.25">
      <c r="F132" s="730"/>
      <c r="G132" s="730"/>
      <c r="H132" s="730"/>
      <c r="I132" s="730"/>
      <c r="J132" s="730"/>
      <c r="K132" s="730"/>
      <c r="L132" s="730"/>
      <c r="M132" s="730"/>
      <c r="N132" s="730"/>
      <c r="O132" s="730"/>
      <c r="P132" s="730"/>
      <c r="Q132" s="730"/>
      <c r="R132" s="730"/>
      <c r="S132" s="730"/>
      <c r="T132" s="730"/>
      <c r="U132" s="730"/>
      <c r="V132" s="730"/>
      <c r="W132" s="730"/>
      <c r="X132" s="730"/>
      <c r="Y132" s="730"/>
      <c r="AR132" s="806">
        <v>136</v>
      </c>
      <c r="AS132" s="795">
        <f>IF(OR($C$12=$AR132,$D$12=$AR132),Schweine_Werte!$C132*0.5,IF(OR($C$12&gt;$AR132,$D$12&lt;$AR132),0,Schweine_Werte!$C132))</f>
        <v>0</v>
      </c>
      <c r="AT132" s="730">
        <f>IF(OR($C$24=$AR132,$D$24=$AR132),Schweine_Werte!$C132*0.5,IF(OR($C$24&gt;$AR132,$D$24&lt;$AR132),0,Schweine_Werte!$C132))</f>
        <v>0</v>
      </c>
      <c r="AU132" s="795">
        <f>IF(OR($C$36=$AR132,$D$36=$AR132),Schweine_Werte!$C132*0.5,IF(OR($C$36&gt;$AR132,$D$36&lt;$AR132),0,Schweine_Werte!$C132))</f>
        <v>0</v>
      </c>
      <c r="AV132" s="795">
        <f>IF(OR($C$48=$AR132,$D$48=$AR132),Schweine_Werte!$C132*0.5,IF(OR($C$48&gt;$AR132,$D$48&lt;$AR132),0,Schweine_Werte!$C132))</f>
        <v>0</v>
      </c>
      <c r="AW132" s="795">
        <f>IF(OR($C$60=$AR132,$D$60=$AR132),Schweine_Werte!$C132*0.5,IF(OR($C$60&gt;$AR132,$D$60&lt;$AR132),0,Schweine_Werte!$C132))</f>
        <v>0</v>
      </c>
      <c r="AX132" s="795">
        <f>IF(OR($C$12=$AR132,$D$12=$AR132),Schweine_Werte!$E132*0.5,IF(OR($C$12&gt;$AR132,$D$12&lt;$AR132),0,Schweine_Werte!$E132))</f>
        <v>0</v>
      </c>
      <c r="AY132" s="730">
        <f>IF(OR($C$24=$AR132,$D$24=$AR132),Schweine_Werte!$E132*0.5,IF(OR($C$24&gt;$AR132,$D$24&lt;$AR132),0,Schweine_Werte!$E132))</f>
        <v>0</v>
      </c>
      <c r="AZ132" s="730">
        <f>IF(OR($C$36=$AR132,$D$36=$AR132),Schweine_Werte!$E132*0.5,IF(OR($C$36&gt;$AR132,$D$36&lt;$AR132),0,Schweine_Werte!$E132))</f>
        <v>0</v>
      </c>
      <c r="BA132" s="730">
        <f>IF(OR($C$48=$AR132,$D$48=$AR132),Schweine_Werte!$E132*0.5,IF(OR($C$48&gt;$AR132,$D$48&lt;$AR132),0,Schweine_Werte!$E132))</f>
        <v>0</v>
      </c>
      <c r="BB132" s="730">
        <f>IF(OR($C$60=$AR132,$D$60=$AR132),Schweine_Werte!$E132*0.5,IF(OR($C$60&gt;$AR132,$D$60&lt;$AR132),0,Schweine_Werte!$E132))</f>
        <v>0</v>
      </c>
      <c r="BC132" s="795">
        <f>IF(OR($C$12=$AR132,$D$12=$AR132),Schweine_Werte!$G132*0.5,IF(OR($C$12&gt;$AR132,$D$12&lt;$AR132),0,Schweine_Werte!$G132))</f>
        <v>0</v>
      </c>
      <c r="BD132" s="730">
        <f>IF(OR($C$24=$AR132,$D$24=$AR132),Schweine_Werte!$G132*0.5,IF(OR($C$24&gt;$AR132,$D$24&lt;$AR132),0,Schweine_Werte!$G132))</f>
        <v>0</v>
      </c>
      <c r="BE132" s="730">
        <f>IF(OR($C$36=$AR132,$D$36=$AR132),Schweine_Werte!$G132*0.5,IF(OR($C$36&gt;$AR132,$D$36&lt;$AR132),0,Schweine_Werte!$G132))</f>
        <v>0</v>
      </c>
      <c r="BF132" s="730">
        <f>IF(OR($C$48=$AR132,$D$48=$AR132),Schweine_Werte!$G132*0.5,IF(OR($C$48&gt;$AR132,$D$48&lt;$AR132),0,Schweine_Werte!$G132))</f>
        <v>0</v>
      </c>
      <c r="BG132" s="730">
        <f>IF(OR($C$60=$AR132,$D$60=$AR132),Schweine_Werte!$G132*0.5,IF(OR($C$60&gt;$AR132,$D$60&lt;$AR132),0,Schweine_Werte!$G132))</f>
        <v>0</v>
      </c>
      <c r="BH132" s="795">
        <f>IF(OR($C$12=$AR132,$D$12=$AR132),Schweine_Werte!$I132*0.5,IF(OR($C$12&gt;$AR132,$D$12&lt;$AR132),0,Schweine_Werte!$I132))</f>
        <v>0</v>
      </c>
      <c r="BI132" s="730">
        <f>IF(OR($C$24=$AR132,$D$24=$AR132),Schweine_Werte!$I132*0.5,IF(OR($C$24&gt;$AR132,$D$24&lt;$AR132),0,Schweine_Werte!$I132))</f>
        <v>0</v>
      </c>
      <c r="BJ132" s="730">
        <f>IF(OR($C$36=$AR132,$D$36=$AR132),Schweine_Werte!$I132*0.5,IF(OR($C$36&gt;$AR132,$D$36&lt;$AR132),0,Schweine_Werte!$I132))</f>
        <v>0</v>
      </c>
      <c r="BK132" s="730">
        <f>IF(OR($C$48=$AR132,$D$48=$AR132),Schweine_Werte!$I132*0.5,IF(OR($C$48&gt;$AR132,$D$48&lt;$AR132),0,Schweine_Werte!$I132))</f>
        <v>0</v>
      </c>
      <c r="BL132" s="730">
        <f>IF(OR($C$60=$AR132,$D$60=$AR132),Schweine_Werte!$I132*0.5,IF(OR($C$60&gt;$AR132,$D$60&lt;$AR132),0,Schweine_Werte!$I132))</f>
        <v>0</v>
      </c>
      <c r="BM132" s="795"/>
      <c r="BN132" s="730"/>
      <c r="BO132" s="730"/>
      <c r="BP132" s="730"/>
      <c r="BQ132" s="730"/>
      <c r="BR132" s="795">
        <f>IF(OR($C$74=$AR132,$D$74=$AR132),Schweine_Werte!$M132*0.5,IF(OR($C$74&gt;$AR132,$D$74&lt;$AR132),0,Schweine_Werte!$M132))</f>
        <v>0</v>
      </c>
      <c r="BS132" s="795">
        <f>IF(OR($C$83=$AR132,$D$83=$AR132),Schweine_Werte!$M132*0.5,IF(OR($C$83&gt;$AR132,$D$83&lt;$AR132),0,Schweine_Werte!$M132))</f>
        <v>0</v>
      </c>
      <c r="BT132" s="797">
        <f>IF(OR($C$92=$AR132,$D$92=$AR132),Schweine_Werte!$M132*0.5,IF(OR($C$92&gt;$AR132,$D$92&lt;$AR132),0,Schweine_Werte!$M132))</f>
        <v>0</v>
      </c>
      <c r="BU132" s="797">
        <f>IF(OR($C$101=$AR132,$D$101=$AR132),Schweine_Werte!$M132*0.5,IF(OR($C$101&gt;$AR132,$D$101&lt;$AR132),0,Schweine_Werte!$M132))</f>
        <v>0</v>
      </c>
      <c r="BV132" s="797">
        <f>IF(OR($C$110=$AR132,$D$110=$AR132),Schweine_Werte!$M132*0.5,IF(OR($C$110&gt;$AR132,$D$110&lt;$AR132),0,Schweine_Werte!$M132))</f>
        <v>0</v>
      </c>
      <c r="BW132" s="797">
        <f>IF(OR(8=$AR132,$E$127=$AR132),Schweine_Werte!$M132*0.5,IF(OR(8&gt;$AR132,$E$127&lt;$AR132),0,Schweine_Werte!$M132))</f>
        <v>1.4477278921508818</v>
      </c>
      <c r="BX132" s="797">
        <f>IF(OR(8=$AR132,$E$145=$AR132),Schweine_Werte!$M132*0.5,IF(OR(8&gt;$AR132,$E$145&lt;$AR132),0,Schweine_Werte!$M132))</f>
        <v>1.4477278921508818</v>
      </c>
      <c r="BY132" s="795">
        <f>IF(OR($C$74=$AR132,$D$74=$AR132),Schweine_Werte!$O132*0.5,IF(OR($C$74&gt;$AR132,$D$74&lt;$AR132),0,Schweine_Werte!$O132))</f>
        <v>0</v>
      </c>
      <c r="BZ132" s="795">
        <f>IF(OR($C$83=$AR132,$D$83=$AR132),Schweine_Werte!$O132*0.5,IF(OR($C$83&gt;$AR132,$D$83&lt;$AR132),0,Schweine_Werte!$O132))</f>
        <v>0</v>
      </c>
      <c r="CA132" s="797">
        <f>IF(OR($C$92=$AR132,$D$92=$AR132),Schweine_Werte!$O132*0.5,IF(OR($C$92&gt;$AR132,$D$92&lt;$AR132),0,Schweine_Werte!$O132))</f>
        <v>0</v>
      </c>
      <c r="CB132" s="797">
        <f>IF(OR($C$101=$AR132,$D$101=$AR132),Schweine_Werte!$O132*0.5,IF(OR($C$101&gt;$AR132,$D$101&lt;$AR132),0,Schweine_Werte!$O132))</f>
        <v>0</v>
      </c>
      <c r="CC132" s="797">
        <f>IF(OR($C$110=$AR132,$D$110=$AR132),Schweine_Werte!$O132*0.5,IF(OR($C$110&gt;$AR132,$D$110&lt;$AR132),0,Schweine_Werte!$O132))</f>
        <v>0</v>
      </c>
    </row>
    <row r="133" spans="2:81" x14ac:dyDescent="0.25">
      <c r="F133" s="730"/>
      <c r="G133" s="730"/>
      <c r="H133" s="730"/>
      <c r="I133" s="730"/>
      <c r="J133" s="730"/>
      <c r="K133" s="730"/>
      <c r="L133" s="730"/>
      <c r="M133" s="730"/>
      <c r="N133" s="730"/>
      <c r="O133" s="730"/>
      <c r="P133" s="730"/>
      <c r="Q133" s="730"/>
      <c r="R133" s="730"/>
      <c r="S133" s="730"/>
      <c r="T133" s="730"/>
      <c r="U133" s="730"/>
      <c r="V133" s="730"/>
      <c r="W133" s="730"/>
      <c r="X133" s="730"/>
      <c r="Y133" s="730"/>
      <c r="AR133" s="806">
        <v>137</v>
      </c>
      <c r="AS133" s="795">
        <f>IF(OR($C$12=$AR133,$D$12=$AR133),Schweine_Werte!$C133*0.5,IF(OR($C$12&gt;$AR133,$D$12&lt;$AR133),0,Schweine_Werte!$C133))</f>
        <v>0</v>
      </c>
      <c r="AT133" s="730">
        <f>IF(OR($C$24=$AR133,$D$24=$AR133),Schweine_Werte!$C133*0.5,IF(OR($C$24&gt;$AR133,$D$24&lt;$AR133),0,Schweine_Werte!$C133))</f>
        <v>0</v>
      </c>
      <c r="AU133" s="795">
        <f>IF(OR($C$36=$AR133,$D$36=$AR133),Schweine_Werte!$C133*0.5,IF(OR($C$36&gt;$AR133,$D$36&lt;$AR133),0,Schweine_Werte!$C133))</f>
        <v>0</v>
      </c>
      <c r="AV133" s="795">
        <f>IF(OR($C$48=$AR133,$D$48=$AR133),Schweine_Werte!$C133*0.5,IF(OR($C$48&gt;$AR133,$D$48&lt;$AR133),0,Schweine_Werte!$C133))</f>
        <v>0</v>
      </c>
      <c r="AW133" s="795">
        <f>IF(OR($C$60=$AR133,$D$60=$AR133),Schweine_Werte!$C133*0.5,IF(OR($C$60&gt;$AR133,$D$60&lt;$AR133),0,Schweine_Werte!$C133))</f>
        <v>0</v>
      </c>
      <c r="AX133" s="795">
        <f>IF(OR($C$12=$AR133,$D$12=$AR133),Schweine_Werte!$E133*0.5,IF(OR($C$12&gt;$AR133,$D$12&lt;$AR133),0,Schweine_Werte!$E133))</f>
        <v>0</v>
      </c>
      <c r="AY133" s="730">
        <f>IF(OR($C$24=$AR133,$D$24=$AR133),Schweine_Werte!$E133*0.5,IF(OR($C$24&gt;$AR133,$D$24&lt;$AR133),0,Schweine_Werte!$E133))</f>
        <v>0</v>
      </c>
      <c r="AZ133" s="730">
        <f>IF(OR($C$36=$AR133,$D$36=$AR133),Schweine_Werte!$E133*0.5,IF(OR($C$36&gt;$AR133,$D$36&lt;$AR133),0,Schweine_Werte!$E133))</f>
        <v>0</v>
      </c>
      <c r="BA133" s="730">
        <f>IF(OR($C$48=$AR133,$D$48=$AR133),Schweine_Werte!$E133*0.5,IF(OR($C$48&gt;$AR133,$D$48&lt;$AR133),0,Schweine_Werte!$E133))</f>
        <v>0</v>
      </c>
      <c r="BB133" s="730">
        <f>IF(OR($C$60=$AR133,$D$60=$AR133),Schweine_Werte!$E133*0.5,IF(OR($C$60&gt;$AR133,$D$60&lt;$AR133),0,Schweine_Werte!$E133))</f>
        <v>0</v>
      </c>
      <c r="BC133" s="795">
        <f>IF(OR($C$12=$AR133,$D$12=$AR133),Schweine_Werte!$G133*0.5,IF(OR($C$12&gt;$AR133,$D$12&lt;$AR133),0,Schweine_Werte!$G133))</f>
        <v>0</v>
      </c>
      <c r="BD133" s="730">
        <f>IF(OR($C$24=$AR133,$D$24=$AR133),Schweine_Werte!$G133*0.5,IF(OR($C$24&gt;$AR133,$D$24&lt;$AR133),0,Schweine_Werte!$G133))</f>
        <v>0</v>
      </c>
      <c r="BE133" s="730">
        <f>IF(OR($C$36=$AR133,$D$36=$AR133),Schweine_Werte!$G133*0.5,IF(OR($C$36&gt;$AR133,$D$36&lt;$AR133),0,Schweine_Werte!$G133))</f>
        <v>0</v>
      </c>
      <c r="BF133" s="730">
        <f>IF(OR($C$48=$AR133,$D$48=$AR133),Schweine_Werte!$G133*0.5,IF(OR($C$48&gt;$AR133,$D$48&lt;$AR133),0,Schweine_Werte!$G133))</f>
        <v>0</v>
      </c>
      <c r="BG133" s="730">
        <f>IF(OR($C$60=$AR133,$D$60=$AR133),Schweine_Werte!$G133*0.5,IF(OR($C$60&gt;$AR133,$D$60&lt;$AR133),0,Schweine_Werte!$G133))</f>
        <v>0</v>
      </c>
      <c r="BH133" s="795">
        <f>IF(OR($C$12=$AR133,$D$12=$AR133),Schweine_Werte!$I133*0.5,IF(OR($C$12&gt;$AR133,$D$12&lt;$AR133),0,Schweine_Werte!$I133))</f>
        <v>0</v>
      </c>
      <c r="BI133" s="730">
        <f>IF(OR($C$24=$AR133,$D$24=$AR133),Schweine_Werte!$I133*0.5,IF(OR($C$24&gt;$AR133,$D$24&lt;$AR133),0,Schweine_Werte!$I133))</f>
        <v>0</v>
      </c>
      <c r="BJ133" s="730">
        <f>IF(OR($C$36=$AR133,$D$36=$AR133),Schweine_Werte!$I133*0.5,IF(OR($C$36&gt;$AR133,$D$36&lt;$AR133),0,Schweine_Werte!$I133))</f>
        <v>0</v>
      </c>
      <c r="BK133" s="730">
        <f>IF(OR($C$48=$AR133,$D$48=$AR133),Schweine_Werte!$I133*0.5,IF(OR($C$48&gt;$AR133,$D$48&lt;$AR133),0,Schweine_Werte!$I133))</f>
        <v>0</v>
      </c>
      <c r="BL133" s="730">
        <f>IF(OR($C$60=$AR133,$D$60=$AR133),Schweine_Werte!$I133*0.5,IF(OR($C$60&gt;$AR133,$D$60&lt;$AR133),0,Schweine_Werte!$I133))</f>
        <v>0</v>
      </c>
      <c r="BM133" s="795"/>
      <c r="BN133" s="730"/>
      <c r="BO133" s="730"/>
      <c r="BP133" s="730"/>
      <c r="BQ133" s="730"/>
      <c r="BR133" s="795">
        <f>IF(OR($C$74=$AR133,$D$74=$AR133),Schweine_Werte!$M133*0.5,IF(OR($C$74&gt;$AR133,$D$74&lt;$AR133),0,Schweine_Werte!$M133))</f>
        <v>0</v>
      </c>
      <c r="BS133" s="795">
        <f>IF(OR($C$83=$AR133,$D$83=$AR133),Schweine_Werte!$M133*0.5,IF(OR($C$83&gt;$AR133,$D$83&lt;$AR133),0,Schweine_Werte!$M133))</f>
        <v>0</v>
      </c>
      <c r="BT133" s="797">
        <f>IF(OR($C$92=$AR133,$D$92=$AR133),Schweine_Werte!$M133*0.5,IF(OR($C$92&gt;$AR133,$D$92&lt;$AR133),0,Schweine_Werte!$M133))</f>
        <v>0</v>
      </c>
      <c r="BU133" s="797">
        <f>IF(OR($C$101=$AR133,$D$101=$AR133),Schweine_Werte!$M133*0.5,IF(OR($C$101&gt;$AR133,$D$101&lt;$AR133),0,Schweine_Werte!$M133))</f>
        <v>0</v>
      </c>
      <c r="BV133" s="797">
        <f>IF(OR($C$110=$AR133,$D$110=$AR133),Schweine_Werte!$M133*0.5,IF(OR($C$110&gt;$AR133,$D$110&lt;$AR133),0,Schweine_Werte!$M133))</f>
        <v>0</v>
      </c>
      <c r="BW133" s="797">
        <f>IF(OR(8=$AR133,$E$127=$AR133),Schweine_Werte!$M133*0.5,IF(OR(8&gt;$AR133,$E$127&lt;$AR133),0,Schweine_Werte!$M133))</f>
        <v>1.4477278921508818</v>
      </c>
      <c r="BX133" s="797">
        <f>IF(OR(8=$AR133,$E$145=$AR133),Schweine_Werte!$M133*0.5,IF(OR(8&gt;$AR133,$E$145&lt;$AR133),0,Schweine_Werte!$M133))</f>
        <v>1.4477278921508818</v>
      </c>
      <c r="BY133" s="795">
        <f>IF(OR($C$74=$AR133,$D$74=$AR133),Schweine_Werte!$O133*0.5,IF(OR($C$74&gt;$AR133,$D$74&lt;$AR133),0,Schweine_Werte!$O133))</f>
        <v>0</v>
      </c>
      <c r="BZ133" s="795">
        <f>IF(OR($C$83=$AR133,$D$83=$AR133),Schweine_Werte!$O133*0.5,IF(OR($C$83&gt;$AR133,$D$83&lt;$AR133),0,Schweine_Werte!$O133))</f>
        <v>0</v>
      </c>
      <c r="CA133" s="797">
        <f>IF(OR($C$92=$AR133,$D$92=$AR133),Schweine_Werte!$O133*0.5,IF(OR($C$92&gt;$AR133,$D$92&lt;$AR133),0,Schweine_Werte!$O133))</f>
        <v>0</v>
      </c>
      <c r="CB133" s="797">
        <f>IF(OR($C$101=$AR133,$D$101=$AR133),Schweine_Werte!$O133*0.5,IF(OR($C$101&gt;$AR133,$D$101&lt;$AR133),0,Schweine_Werte!$O133))</f>
        <v>0</v>
      </c>
      <c r="CC133" s="797">
        <f>IF(OR($C$110=$AR133,$D$110=$AR133),Schweine_Werte!$O133*0.5,IF(OR($C$110&gt;$AR133,$D$110&lt;$AR133),0,Schweine_Werte!$O133))</f>
        <v>0</v>
      </c>
    </row>
    <row r="134" spans="2:81" x14ac:dyDescent="0.25">
      <c r="AR134" s="806">
        <v>138</v>
      </c>
      <c r="AS134" s="795">
        <f>IF(OR($C$12=$AR134,$D$12=$AR134),Schweine_Werte!$C134*0.5,IF(OR($C$12&gt;$AR134,$D$12&lt;$AR134),0,Schweine_Werte!$C134))</f>
        <v>0</v>
      </c>
      <c r="AT134" s="730">
        <f>IF(OR($C$24=$AR134,$D$24=$AR134),Schweine_Werte!$C134*0.5,IF(OR($C$24&gt;$AR134,$D$24&lt;$AR134),0,Schweine_Werte!$C134))</f>
        <v>0</v>
      </c>
      <c r="AU134" s="795">
        <f>IF(OR($C$36=$AR134,$D$36=$AR134),Schweine_Werte!$C134*0.5,IF(OR($C$36&gt;$AR134,$D$36&lt;$AR134),0,Schweine_Werte!$C134))</f>
        <v>0</v>
      </c>
      <c r="AV134" s="795">
        <f>IF(OR($C$48=$AR134,$D$48=$AR134),Schweine_Werte!$C134*0.5,IF(OR($C$48&gt;$AR134,$D$48&lt;$AR134),0,Schweine_Werte!$C134))</f>
        <v>0</v>
      </c>
      <c r="AW134" s="795">
        <f>IF(OR($C$60=$AR134,$D$60=$AR134),Schweine_Werte!$C134*0.5,IF(OR($C$60&gt;$AR134,$D$60&lt;$AR134),0,Schweine_Werte!$C134))</f>
        <v>0</v>
      </c>
      <c r="AX134" s="795">
        <f>IF(OR($C$12=$AR134,$D$12=$AR134),Schweine_Werte!$E134*0.5,IF(OR($C$12&gt;$AR134,$D$12&lt;$AR134),0,Schweine_Werte!$E134))</f>
        <v>0</v>
      </c>
      <c r="AY134" s="730">
        <f>IF(OR($C$24=$AR134,$D$24=$AR134),Schweine_Werte!$E134*0.5,IF(OR($C$24&gt;$AR134,$D$24&lt;$AR134),0,Schweine_Werte!$E134))</f>
        <v>0</v>
      </c>
      <c r="AZ134" s="730">
        <f>IF(OR($C$36=$AR134,$D$36=$AR134),Schweine_Werte!$E134*0.5,IF(OR($C$36&gt;$AR134,$D$36&lt;$AR134),0,Schweine_Werte!$E134))</f>
        <v>0</v>
      </c>
      <c r="BA134" s="730">
        <f>IF(OR($C$48=$AR134,$D$48=$AR134),Schweine_Werte!$E134*0.5,IF(OR($C$48&gt;$AR134,$D$48&lt;$AR134),0,Schweine_Werte!$E134))</f>
        <v>0</v>
      </c>
      <c r="BB134" s="730">
        <f>IF(OR($C$60=$AR134,$D$60=$AR134),Schweine_Werte!$E134*0.5,IF(OR($C$60&gt;$AR134,$D$60&lt;$AR134),0,Schweine_Werte!$E134))</f>
        <v>0</v>
      </c>
      <c r="BC134" s="795">
        <f>IF(OR($C$12=$AR134,$D$12=$AR134),Schweine_Werte!$G134*0.5,IF(OR($C$12&gt;$AR134,$D$12&lt;$AR134),0,Schweine_Werte!$G134))</f>
        <v>0</v>
      </c>
      <c r="BD134" s="730">
        <f>IF(OR($C$24=$AR134,$D$24=$AR134),Schweine_Werte!$G134*0.5,IF(OR($C$24&gt;$AR134,$D$24&lt;$AR134),0,Schweine_Werte!$G134))</f>
        <v>0</v>
      </c>
      <c r="BE134" s="730">
        <f>IF(OR($C$36=$AR134,$D$36=$AR134),Schweine_Werte!$G134*0.5,IF(OR($C$36&gt;$AR134,$D$36&lt;$AR134),0,Schweine_Werte!$G134))</f>
        <v>0</v>
      </c>
      <c r="BF134" s="730">
        <f>IF(OR($C$48=$AR134,$D$48=$AR134),Schweine_Werte!$G134*0.5,IF(OR($C$48&gt;$AR134,$D$48&lt;$AR134),0,Schweine_Werte!$G134))</f>
        <v>0</v>
      </c>
      <c r="BG134" s="730">
        <f>IF(OR($C$60=$AR134,$D$60=$AR134),Schweine_Werte!$G134*0.5,IF(OR($C$60&gt;$AR134,$D$60&lt;$AR134),0,Schweine_Werte!$G134))</f>
        <v>0</v>
      </c>
      <c r="BH134" s="795">
        <f>IF(OR($C$12=$AR134,$D$12=$AR134),Schweine_Werte!$I134*0.5,IF(OR($C$12&gt;$AR134,$D$12&lt;$AR134),0,Schweine_Werte!$I134))</f>
        <v>0</v>
      </c>
      <c r="BI134" s="730">
        <f>IF(OR($C$24=$AR134,$D$24=$AR134),Schweine_Werte!$I134*0.5,IF(OR($C$24&gt;$AR134,$D$24&lt;$AR134),0,Schweine_Werte!$I134))</f>
        <v>0</v>
      </c>
      <c r="BJ134" s="730">
        <f>IF(OR($C$36=$AR134,$D$36=$AR134),Schweine_Werte!$I134*0.5,IF(OR($C$36&gt;$AR134,$D$36&lt;$AR134),0,Schweine_Werte!$I134))</f>
        <v>0</v>
      </c>
      <c r="BK134" s="730">
        <f>IF(OR($C$48=$AR134,$D$48=$AR134),Schweine_Werte!$I134*0.5,IF(OR($C$48&gt;$AR134,$D$48&lt;$AR134),0,Schweine_Werte!$I134))</f>
        <v>0</v>
      </c>
      <c r="BL134" s="730">
        <f>IF(OR($C$60=$AR134,$D$60=$AR134),Schweine_Werte!$I134*0.5,IF(OR($C$60&gt;$AR134,$D$60&lt;$AR134),0,Schweine_Werte!$I134))</f>
        <v>0</v>
      </c>
      <c r="BM134" s="795"/>
      <c r="BN134" s="730"/>
      <c r="BO134" s="730"/>
      <c r="BP134" s="730"/>
      <c r="BQ134" s="730"/>
      <c r="BR134" s="795">
        <f>IF(OR($C$74=$AR134,$D$74=$AR134),Schweine_Werte!$M134*0.5,IF(OR($C$74&gt;$AR134,$D$74&lt;$AR134),0,Schweine_Werte!$M134))</f>
        <v>0</v>
      </c>
      <c r="BS134" s="795">
        <f>IF(OR($C$83=$AR134,$D$83=$AR134),Schweine_Werte!$M134*0.5,IF(OR($C$83&gt;$AR134,$D$83&lt;$AR134),0,Schweine_Werte!$M134))</f>
        <v>0</v>
      </c>
      <c r="BT134" s="797">
        <f>IF(OR($C$92=$AR134,$D$92=$AR134),Schweine_Werte!$M134*0.5,IF(OR($C$92&gt;$AR134,$D$92&lt;$AR134),0,Schweine_Werte!$M134))</f>
        <v>0</v>
      </c>
      <c r="BU134" s="797">
        <f>IF(OR($C$101=$AR134,$D$101=$AR134),Schweine_Werte!$M134*0.5,IF(OR($C$101&gt;$AR134,$D$101&lt;$AR134),0,Schweine_Werte!$M134))</f>
        <v>0</v>
      </c>
      <c r="BV134" s="797">
        <f>IF(OR($C$110=$AR134,$D$110=$AR134),Schweine_Werte!$M134*0.5,IF(OR($C$110&gt;$AR134,$D$110&lt;$AR134),0,Schweine_Werte!$M134))</f>
        <v>0</v>
      </c>
      <c r="BW134" s="797">
        <f>IF(OR(8=$AR134,$E$127=$AR134),Schweine_Werte!$M134*0.5,IF(OR(8&gt;$AR134,$E$127&lt;$AR134),0,Schweine_Werte!$M134))</f>
        <v>1.4477278921508818</v>
      </c>
      <c r="BX134" s="797">
        <f>IF(OR(8=$AR134,$E$145=$AR134),Schweine_Werte!$M134*0.5,IF(OR(8&gt;$AR134,$E$145&lt;$AR134),0,Schweine_Werte!$M134))</f>
        <v>1.4477278921508818</v>
      </c>
      <c r="BY134" s="795">
        <f>IF(OR($C$74=$AR134,$D$74=$AR134),Schweine_Werte!$O134*0.5,IF(OR($C$74&gt;$AR134,$D$74&lt;$AR134),0,Schweine_Werte!$O134))</f>
        <v>0</v>
      </c>
      <c r="BZ134" s="795">
        <f>IF(OR($C$83=$AR134,$D$83=$AR134),Schweine_Werte!$O134*0.5,IF(OR($C$83&gt;$AR134,$D$83&lt;$AR134),0,Schweine_Werte!$O134))</f>
        <v>0</v>
      </c>
      <c r="CA134" s="797">
        <f>IF(OR($C$92=$AR134,$D$92=$AR134),Schweine_Werte!$O134*0.5,IF(OR($C$92&gt;$AR134,$D$92&lt;$AR134),0,Schweine_Werte!$O134))</f>
        <v>0</v>
      </c>
      <c r="CB134" s="797">
        <f>IF(OR($C$101=$AR134,$D$101=$AR134),Schweine_Werte!$O134*0.5,IF(OR($C$101&gt;$AR134,$D$101&lt;$AR134),0,Schweine_Werte!$O134))</f>
        <v>0</v>
      </c>
      <c r="CC134" s="797">
        <f>IF(OR($C$110=$AR134,$D$110=$AR134),Schweine_Werte!$O134*0.5,IF(OR($C$110&gt;$AR134,$D$110&lt;$AR134),0,Schweine_Werte!$O134))</f>
        <v>0</v>
      </c>
    </row>
    <row r="135" spans="2:81" x14ac:dyDescent="0.25">
      <c r="AR135" s="806">
        <v>139</v>
      </c>
      <c r="AS135" s="795">
        <f>IF(OR($C$12=$AR135,$D$12=$AR135),Schweine_Werte!$C135*0.5,IF(OR($C$12&gt;$AR135,$D$12&lt;$AR135),0,Schweine_Werte!$C135))</f>
        <v>0</v>
      </c>
      <c r="AT135" s="730">
        <f>IF(OR($C$24=$AR135,$D$24=$AR135),Schweine_Werte!$C135*0.5,IF(OR($C$24&gt;$AR135,$D$24&lt;$AR135),0,Schweine_Werte!$C135))</f>
        <v>0</v>
      </c>
      <c r="AU135" s="795">
        <f>IF(OR($C$36=$AR135,$D$36=$AR135),Schweine_Werte!$C135*0.5,IF(OR($C$36&gt;$AR135,$D$36&lt;$AR135),0,Schweine_Werte!$C135))</f>
        <v>0</v>
      </c>
      <c r="AV135" s="795">
        <f>IF(OR($C$48=$AR135,$D$48=$AR135),Schweine_Werte!$C135*0.5,IF(OR($C$48&gt;$AR135,$D$48&lt;$AR135),0,Schweine_Werte!$C135))</f>
        <v>0</v>
      </c>
      <c r="AW135" s="795">
        <f>IF(OR($C$60=$AR135,$D$60=$AR135),Schweine_Werte!$C135*0.5,IF(OR($C$60&gt;$AR135,$D$60&lt;$AR135),0,Schweine_Werte!$C135))</f>
        <v>0</v>
      </c>
      <c r="AX135" s="795">
        <f>IF(OR($C$12=$AR135,$D$12=$AR135),Schweine_Werte!$E135*0.5,IF(OR($C$12&gt;$AR135,$D$12&lt;$AR135),0,Schweine_Werte!$E135))</f>
        <v>0</v>
      </c>
      <c r="AY135" s="730">
        <f>IF(OR($C$24=$AR135,$D$24=$AR135),Schweine_Werte!$E135*0.5,IF(OR($C$24&gt;$AR135,$D$24&lt;$AR135),0,Schweine_Werte!$E135))</f>
        <v>0</v>
      </c>
      <c r="AZ135" s="730">
        <f>IF(OR($C$36=$AR135,$D$36=$AR135),Schweine_Werte!$E135*0.5,IF(OR($C$36&gt;$AR135,$D$36&lt;$AR135),0,Schweine_Werte!$E135))</f>
        <v>0</v>
      </c>
      <c r="BA135" s="730">
        <f>IF(OR($C$48=$AR135,$D$48=$AR135),Schweine_Werte!$E135*0.5,IF(OR($C$48&gt;$AR135,$D$48&lt;$AR135),0,Schweine_Werte!$E135))</f>
        <v>0</v>
      </c>
      <c r="BB135" s="730">
        <f>IF(OR($C$60=$AR135,$D$60=$AR135),Schweine_Werte!$E135*0.5,IF(OR($C$60&gt;$AR135,$D$60&lt;$AR135),0,Schweine_Werte!$E135))</f>
        <v>0</v>
      </c>
      <c r="BC135" s="795">
        <f>IF(OR($C$12=$AR135,$D$12=$AR135),Schweine_Werte!$G135*0.5,IF(OR($C$12&gt;$AR135,$D$12&lt;$AR135),0,Schweine_Werte!$G135))</f>
        <v>0</v>
      </c>
      <c r="BD135" s="730">
        <f>IF(OR($C$24=$AR135,$D$24=$AR135),Schweine_Werte!$G135*0.5,IF(OR($C$24&gt;$AR135,$D$24&lt;$AR135),0,Schweine_Werte!$G135))</f>
        <v>0</v>
      </c>
      <c r="BE135" s="730">
        <f>IF(OR($C$36=$AR135,$D$36=$AR135),Schweine_Werte!$G135*0.5,IF(OR($C$36&gt;$AR135,$D$36&lt;$AR135),0,Schweine_Werte!$G135))</f>
        <v>0</v>
      </c>
      <c r="BF135" s="730">
        <f>IF(OR($C$48=$AR135,$D$48=$AR135),Schweine_Werte!$G135*0.5,IF(OR($C$48&gt;$AR135,$D$48&lt;$AR135),0,Schweine_Werte!$G135))</f>
        <v>0</v>
      </c>
      <c r="BG135" s="730">
        <f>IF(OR($C$60=$AR135,$D$60=$AR135),Schweine_Werte!$G135*0.5,IF(OR($C$60&gt;$AR135,$D$60&lt;$AR135),0,Schweine_Werte!$G135))</f>
        <v>0</v>
      </c>
      <c r="BH135" s="795">
        <f>IF(OR($C$12=$AR135,$D$12=$AR135),Schweine_Werte!$I135*0.5,IF(OR($C$12&gt;$AR135,$D$12&lt;$AR135),0,Schweine_Werte!$I135))</f>
        <v>0</v>
      </c>
      <c r="BI135" s="730">
        <f>IF(OR($C$24=$AR135,$D$24=$AR135),Schweine_Werte!$I135*0.5,IF(OR($C$24&gt;$AR135,$D$24&lt;$AR135),0,Schweine_Werte!$I135))</f>
        <v>0</v>
      </c>
      <c r="BJ135" s="730">
        <f>IF(OR($C$36=$AR135,$D$36=$AR135),Schweine_Werte!$I135*0.5,IF(OR($C$36&gt;$AR135,$D$36&lt;$AR135),0,Schweine_Werte!$I135))</f>
        <v>0</v>
      </c>
      <c r="BK135" s="730">
        <f>IF(OR($C$48=$AR135,$D$48=$AR135),Schweine_Werte!$I135*0.5,IF(OR($C$48&gt;$AR135,$D$48&lt;$AR135),0,Schweine_Werte!$I135))</f>
        <v>0</v>
      </c>
      <c r="BL135" s="730">
        <f>IF(OR($C$60=$AR135,$D$60=$AR135),Schweine_Werte!$I135*0.5,IF(OR($C$60&gt;$AR135,$D$60&lt;$AR135),0,Schweine_Werte!$I135))</f>
        <v>0</v>
      </c>
      <c r="BM135" s="795"/>
      <c r="BN135" s="730"/>
      <c r="BO135" s="730"/>
      <c r="BP135" s="730"/>
      <c r="BQ135" s="730"/>
      <c r="BR135" s="795">
        <f>IF(OR($C$74=$AR135,$D$74=$AR135),Schweine_Werte!$M135*0.5,IF(OR($C$74&gt;$AR135,$D$74&lt;$AR135),0,Schweine_Werte!$M135))</f>
        <v>0</v>
      </c>
      <c r="BS135" s="795">
        <f>IF(OR($C$83=$AR135,$D$83=$AR135),Schweine_Werte!$M135*0.5,IF(OR($C$83&gt;$AR135,$D$83&lt;$AR135),0,Schweine_Werte!$M135))</f>
        <v>0</v>
      </c>
      <c r="BT135" s="797">
        <f>IF(OR($C$92=$AR135,$D$92=$AR135),Schweine_Werte!$M135*0.5,IF(OR($C$92&gt;$AR135,$D$92&lt;$AR135),0,Schweine_Werte!$M135))</f>
        <v>0</v>
      </c>
      <c r="BU135" s="797">
        <f>IF(OR($C$101=$AR135,$D$101=$AR135),Schweine_Werte!$M135*0.5,IF(OR($C$101&gt;$AR135,$D$101&lt;$AR135),0,Schweine_Werte!$M135))</f>
        <v>0</v>
      </c>
      <c r="BV135" s="797">
        <f>IF(OR($C$110=$AR135,$D$110=$AR135),Schweine_Werte!$M135*0.5,IF(OR($C$110&gt;$AR135,$D$110&lt;$AR135),0,Schweine_Werte!$M135))</f>
        <v>0</v>
      </c>
      <c r="BW135" s="797">
        <f>IF(OR(8=$AR135,$E$127=$AR135),Schweine_Werte!$M135*0.5,IF(OR(8&gt;$AR135,$E$127&lt;$AR135),0,Schweine_Werte!$M135))</f>
        <v>1.4477278921508818</v>
      </c>
      <c r="BX135" s="797">
        <f>IF(OR(8=$AR135,$E$145=$AR135),Schweine_Werte!$M135*0.5,IF(OR(8&gt;$AR135,$E$145&lt;$AR135),0,Schweine_Werte!$M135))</f>
        <v>1.4477278921508818</v>
      </c>
      <c r="BY135" s="795">
        <f>IF(OR($C$74=$AR135,$D$74=$AR135),Schweine_Werte!$O135*0.5,IF(OR($C$74&gt;$AR135,$D$74&lt;$AR135),0,Schweine_Werte!$O135))</f>
        <v>0</v>
      </c>
      <c r="BZ135" s="795">
        <f>IF(OR($C$83=$AR135,$D$83=$AR135),Schweine_Werte!$O135*0.5,IF(OR($C$83&gt;$AR135,$D$83&lt;$AR135),0,Schweine_Werte!$O135))</f>
        <v>0</v>
      </c>
      <c r="CA135" s="797">
        <f>IF(OR($C$92=$AR135,$D$92=$AR135),Schweine_Werte!$O135*0.5,IF(OR($C$92&gt;$AR135,$D$92&lt;$AR135),0,Schweine_Werte!$O135))</f>
        <v>0</v>
      </c>
      <c r="CB135" s="797">
        <f>IF(OR($C$101=$AR135,$D$101=$AR135),Schweine_Werte!$O135*0.5,IF(OR($C$101&gt;$AR135,$D$101&lt;$AR135),0,Schweine_Werte!$O135))</f>
        <v>0</v>
      </c>
      <c r="CC135" s="797">
        <f>IF(OR($C$110=$AR135,$D$110=$AR135),Schweine_Werte!$O135*0.5,IF(OR($C$110&gt;$AR135,$D$110&lt;$AR135),0,Schweine_Werte!$O135))</f>
        <v>0</v>
      </c>
    </row>
    <row r="136" spans="2:81" ht="18" x14ac:dyDescent="0.35">
      <c r="B136" t="s">
        <v>7730</v>
      </c>
      <c r="D136" t="s">
        <v>7731</v>
      </c>
      <c r="G136" t="s">
        <v>7732</v>
      </c>
      <c r="H136" s="784"/>
      <c r="I136" s="784"/>
      <c r="J136" s="784"/>
      <c r="K136" s="784"/>
      <c r="L136" s="784"/>
      <c r="M136" s="784"/>
      <c r="N136" s="784"/>
      <c r="O136" t="s">
        <v>7742</v>
      </c>
      <c r="P136" s="730" t="s">
        <v>7743</v>
      </c>
      <c r="Q136" s="730"/>
      <c r="R136" s="730"/>
      <c r="S136" s="730"/>
      <c r="T136" s="784"/>
      <c r="U136" s="784"/>
      <c r="V136" s="784"/>
      <c r="AR136" s="806">
        <v>140</v>
      </c>
      <c r="AS136" s="795">
        <f>IF(OR($C$12=$AR136,$D$12=$AR136),Schweine_Werte!$C136*0.5,IF(OR($C$12&gt;$AR136,$D$12&lt;$AR136),0,Schweine_Werte!$C136))</f>
        <v>0</v>
      </c>
      <c r="AT136" s="730">
        <f>IF(OR($C$24=$AR136,$D$24=$AR136),Schweine_Werte!$C136*0.5,IF(OR($C$24&gt;$AR136,$D$24&lt;$AR136),0,Schweine_Werte!$C136))</f>
        <v>0</v>
      </c>
      <c r="AU136" s="795">
        <f>IF(OR($C$36=$AR136,$D$36=$AR136),Schweine_Werte!$C136*0.5,IF(OR($C$36&gt;$AR136,$D$36&lt;$AR136),0,Schweine_Werte!$C136))</f>
        <v>0</v>
      </c>
      <c r="AV136" s="795">
        <f>IF(OR($C$48=$AR136,$D$48=$AR136),Schweine_Werte!$C136*0.5,IF(OR($C$48&gt;$AR136,$D$48&lt;$AR136),0,Schweine_Werte!$C136))</f>
        <v>0</v>
      </c>
      <c r="AW136" s="795">
        <f>IF(OR($C$60=$AR136,$D$60=$AR136),Schweine_Werte!$C136*0.5,IF(OR($C$60&gt;$AR136,$D$60&lt;$AR136),0,Schweine_Werte!$C136))</f>
        <v>0</v>
      </c>
      <c r="AX136" s="795">
        <f>IF(OR($C$12=$AR136,$D$12=$AR136),Schweine_Werte!$E136*0.5,IF(OR($C$12&gt;$AR136,$D$12&lt;$AR136),0,Schweine_Werte!$E136))</f>
        <v>0</v>
      </c>
      <c r="AY136" s="730">
        <f>IF(OR($C$24=$AR136,$D$24=$AR136),Schweine_Werte!$E136*0.5,IF(OR($C$24&gt;$AR136,$D$24&lt;$AR136),0,Schweine_Werte!$E136))</f>
        <v>0</v>
      </c>
      <c r="AZ136" s="730">
        <f>IF(OR($C$36=$AR136,$D$36=$AR136),Schweine_Werte!$E136*0.5,IF(OR($C$36&gt;$AR136,$D$36&lt;$AR136),0,Schweine_Werte!$E136))</f>
        <v>0</v>
      </c>
      <c r="BA136" s="730">
        <f>IF(OR($C$48=$AR136,$D$48=$AR136),Schweine_Werte!$E136*0.5,IF(OR($C$48&gt;$AR136,$D$48&lt;$AR136),0,Schweine_Werte!$E136))</f>
        <v>0</v>
      </c>
      <c r="BB136" s="730">
        <f>IF(OR($C$60=$AR136,$D$60=$AR136),Schweine_Werte!$E136*0.5,IF(OR($C$60&gt;$AR136,$D$60&lt;$AR136),0,Schweine_Werte!$E136))</f>
        <v>0</v>
      </c>
      <c r="BC136" s="795">
        <f>IF(OR($C$12=$AR136,$D$12=$AR136),Schweine_Werte!$G136*0.5,IF(OR($C$12&gt;$AR136,$D$12&lt;$AR136),0,Schweine_Werte!$G136))</f>
        <v>0</v>
      </c>
      <c r="BD136" s="730">
        <f>IF(OR($C$24=$AR136,$D$24=$AR136),Schweine_Werte!$G136*0.5,IF(OR($C$24&gt;$AR136,$D$24&lt;$AR136),0,Schweine_Werte!$G136))</f>
        <v>0</v>
      </c>
      <c r="BE136" s="730">
        <f>IF(OR($C$36=$AR136,$D$36=$AR136),Schweine_Werte!$G136*0.5,IF(OR($C$36&gt;$AR136,$D$36&lt;$AR136),0,Schweine_Werte!$G136))</f>
        <v>0</v>
      </c>
      <c r="BF136" s="730">
        <f>IF(OR($C$48=$AR136,$D$48=$AR136),Schweine_Werte!$G136*0.5,IF(OR($C$48&gt;$AR136,$D$48&lt;$AR136),0,Schweine_Werte!$G136))</f>
        <v>0</v>
      </c>
      <c r="BG136" s="730">
        <f>IF(OR($C$60=$AR136,$D$60=$AR136),Schweine_Werte!$G136*0.5,IF(OR($C$60&gt;$AR136,$D$60&lt;$AR136),0,Schweine_Werte!$G136))</f>
        <v>0</v>
      </c>
      <c r="BH136" s="795">
        <f>IF(OR($C$12=$AR136,$D$12=$AR136),Schweine_Werte!$I136*0.5,IF(OR($C$12&gt;$AR136,$D$12&lt;$AR136),0,Schweine_Werte!$I136))</f>
        <v>0</v>
      </c>
      <c r="BI136" s="730">
        <f>IF(OR($C$24=$AR136,$D$24=$AR136),Schweine_Werte!$I136*0.5,IF(OR($C$24&gt;$AR136,$D$24&lt;$AR136),0,Schweine_Werte!$I136))</f>
        <v>0</v>
      </c>
      <c r="BJ136" s="730">
        <f>IF(OR($C$36=$AR136,$D$36=$AR136),Schweine_Werte!$I136*0.5,IF(OR($C$36&gt;$AR136,$D$36&lt;$AR136),0,Schweine_Werte!$I136))</f>
        <v>0</v>
      </c>
      <c r="BK136" s="730">
        <f>IF(OR($C$48=$AR136,$D$48=$AR136),Schweine_Werte!$I136*0.5,IF(OR($C$48&gt;$AR136,$D$48&lt;$AR136),0,Schweine_Werte!$I136))</f>
        <v>0</v>
      </c>
      <c r="BL136" s="730">
        <f>IF(OR($C$60=$AR136,$D$60=$AR136),Schweine_Werte!$I136*0.5,IF(OR($C$60&gt;$AR136,$D$60&lt;$AR136),0,Schweine_Werte!$I136))</f>
        <v>0</v>
      </c>
      <c r="BM136" s="795"/>
      <c r="BN136" s="730"/>
      <c r="BO136" s="730"/>
      <c r="BP136" s="730"/>
      <c r="BQ136" s="730"/>
      <c r="BR136" s="795">
        <f>IF(OR($C$74=$AR136,$D$74=$AR136),Schweine_Werte!$M136*0.5,IF(OR($C$74&gt;$AR136,$D$74&lt;$AR136),0,Schweine_Werte!$M136))</f>
        <v>0</v>
      </c>
      <c r="BS136" s="795">
        <f>IF(OR($C$83=$AR136,$D$83=$AR136),Schweine_Werte!$M136*0.5,IF(OR($C$83&gt;$AR136,$D$83&lt;$AR136),0,Schweine_Werte!$M136))</f>
        <v>0</v>
      </c>
      <c r="BT136" s="797">
        <f>IF(OR($C$92=$AR136,$D$92=$AR136),Schweine_Werte!$M136*0.5,IF(OR($C$92&gt;$AR136,$D$92&lt;$AR136),0,Schweine_Werte!$M136))</f>
        <v>0</v>
      </c>
      <c r="BU136" s="797">
        <f>IF(OR($C$101=$AR136,$D$101=$AR136),Schweine_Werte!$M136*0.5,IF(OR($C$101&gt;$AR136,$D$101&lt;$AR136),0,Schweine_Werte!$M136))</f>
        <v>0</v>
      </c>
      <c r="BV136" s="797">
        <f>IF(OR($C$110=$AR136,$D$110=$AR136),Schweine_Werte!$M136*0.5,IF(OR($C$110&gt;$AR136,$D$110&lt;$AR136),0,Schweine_Werte!$M136))</f>
        <v>0</v>
      </c>
      <c r="BW136" s="797">
        <f>IF(OR(8=$AR136,$E$127=$AR136),Schweine_Werte!$M136*0.5,IF(OR(8&gt;$AR136,$E$127&lt;$AR136),0,Schweine_Werte!$M136))</f>
        <v>1.4477278921508818</v>
      </c>
      <c r="BX136" s="797">
        <f>IF(OR(8=$AR136,$E$145=$AR136),Schweine_Werte!$M136*0.5,IF(OR(8&gt;$AR136,$E$145&lt;$AR136),0,Schweine_Werte!$M136))</f>
        <v>1.4477278921508818</v>
      </c>
      <c r="BY136" s="795">
        <f>IF(OR($C$74=$AR136,$D$74=$AR136),Schweine_Werte!$O136*0.5,IF(OR($C$74&gt;$AR136,$D$74&lt;$AR136),0,Schweine_Werte!$O136))</f>
        <v>0</v>
      </c>
      <c r="BZ136" s="795">
        <f>IF(OR($C$83=$AR136,$D$83=$AR136),Schweine_Werte!$O136*0.5,IF(OR($C$83&gt;$AR136,$D$83&lt;$AR136),0,Schweine_Werte!$O136))</f>
        <v>0</v>
      </c>
      <c r="CA136" s="797">
        <f>IF(OR($C$92=$AR136,$D$92=$AR136),Schweine_Werte!$O136*0.5,IF(OR($C$92&gt;$AR136,$D$92&lt;$AR136),0,Schweine_Werte!$O136))</f>
        <v>0</v>
      </c>
      <c r="CB136" s="797">
        <f>IF(OR($C$101=$AR136,$D$101=$AR136),Schweine_Werte!$O136*0.5,IF(OR($C$101&gt;$AR136,$D$101&lt;$AR136),0,Schweine_Werte!$O136))</f>
        <v>0</v>
      </c>
      <c r="CC136" s="797">
        <f>IF(OR($C$110=$AR136,$D$110=$AR136),Schweine_Werte!$O136*0.5,IF(OR($C$110&gt;$AR136,$D$110&lt;$AR136),0,Schweine_Werte!$O136))</f>
        <v>0</v>
      </c>
    </row>
    <row r="137" spans="2:81" x14ac:dyDescent="0.25">
      <c r="B137" t="e">
        <f>+(E145-8)/0.45</f>
        <v>#VALUE!</v>
      </c>
      <c r="C137" t="s">
        <v>7655</v>
      </c>
      <c r="F137" s="730" t="e">
        <f>IF($E145&lt;=8,0,$B140*SUMPRODUCT($BX$4:$BX$31,Schweine_Werte!$V$4:$V$31)/SUM($BX$4:$BX$31))</f>
        <v>#VALUE!</v>
      </c>
      <c r="G137" s="730" t="e">
        <f>IF($E145&lt;=8,0,IF($B145=$A$8,SUMPRODUCT($BX$4:$BX$31,Schweine_Werte!HE$4:HE$31)/SUM($BX$4:$BX$31),IF($B145=$A$7,SUMPRODUCT($BX$4:$BX$31,Schweine_Werte!GQ$4:GQ$31)/SUM($BX$4:$BX$31),IF($B145=$A$6,SUMPRODUCT($BX$4:$BX$31,Schweine_Werte!GC$4:GC$31)/SUM($BX$4:$BX$31),SUMPRODUCT($BX$4:$BX$31,Schweine_Werte!FO$4:FO$31)/SUM($BX$4:$BX$31))))*$B140)</f>
        <v>#VALUE!</v>
      </c>
      <c r="H137" s="730" t="e">
        <f>IF($E145&lt;=8,0,IF($B145=$A$8,SUMPRODUCT($BX$4:$BX$31,Schweine_Werte!HF$4:HF$31)/SUM($BX$4:$BX$31),IF($B145=$A$7,SUMPRODUCT($BX$4:$BX$31,Schweine_Werte!GR$4:GR$31)/SUM($BX$4:$BX$31),IF($B145=$A$6,SUMPRODUCT($BX$4:$BX$31,Schweine_Werte!GD$4:GD$31)/SUM($BX$4:$BX$31),SUMPRODUCT($BX$4:$BX$31,Schweine_Werte!FP$4:FP$31)/SUM($BX$4:$BX$31))))*$B140)</f>
        <v>#VALUE!</v>
      </c>
      <c r="I137" s="730" t="e">
        <f>IF($E145&lt;=8,0,IF($B145=$A$8,SUMPRODUCT($BX$4:$BX$31,Schweine_Werte!HG$4:HG$31)/SUM($BX$4:$BX$31),IF($B145=$A$7,SUMPRODUCT($BX$4:$BX$31,Schweine_Werte!GS$4:GS$31)/SUM($BX$4:$BX$31),IF($B145=$A$6,SUMPRODUCT($BX$4:$BX$31,Schweine_Werte!GE$4:GE$31)/SUM($BX$4:$BX$31),SUMPRODUCT($BX$4:$BX$31,Schweine_Werte!FQ$4:FQ$31)/SUM($BX$4:$BX$31))))*$B140)</f>
        <v>#VALUE!</v>
      </c>
      <c r="J137" t="e">
        <f>SUMPRODUCT($BX$4:$BX$31,Schweine_Werte!$AD$4:$AD$31)/SUM($BX$4:$BX$31)*$B140</f>
        <v>#VALUE!</v>
      </c>
      <c r="K137" t="e">
        <f>SUMPRODUCT($BX$4:$BX$31,Schweine_Werte!$AL$4:$AL$31)/SUM($BX$4:$BX$31)*$B140</f>
        <v>#VALUE!</v>
      </c>
      <c r="M137" s="730"/>
      <c r="N137" s="730"/>
      <c r="O137" s="814">
        <f>SUM($BX$4:$BX$23)+IF($E145&gt;28,$BX$24*0.5,$BX$24)</f>
        <v>44.44444444444445</v>
      </c>
      <c r="P137" s="814">
        <f>IF($E145&gt;28,SUM($BX$25:$BX$31)+$BX$24*0.5,0)</f>
        <v>11.390271160403584</v>
      </c>
      <c r="Q137" s="814" t="e">
        <f t="shared" ref="Q137:S138" si="57">T137*$F137</f>
        <v>#VALUE!</v>
      </c>
      <c r="R137" s="814" t="e">
        <f t="shared" si="57"/>
        <v>#VALUE!</v>
      </c>
      <c r="S137" s="814" t="e">
        <f t="shared" si="57"/>
        <v>#VALUE!</v>
      </c>
      <c r="T137" s="730">
        <f>+IF($E145&lt;=8,0,($O137*Schweine_Werte!$HT$15+$P137*Schweine_Werte!$HU$15)/SUM($O137:$P137))</f>
        <v>7.0161806212562894</v>
      </c>
      <c r="U137" s="730">
        <f>IF(E145&lt;=8,0,($O137*Schweine_Werte!$HV$15+$P137*Schweine_Werte!$HW$15)/SUM($O137:$P137))</f>
        <v>7.5920003876794322</v>
      </c>
      <c r="V137" s="730">
        <f>IF(E145&lt;=8,0,($O137*Schweine_Werte!$HX$15+$P137*Schweine_Werte!$HY$15)/SUM($O137:$P137))</f>
        <v>11</v>
      </c>
      <c r="AR137" s="806">
        <v>141</v>
      </c>
      <c r="AS137" s="795">
        <f>IF(OR($C$12=$AR137,$D$12=$AR137),Schweine_Werte!$C137*0.5,IF(OR($C$12&gt;$AR137,$D$12&lt;$AR137),0,Schweine_Werte!$C137))</f>
        <v>0</v>
      </c>
      <c r="AT137" s="730">
        <f>IF(OR($C$24=$AR137,$D$24=$AR137),Schweine_Werte!$C137*0.5,IF(OR($C$24&gt;$AR137,$D$24&lt;$AR137),0,Schweine_Werte!$C137))</f>
        <v>0</v>
      </c>
      <c r="AU137" s="795">
        <f>IF(OR($C$36=$AR137,$D$36=$AR137),Schweine_Werte!$C137*0.5,IF(OR($C$36&gt;$AR137,$D$36&lt;$AR137),0,Schweine_Werte!$C137))</f>
        <v>0</v>
      </c>
      <c r="AV137" s="795">
        <f>IF(OR($C$48=$AR137,$D$48=$AR137),Schweine_Werte!$C137*0.5,IF(OR($C$48&gt;$AR137,$D$48&lt;$AR137),0,Schweine_Werte!$C137))</f>
        <v>0</v>
      </c>
      <c r="AW137" s="795">
        <f>IF(OR($C$60=$AR137,$D$60=$AR137),Schweine_Werte!$C137*0.5,IF(OR($C$60&gt;$AR137,$D$60&lt;$AR137),0,Schweine_Werte!$C137))</f>
        <v>0</v>
      </c>
      <c r="AX137" s="795">
        <f>IF(OR($C$12=$AR137,$D$12=$AR137),Schweine_Werte!$E137*0.5,IF(OR($C$12&gt;$AR137,$D$12&lt;$AR137),0,Schweine_Werte!$E137))</f>
        <v>0</v>
      </c>
      <c r="AY137" s="730">
        <f>IF(OR($C$24=$AR137,$D$24=$AR137),Schweine_Werte!$E137*0.5,IF(OR($C$24&gt;$AR137,$D$24&lt;$AR137),0,Schweine_Werte!$E137))</f>
        <v>0</v>
      </c>
      <c r="AZ137" s="730">
        <f>IF(OR($C$36=$AR137,$D$36=$AR137),Schweine_Werte!$E137*0.5,IF(OR($C$36&gt;$AR137,$D$36&lt;$AR137),0,Schweine_Werte!$E137))</f>
        <v>0</v>
      </c>
      <c r="BA137" s="730">
        <f>IF(OR($C$48=$AR137,$D$48=$AR137),Schweine_Werte!$E137*0.5,IF(OR($C$48&gt;$AR137,$D$48&lt;$AR137),0,Schweine_Werte!$E137))</f>
        <v>0</v>
      </c>
      <c r="BB137" s="730">
        <f>IF(OR($C$60=$AR137,$D$60=$AR137),Schweine_Werte!$E137*0.5,IF(OR($C$60&gt;$AR137,$D$60&lt;$AR137),0,Schweine_Werte!$E137))</f>
        <v>0</v>
      </c>
      <c r="BC137" s="795">
        <f>IF(OR($C$12=$AR137,$D$12=$AR137),Schweine_Werte!$G137*0.5,IF(OR($C$12&gt;$AR137,$D$12&lt;$AR137),0,Schweine_Werte!$G137))</f>
        <v>0</v>
      </c>
      <c r="BD137" s="730">
        <f>IF(OR($C$24=$AR137,$D$24=$AR137),Schweine_Werte!$G137*0.5,IF(OR($C$24&gt;$AR137,$D$24&lt;$AR137),0,Schweine_Werte!$G137))</f>
        <v>0</v>
      </c>
      <c r="BE137" s="730">
        <f>IF(OR($C$36=$AR137,$D$36=$AR137),Schweine_Werte!$G137*0.5,IF(OR($C$36&gt;$AR137,$D$36&lt;$AR137),0,Schweine_Werte!$G137))</f>
        <v>0</v>
      </c>
      <c r="BF137" s="730">
        <f>IF(OR($C$48=$AR137,$D$48=$AR137),Schweine_Werte!$G137*0.5,IF(OR($C$48&gt;$AR137,$D$48&lt;$AR137),0,Schweine_Werte!$G137))</f>
        <v>0</v>
      </c>
      <c r="BG137" s="730">
        <f>IF(OR($C$60=$AR137,$D$60=$AR137),Schweine_Werte!$G137*0.5,IF(OR($C$60&gt;$AR137,$D$60&lt;$AR137),0,Schweine_Werte!$G137))</f>
        <v>0</v>
      </c>
      <c r="BH137" s="795">
        <f>IF(OR($C$12=$AR137,$D$12=$AR137),Schweine_Werte!$I137*0.5,IF(OR($C$12&gt;$AR137,$D$12&lt;$AR137),0,Schweine_Werte!$I137))</f>
        <v>0</v>
      </c>
      <c r="BI137" s="730">
        <f>IF(OR($C$24=$AR137,$D$24=$AR137),Schweine_Werte!$I137*0.5,IF(OR($C$24&gt;$AR137,$D$24&lt;$AR137),0,Schweine_Werte!$I137))</f>
        <v>0</v>
      </c>
      <c r="BJ137" s="730">
        <f>IF(OR($C$36=$AR137,$D$36=$AR137),Schweine_Werte!$I137*0.5,IF(OR($C$36&gt;$AR137,$D$36&lt;$AR137),0,Schweine_Werte!$I137))</f>
        <v>0</v>
      </c>
      <c r="BK137" s="730">
        <f>IF(OR($C$48=$AR137,$D$48=$AR137),Schweine_Werte!$I137*0.5,IF(OR($C$48&gt;$AR137,$D$48&lt;$AR137),0,Schweine_Werte!$I137))</f>
        <v>0</v>
      </c>
      <c r="BL137" s="730">
        <f>IF(OR($C$60=$AR137,$D$60=$AR137),Schweine_Werte!$I137*0.5,IF(OR($C$60&gt;$AR137,$D$60&lt;$AR137),0,Schweine_Werte!$I137))</f>
        <v>0</v>
      </c>
      <c r="BM137" s="795"/>
      <c r="BN137" s="730"/>
      <c r="BO137" s="730"/>
      <c r="BP137" s="730"/>
      <c r="BQ137" s="730"/>
      <c r="BR137" s="795">
        <f>IF(OR($C$74=$AR137,$D$74=$AR137),Schweine_Werte!$M137*0.5,IF(OR($C$74&gt;$AR137,$D$74&lt;$AR137),0,Schweine_Werte!$M137))</f>
        <v>0</v>
      </c>
      <c r="BS137" s="795">
        <f>IF(OR($C$83=$AR137,$D$83=$AR137),Schweine_Werte!$M137*0.5,IF(OR($C$83&gt;$AR137,$D$83&lt;$AR137),0,Schweine_Werte!$M137))</f>
        <v>0</v>
      </c>
      <c r="BT137" s="797">
        <f>IF(OR($C$92=$AR137,$D$92=$AR137),Schweine_Werte!$M137*0.5,IF(OR($C$92&gt;$AR137,$D$92&lt;$AR137),0,Schweine_Werte!$M137))</f>
        <v>0</v>
      </c>
      <c r="BU137" s="797">
        <f>IF(OR($C$101=$AR137,$D$101=$AR137),Schweine_Werte!$M137*0.5,IF(OR($C$101&gt;$AR137,$D$101&lt;$AR137),0,Schweine_Werte!$M137))</f>
        <v>0</v>
      </c>
      <c r="BV137" s="797">
        <f>IF(OR($C$110=$AR137,$D$110=$AR137),Schweine_Werte!$M137*0.5,IF(OR($C$110&gt;$AR137,$D$110&lt;$AR137),0,Schweine_Werte!$M137))</f>
        <v>0</v>
      </c>
      <c r="BW137" s="797">
        <f>IF(OR(8=$AR137,$E$127=$AR137),Schweine_Werte!$M137*0.5,IF(OR(8&gt;$AR137,$E$127&lt;$AR137),0,Schweine_Werte!$M137))</f>
        <v>1.4477278921508818</v>
      </c>
      <c r="BX137" s="797">
        <f>IF(OR(8=$AR137,$E$145=$AR137),Schweine_Werte!$M137*0.5,IF(OR(8&gt;$AR137,$E$145&lt;$AR137),0,Schweine_Werte!$M137))</f>
        <v>1.4477278921508818</v>
      </c>
      <c r="BY137" s="795">
        <f>IF(OR($C$74=$AR137,$D$74=$AR137),Schweine_Werte!$O137*0.5,IF(OR($C$74&gt;$AR137,$D$74&lt;$AR137),0,Schweine_Werte!$O137))</f>
        <v>0</v>
      </c>
      <c r="BZ137" s="795">
        <f>IF(OR($C$83=$AR137,$D$83=$AR137),Schweine_Werte!$O137*0.5,IF(OR($C$83&gt;$AR137,$D$83&lt;$AR137),0,Schweine_Werte!$O137))</f>
        <v>0</v>
      </c>
      <c r="CA137" s="797">
        <f>IF(OR($C$92=$AR137,$D$92=$AR137),Schweine_Werte!$O137*0.5,IF(OR($C$92&gt;$AR137,$D$92&lt;$AR137),0,Schweine_Werte!$O137))</f>
        <v>0</v>
      </c>
      <c r="CB137" s="797">
        <f>IF(OR($C$101=$AR137,$D$101=$AR137),Schweine_Werte!$O137*0.5,IF(OR($C$101&gt;$AR137,$D$101&lt;$AR137),0,Schweine_Werte!$O137))</f>
        <v>0</v>
      </c>
      <c r="CC137" s="797">
        <f>IF(OR($C$110=$AR137,$D$110=$AR137),Schweine_Werte!$O137*0.5,IF(OR($C$110&gt;$AR137,$D$110&lt;$AR137),0,Schweine_Werte!$O137))</f>
        <v>0</v>
      </c>
    </row>
    <row r="138" spans="2:81" x14ac:dyDescent="0.25">
      <c r="C138" s="363" t="s">
        <v>7740</v>
      </c>
      <c r="D138">
        <f>IF(D145&lt;22,22,IF(D145&gt;34,34,D145))</f>
        <v>34</v>
      </c>
      <c r="F138" s="730">
        <v>0.32</v>
      </c>
      <c r="G138" s="730" t="str">
        <f>IF($B$145=$A$5,VLOOKUP($D$138,Schweine_Werte!$IA$4:$IE$16,COLUMNS(Schweine_Werte!$IA$3:$IB$3),FALSE),IF($B$145=$A$6,VLOOKUP($D$138,Schweine_Werte!$IA$4:$IE$16,COLUMNS(Schweine_Werte!$IA$3:$IC$3),FALSE),IF($B$145=$A$7,VLOOKUP($D$138,Schweine_Werte!$IA$4:$IE$16,COLUMNS(Schweine_Werte!$IA$3:$ID$3),FALSE),IF($B$145=$A$8,VLOOKUP($D$138,Schweine_Werte!$IA$4:$IE$16,COLUMNS(Schweine_Werte!$IA$3:$IE$3),FALSE),"--"))))</f>
        <v>--</v>
      </c>
      <c r="H138" s="730" t="str">
        <f>IF($B$145=$A$5,VLOOKUP($D$138,Schweine_Werte!$IA$4:$II$16,COLUMNS(Schweine_Werte!$IA$3:$IF$3),FALSE),IF($B$145=$A$6,VLOOKUP($D$138,Schweine_Werte!$IA$4:$II$16,COLUMNS(Schweine_Werte!$IA$3:$IG$3),FALSE),IF($B$145=$A$7,VLOOKUP($D$138,Schweine_Werte!$IA$4:$II$16,COLUMNS(Schweine_Werte!$IA$3:$IH$3),FALSE),IF($B$145=$A$8,VLOOKUP($D$138,Schweine_Werte!$IA$4:$II$16,COLUMNS(Schweine_Werte!$IA$3:$II$3),FALSE),"--"))))</f>
        <v>--</v>
      </c>
      <c r="I138" s="730" t="str">
        <f>IF($B$145=$A$5,VLOOKUP($D$138,Schweine_Werte!$IA$4:$IM$16,COLUMNS(Schweine_Werte!$IA$3:$IJ$3),FALSE),IF($B$145=$A$6,VLOOKUP($D$138,Schweine_Werte!$IA$4:$IM$16,COLUMNS(Schweine_Werte!$IA$3:$IK$3),FALSE),IF($B$145=$A$7,VLOOKUP($D$138,Schweine_Werte!$IA$4:$IM$16,COLUMNS(Schweine_Werte!$IA$3:$IL$3),FALSE),IF($B$145=$A$8,VLOOKUP($D$138,Schweine_Werte!$IA$4:$IM$16,COLUMNS(Schweine_Werte!$IA$3:$IM$3),FALSE),"--"))))</f>
        <v>--</v>
      </c>
      <c r="J138" s="730">
        <f>VLOOKUP($D$138,Schweine_Werte!$IA$4:$IR$16,COLUMNS(Schweine_Werte!$IA$3:IN21),FALSE)</f>
        <v>4.8</v>
      </c>
      <c r="K138" s="730">
        <f>VLOOKUP($D$138,Schweine_Werte!$IA$4:$IR$16,COLUMNS(Schweine_Werte!$IA$3:IO21),FALSE)</f>
        <v>1.6</v>
      </c>
      <c r="M138" s="730"/>
      <c r="N138" s="730"/>
      <c r="O138" s="730"/>
      <c r="P138" s="730"/>
      <c r="Q138" s="814">
        <f t="shared" si="57"/>
        <v>2</v>
      </c>
      <c r="R138" s="814">
        <f t="shared" si="57"/>
        <v>2.56</v>
      </c>
      <c r="S138" s="814">
        <f t="shared" si="57"/>
        <v>3.52</v>
      </c>
      <c r="T138" s="730">
        <f>VLOOKUP($D$138,Schweine_Werte!$IA$4:$IR$16,COLUMNS(Schweine_Werte!$IA$3:IP$3),FALSE)</f>
        <v>6.25</v>
      </c>
      <c r="U138" s="730">
        <f>VLOOKUP($D$138,Schweine_Werte!$IA$4:$IR$16,COLUMNS(Schweine_Werte!$IA$3:IQ$3),FALSE)</f>
        <v>8</v>
      </c>
      <c r="V138" s="730">
        <f>VLOOKUP($D$138,Schweine_Werte!$IA$4:$IR$16,COLUMNS(Schweine_Werte!$IA$3:IR$3),FALSE)</f>
        <v>11</v>
      </c>
      <c r="AR138" s="806">
        <v>142</v>
      </c>
      <c r="AS138" s="795">
        <f>IF(OR($C$12=$AR138,$D$12=$AR138),Schweine_Werte!$C138*0.5,IF(OR($C$12&gt;$AR138,$D$12&lt;$AR138),0,Schweine_Werte!$C138))</f>
        <v>0</v>
      </c>
      <c r="AT138" s="730">
        <f>IF(OR($C$24=$AR138,$D$24=$AR138),Schweine_Werte!$C138*0.5,IF(OR($C$24&gt;$AR138,$D$24&lt;$AR138),0,Schweine_Werte!$C138))</f>
        <v>0</v>
      </c>
      <c r="AU138" s="795">
        <f>IF(OR($C$36=$AR138,$D$36=$AR138),Schweine_Werte!$C138*0.5,IF(OR($C$36&gt;$AR138,$D$36&lt;$AR138),0,Schweine_Werte!$C138))</f>
        <v>0</v>
      </c>
      <c r="AV138" s="795">
        <f>IF(OR($C$48=$AR138,$D$48=$AR138),Schweine_Werte!$C138*0.5,IF(OR($C$48&gt;$AR138,$D$48&lt;$AR138),0,Schweine_Werte!$C138))</f>
        <v>0</v>
      </c>
      <c r="AW138" s="795">
        <f>IF(OR($C$60=$AR138,$D$60=$AR138),Schweine_Werte!$C138*0.5,IF(OR($C$60&gt;$AR138,$D$60&lt;$AR138),0,Schweine_Werte!$C138))</f>
        <v>0</v>
      </c>
      <c r="AX138" s="795">
        <f>IF(OR($C$12=$AR138,$D$12=$AR138),Schweine_Werte!$E138*0.5,IF(OR($C$12&gt;$AR138,$D$12&lt;$AR138),0,Schweine_Werte!$E138))</f>
        <v>0</v>
      </c>
      <c r="AY138" s="730">
        <f>IF(OR($C$24=$AR138,$D$24=$AR138),Schweine_Werte!$E138*0.5,IF(OR($C$24&gt;$AR138,$D$24&lt;$AR138),0,Schweine_Werte!$E138))</f>
        <v>0</v>
      </c>
      <c r="AZ138" s="730">
        <f>IF(OR($C$36=$AR138,$D$36=$AR138),Schweine_Werte!$E138*0.5,IF(OR($C$36&gt;$AR138,$D$36&lt;$AR138),0,Schweine_Werte!$E138))</f>
        <v>0</v>
      </c>
      <c r="BA138" s="730">
        <f>IF(OR($C$48=$AR138,$D$48=$AR138),Schweine_Werte!$E138*0.5,IF(OR($C$48&gt;$AR138,$D$48&lt;$AR138),0,Schweine_Werte!$E138))</f>
        <v>0</v>
      </c>
      <c r="BB138" s="730">
        <f>IF(OR($C$60=$AR138,$D$60=$AR138),Schweine_Werte!$E138*0.5,IF(OR($C$60&gt;$AR138,$D$60&lt;$AR138),0,Schweine_Werte!$E138))</f>
        <v>0</v>
      </c>
      <c r="BC138" s="795">
        <f>IF(OR($C$12=$AR138,$D$12=$AR138),Schweine_Werte!$G138*0.5,IF(OR($C$12&gt;$AR138,$D$12&lt;$AR138),0,Schweine_Werte!$G138))</f>
        <v>0</v>
      </c>
      <c r="BD138" s="730">
        <f>IF(OR($C$24=$AR138,$D$24=$AR138),Schweine_Werte!$G138*0.5,IF(OR($C$24&gt;$AR138,$D$24&lt;$AR138),0,Schweine_Werte!$G138))</f>
        <v>0</v>
      </c>
      <c r="BE138" s="730">
        <f>IF(OR($C$36=$AR138,$D$36=$AR138),Schweine_Werte!$G138*0.5,IF(OR($C$36&gt;$AR138,$D$36&lt;$AR138),0,Schweine_Werte!$G138))</f>
        <v>0</v>
      </c>
      <c r="BF138" s="730">
        <f>IF(OR($C$48=$AR138,$D$48=$AR138),Schweine_Werte!$G138*0.5,IF(OR($C$48&gt;$AR138,$D$48&lt;$AR138),0,Schweine_Werte!$G138))</f>
        <v>0</v>
      </c>
      <c r="BG138" s="730">
        <f>IF(OR($C$60=$AR138,$D$60=$AR138),Schweine_Werte!$G138*0.5,IF(OR($C$60&gt;$AR138,$D$60&lt;$AR138),0,Schweine_Werte!$G138))</f>
        <v>0</v>
      </c>
      <c r="BH138" s="795">
        <f>IF(OR($C$12=$AR138,$D$12=$AR138),Schweine_Werte!$I138*0.5,IF(OR($C$12&gt;$AR138,$D$12&lt;$AR138),0,Schweine_Werte!$I138))</f>
        <v>0</v>
      </c>
      <c r="BI138" s="730">
        <f>IF(OR($C$24=$AR138,$D$24=$AR138),Schweine_Werte!$I138*0.5,IF(OR($C$24&gt;$AR138,$D$24&lt;$AR138),0,Schweine_Werte!$I138))</f>
        <v>0</v>
      </c>
      <c r="BJ138" s="730">
        <f>IF(OR($C$36=$AR138,$D$36=$AR138),Schweine_Werte!$I138*0.5,IF(OR($C$36&gt;$AR138,$D$36&lt;$AR138),0,Schweine_Werte!$I138))</f>
        <v>0</v>
      </c>
      <c r="BK138" s="730">
        <f>IF(OR($C$48=$AR138,$D$48=$AR138),Schweine_Werte!$I138*0.5,IF(OR($C$48&gt;$AR138,$D$48&lt;$AR138),0,Schweine_Werte!$I138))</f>
        <v>0</v>
      </c>
      <c r="BL138" s="730">
        <f>IF(OR($C$60=$AR138,$D$60=$AR138),Schweine_Werte!$I138*0.5,IF(OR($C$60&gt;$AR138,$D$60&lt;$AR138),0,Schweine_Werte!$I138))</f>
        <v>0</v>
      </c>
      <c r="BM138" s="795"/>
      <c r="BN138" s="730"/>
      <c r="BO138" s="730"/>
      <c r="BP138" s="730"/>
      <c r="BQ138" s="730"/>
      <c r="BR138" s="795">
        <f>IF(OR($C$74=$AR138,$D$74=$AR138),Schweine_Werte!$M138*0.5,IF(OR($C$74&gt;$AR138,$D$74&lt;$AR138),0,Schweine_Werte!$M138))</f>
        <v>0</v>
      </c>
      <c r="BS138" s="795">
        <f>IF(OR($C$83=$AR138,$D$83=$AR138),Schweine_Werte!$M138*0.5,IF(OR($C$83&gt;$AR138,$D$83&lt;$AR138),0,Schweine_Werte!$M138))</f>
        <v>0</v>
      </c>
      <c r="BT138" s="797">
        <f>IF(OR($C$92=$AR138,$D$92=$AR138),Schweine_Werte!$M138*0.5,IF(OR($C$92&gt;$AR138,$D$92&lt;$AR138),0,Schweine_Werte!$M138))</f>
        <v>0</v>
      </c>
      <c r="BU138" s="797">
        <f>IF(OR($C$101=$AR138,$D$101=$AR138),Schweine_Werte!$M138*0.5,IF(OR($C$101&gt;$AR138,$D$101&lt;$AR138),0,Schweine_Werte!$M138))</f>
        <v>0</v>
      </c>
      <c r="BV138" s="797">
        <f>IF(OR($C$110=$AR138,$D$110=$AR138),Schweine_Werte!$M138*0.5,IF(OR($C$110&gt;$AR138,$D$110&lt;$AR138),0,Schweine_Werte!$M138))</f>
        <v>0</v>
      </c>
      <c r="BW138" s="797">
        <f>IF(OR(8=$AR138,$E$127=$AR138),Schweine_Werte!$M138*0.5,IF(OR(8&gt;$AR138,$E$127&lt;$AR138),0,Schweine_Werte!$M138))</f>
        <v>1.4477278921508818</v>
      </c>
      <c r="BX138" s="797">
        <f>IF(OR(8=$AR138,$E$145=$AR138),Schweine_Werte!$M138*0.5,IF(OR(8&gt;$AR138,$E$145&lt;$AR138),0,Schweine_Werte!$M138))</f>
        <v>1.4477278921508818</v>
      </c>
      <c r="BY138" s="795">
        <f>IF(OR($C$74=$AR138,$D$74=$AR138),Schweine_Werte!$O138*0.5,IF(OR($C$74&gt;$AR138,$D$74&lt;$AR138),0,Schweine_Werte!$O138))</f>
        <v>0</v>
      </c>
      <c r="BZ138" s="795">
        <f>IF(OR($C$83=$AR138,$D$83=$AR138),Schweine_Werte!$O138*0.5,IF(OR($C$83&gt;$AR138,$D$83&lt;$AR138),0,Schweine_Werte!$O138))</f>
        <v>0</v>
      </c>
      <c r="CA138" s="797">
        <f>IF(OR($C$92=$AR138,$D$92=$AR138),Schweine_Werte!$O138*0.5,IF(OR($C$92&gt;$AR138,$D$92&lt;$AR138),0,Schweine_Werte!$O138))</f>
        <v>0</v>
      </c>
      <c r="CB138" s="797">
        <f>IF(OR($C$101=$AR138,$D$101=$AR138),Schweine_Werte!$O138*0.5,IF(OR($C$101&gt;$AR138,$D$101&lt;$AR138),0,Schweine_Werte!$O138))</f>
        <v>0</v>
      </c>
      <c r="CC138" s="797">
        <f>IF(OR($C$110=$AR138,$D$110=$AR138),Schweine_Werte!$O138*0.5,IF(OR($C$110&gt;$AR138,$D$110&lt;$AR138),0,Schweine_Werte!$O138))</f>
        <v>0</v>
      </c>
    </row>
    <row r="139" spans="2:81" x14ac:dyDescent="0.25">
      <c r="B139" t="s">
        <v>7741</v>
      </c>
      <c r="C139" s="705"/>
      <c r="AR139" s="806">
        <v>143</v>
      </c>
      <c r="AS139" s="795">
        <f>IF(OR($C$12=$AR139,$D$12=$AR139),Schweine_Werte!$C139*0.5,IF(OR($C$12&gt;$AR139,$D$12&lt;$AR139),0,Schweine_Werte!$C139))</f>
        <v>0</v>
      </c>
      <c r="AT139" s="730">
        <f>IF(OR($C$24=$AR139,$D$24=$AR139),Schweine_Werte!$C139*0.5,IF(OR($C$24&gt;$AR139,$D$24&lt;$AR139),0,Schweine_Werte!$C139))</f>
        <v>0</v>
      </c>
      <c r="AU139" s="795">
        <f>IF(OR($C$36=$AR139,$D$36=$AR139),Schweine_Werte!$C139*0.5,IF(OR($C$36&gt;$AR139,$D$36&lt;$AR139),0,Schweine_Werte!$C139))</f>
        <v>0</v>
      </c>
      <c r="AV139" s="795">
        <f>IF(OR($C$48=$AR139,$D$48=$AR139),Schweine_Werte!$C139*0.5,IF(OR($C$48&gt;$AR139,$D$48&lt;$AR139),0,Schweine_Werte!$C139))</f>
        <v>0</v>
      </c>
      <c r="AW139" s="795">
        <f>IF(OR($C$60=$AR139,$D$60=$AR139),Schweine_Werte!$C139*0.5,IF(OR($C$60&gt;$AR139,$D$60&lt;$AR139),0,Schweine_Werte!$C139))</f>
        <v>0</v>
      </c>
      <c r="AX139" s="795">
        <f>IF(OR($C$12=$AR139,$D$12=$AR139),Schweine_Werte!$E139*0.5,IF(OR($C$12&gt;$AR139,$D$12&lt;$AR139),0,Schweine_Werte!$E139))</f>
        <v>0</v>
      </c>
      <c r="AY139" s="730">
        <f>IF(OR($C$24=$AR139,$D$24=$AR139),Schweine_Werte!$E139*0.5,IF(OR($C$24&gt;$AR139,$D$24&lt;$AR139),0,Schweine_Werte!$E139))</f>
        <v>0</v>
      </c>
      <c r="AZ139" s="730">
        <f>IF(OR($C$36=$AR139,$D$36=$AR139),Schweine_Werte!$E139*0.5,IF(OR($C$36&gt;$AR139,$D$36&lt;$AR139),0,Schweine_Werte!$E139))</f>
        <v>0</v>
      </c>
      <c r="BA139" s="730">
        <f>IF(OR($C$48=$AR139,$D$48=$AR139),Schweine_Werte!$E139*0.5,IF(OR($C$48&gt;$AR139,$D$48&lt;$AR139),0,Schweine_Werte!$E139))</f>
        <v>0</v>
      </c>
      <c r="BB139" s="730">
        <f>IF(OR($C$60=$AR139,$D$60=$AR139),Schweine_Werte!$E139*0.5,IF(OR($C$60&gt;$AR139,$D$60&lt;$AR139),0,Schweine_Werte!$E139))</f>
        <v>0</v>
      </c>
      <c r="BC139" s="795">
        <f>IF(OR($C$12=$AR139,$D$12=$AR139),Schweine_Werte!$G139*0.5,IF(OR($C$12&gt;$AR139,$D$12&lt;$AR139),0,Schweine_Werte!$G139))</f>
        <v>0</v>
      </c>
      <c r="BD139" s="730">
        <f>IF(OR($C$24=$AR139,$D$24=$AR139),Schweine_Werte!$G139*0.5,IF(OR($C$24&gt;$AR139,$D$24&lt;$AR139),0,Schweine_Werte!$G139))</f>
        <v>0</v>
      </c>
      <c r="BE139" s="730">
        <f>IF(OR($C$36=$AR139,$D$36=$AR139),Schweine_Werte!$G139*0.5,IF(OR($C$36&gt;$AR139,$D$36&lt;$AR139),0,Schweine_Werte!$G139))</f>
        <v>0</v>
      </c>
      <c r="BF139" s="730">
        <f>IF(OR($C$48=$AR139,$D$48=$AR139),Schweine_Werte!$G139*0.5,IF(OR($C$48&gt;$AR139,$D$48&lt;$AR139),0,Schweine_Werte!$G139))</f>
        <v>0</v>
      </c>
      <c r="BG139" s="730">
        <f>IF(OR($C$60=$AR139,$D$60=$AR139),Schweine_Werte!$G139*0.5,IF(OR($C$60&gt;$AR139,$D$60&lt;$AR139),0,Schweine_Werte!$G139))</f>
        <v>0</v>
      </c>
      <c r="BH139" s="795">
        <f>IF(OR($C$12=$AR139,$D$12=$AR139),Schweine_Werte!$I139*0.5,IF(OR($C$12&gt;$AR139,$D$12&lt;$AR139),0,Schweine_Werte!$I139))</f>
        <v>0</v>
      </c>
      <c r="BI139" s="730">
        <f>IF(OR($C$24=$AR139,$D$24=$AR139),Schweine_Werte!$I139*0.5,IF(OR($C$24&gt;$AR139,$D$24&lt;$AR139),0,Schweine_Werte!$I139))</f>
        <v>0</v>
      </c>
      <c r="BJ139" s="730">
        <f>IF(OR($C$36=$AR139,$D$36=$AR139),Schweine_Werte!$I139*0.5,IF(OR($C$36&gt;$AR139,$D$36&lt;$AR139),0,Schweine_Werte!$I139))</f>
        <v>0</v>
      </c>
      <c r="BK139" s="730">
        <f>IF(OR($C$48=$AR139,$D$48=$AR139),Schweine_Werte!$I139*0.5,IF(OR($C$48&gt;$AR139,$D$48&lt;$AR139),0,Schweine_Werte!$I139))</f>
        <v>0</v>
      </c>
      <c r="BL139" s="730">
        <f>IF(OR($C$60=$AR139,$D$60=$AR139),Schweine_Werte!$I139*0.5,IF(OR($C$60&gt;$AR139,$D$60&lt;$AR139),0,Schweine_Werte!$I139))</f>
        <v>0</v>
      </c>
      <c r="BM139" s="795"/>
      <c r="BN139" s="730"/>
      <c r="BO139" s="730"/>
      <c r="BP139" s="730"/>
      <c r="BQ139" s="730"/>
      <c r="BR139" s="795">
        <f>IF(OR($C$74=$AR139,$D$74=$AR139),Schweine_Werte!$M139*0.5,IF(OR($C$74&gt;$AR139,$D$74&lt;$AR139),0,Schweine_Werte!$M139))</f>
        <v>0</v>
      </c>
      <c r="BS139" s="795">
        <f>IF(OR($C$83=$AR139,$D$83=$AR139),Schweine_Werte!$M139*0.5,IF(OR($C$83&gt;$AR139,$D$83&lt;$AR139),0,Schweine_Werte!$M139))</f>
        <v>0</v>
      </c>
      <c r="BT139" s="797">
        <f>IF(OR($C$92=$AR139,$D$92=$AR139),Schweine_Werte!$M139*0.5,IF(OR($C$92&gt;$AR139,$D$92&lt;$AR139),0,Schweine_Werte!$M139))</f>
        <v>0</v>
      </c>
      <c r="BU139" s="797">
        <f>IF(OR($C$101=$AR139,$D$101=$AR139),Schweine_Werte!$M139*0.5,IF(OR($C$101&gt;$AR139,$D$101&lt;$AR139),0,Schweine_Werte!$M139))</f>
        <v>0</v>
      </c>
      <c r="BV139" s="797">
        <f>IF(OR($C$110=$AR139,$D$110=$AR139),Schweine_Werte!$M139*0.5,IF(OR($C$110&gt;$AR139,$D$110&lt;$AR139),0,Schweine_Werte!$M139))</f>
        <v>0</v>
      </c>
      <c r="BW139" s="797">
        <f>IF(OR(8=$AR139,$E$127=$AR139),Schweine_Werte!$M139*0.5,IF(OR(8&gt;$AR139,$E$127&lt;$AR139),0,Schweine_Werte!$M139))</f>
        <v>1.4477278921508818</v>
      </c>
      <c r="BX139" s="797">
        <f>IF(OR(8=$AR139,$E$145=$AR139),Schweine_Werte!$M139*0.5,IF(OR(8&gt;$AR139,$E$145&lt;$AR139),0,Schweine_Werte!$M139))</f>
        <v>1.4477278921508818</v>
      </c>
      <c r="BY139" s="795">
        <f>IF(OR($C$74=$AR139,$D$74=$AR139),Schweine_Werte!$O139*0.5,IF(OR($C$74&gt;$AR139,$D$74&lt;$AR139),0,Schweine_Werte!$O139))</f>
        <v>0</v>
      </c>
      <c r="BZ139" s="795">
        <f>IF(OR($C$83=$AR139,$D$83=$AR139),Schweine_Werte!$O139*0.5,IF(OR($C$83&gt;$AR139,$D$83&lt;$AR139),0,Schweine_Werte!$O139))</f>
        <v>0</v>
      </c>
      <c r="CA139" s="797">
        <f>IF(OR($C$92=$AR139,$D$92=$AR139),Schweine_Werte!$O139*0.5,IF(OR($C$92&gt;$AR139,$D$92&lt;$AR139),0,Schweine_Werte!$O139))</f>
        <v>0</v>
      </c>
      <c r="CB139" s="797">
        <f>IF(OR($C$101=$AR139,$D$101=$AR139),Schweine_Werte!$O139*0.5,IF(OR($C$101&gt;$AR139,$D$101&lt;$AR139),0,Schweine_Werte!$O139))</f>
        <v>0</v>
      </c>
      <c r="CC139" s="797">
        <f>IF(OR($C$110=$AR139,$D$110=$AR139),Schweine_Werte!$O139*0.5,IF(OR($C$110&gt;$AR139,$D$110&lt;$AR139),0,Schweine_Werte!$O139))</f>
        <v>0</v>
      </c>
    </row>
    <row r="140" spans="2:81" x14ac:dyDescent="0.25">
      <c r="B140" s="808" t="e">
        <f>+B137*D145/365</f>
        <v>#VALUE!</v>
      </c>
      <c r="C140" s="705"/>
      <c r="D140" s="363"/>
      <c r="E140" s="730"/>
      <c r="F140" s="730"/>
      <c r="G140" s="730"/>
      <c r="H140" s="730"/>
      <c r="I140" s="730"/>
      <c r="J140" s="730"/>
      <c r="K140" s="730"/>
      <c r="L140" s="730"/>
      <c r="M140" s="730"/>
      <c r="N140" s="730"/>
      <c r="O140" s="730"/>
      <c r="P140" s="730"/>
      <c r="Q140" s="730"/>
      <c r="R140" s="730"/>
      <c r="S140" s="730"/>
      <c r="U140" s="730"/>
      <c r="V140" s="730"/>
      <c r="AR140" s="806">
        <v>144</v>
      </c>
      <c r="AS140" s="795">
        <f>IF(OR($C$12=$AR140,$D$12=$AR140),Schweine_Werte!$C140*0.5,IF(OR($C$12&gt;$AR140,$D$12&lt;$AR140),0,Schweine_Werte!$C140))</f>
        <v>0</v>
      </c>
      <c r="AT140" s="730">
        <f>IF(OR($C$24=$AR140,$D$24=$AR140),Schweine_Werte!$C140*0.5,IF(OR($C$24&gt;$AR140,$D$24&lt;$AR140),0,Schweine_Werte!$C140))</f>
        <v>0</v>
      </c>
      <c r="AU140" s="795">
        <f>IF(OR($C$36=$AR140,$D$36=$AR140),Schweine_Werte!$C140*0.5,IF(OR($C$36&gt;$AR140,$D$36&lt;$AR140),0,Schweine_Werte!$C140))</f>
        <v>0</v>
      </c>
      <c r="AV140" s="795">
        <f>IF(OR($C$48=$AR140,$D$48=$AR140),Schweine_Werte!$C140*0.5,IF(OR($C$48&gt;$AR140,$D$48&lt;$AR140),0,Schweine_Werte!$C140))</f>
        <v>0</v>
      </c>
      <c r="AW140" s="795">
        <f>IF(OR($C$60=$AR140,$D$60=$AR140),Schweine_Werte!$C140*0.5,IF(OR($C$60&gt;$AR140,$D$60&lt;$AR140),0,Schweine_Werte!$C140))</f>
        <v>0</v>
      </c>
      <c r="AX140" s="795">
        <f>IF(OR($C$12=$AR140,$D$12=$AR140),Schweine_Werte!$E140*0.5,IF(OR($C$12&gt;$AR140,$D$12&lt;$AR140),0,Schweine_Werte!$E140))</f>
        <v>0</v>
      </c>
      <c r="AY140" s="730">
        <f>IF(OR($C$24=$AR140,$D$24=$AR140),Schweine_Werte!$E140*0.5,IF(OR($C$24&gt;$AR140,$D$24&lt;$AR140),0,Schweine_Werte!$E140))</f>
        <v>0</v>
      </c>
      <c r="AZ140" s="730">
        <f>IF(OR($C$36=$AR140,$D$36=$AR140),Schweine_Werte!$E140*0.5,IF(OR($C$36&gt;$AR140,$D$36&lt;$AR140),0,Schweine_Werte!$E140))</f>
        <v>0</v>
      </c>
      <c r="BA140" s="730">
        <f>IF(OR($C$48=$AR140,$D$48=$AR140),Schweine_Werte!$E140*0.5,IF(OR($C$48&gt;$AR140,$D$48&lt;$AR140),0,Schweine_Werte!$E140))</f>
        <v>0</v>
      </c>
      <c r="BB140" s="730">
        <f>IF(OR($C$60=$AR140,$D$60=$AR140),Schweine_Werte!$E140*0.5,IF(OR($C$60&gt;$AR140,$D$60&lt;$AR140),0,Schweine_Werte!$E140))</f>
        <v>0</v>
      </c>
      <c r="BC140" s="795">
        <f>IF(OR($C$12=$AR140,$D$12=$AR140),Schweine_Werte!$G140*0.5,IF(OR($C$12&gt;$AR140,$D$12&lt;$AR140),0,Schweine_Werte!$G140))</f>
        <v>0</v>
      </c>
      <c r="BD140" s="730">
        <f>IF(OR($C$24=$AR140,$D$24=$AR140),Schweine_Werte!$G140*0.5,IF(OR($C$24&gt;$AR140,$D$24&lt;$AR140),0,Schweine_Werte!$G140))</f>
        <v>0</v>
      </c>
      <c r="BE140" s="730">
        <f>IF(OR($C$36=$AR140,$D$36=$AR140),Schweine_Werte!$G140*0.5,IF(OR($C$36&gt;$AR140,$D$36&lt;$AR140),0,Schweine_Werte!$G140))</f>
        <v>0</v>
      </c>
      <c r="BF140" s="730">
        <f>IF(OR($C$48=$AR140,$D$48=$AR140),Schweine_Werte!$G140*0.5,IF(OR($C$48&gt;$AR140,$D$48&lt;$AR140),0,Schweine_Werte!$G140))</f>
        <v>0</v>
      </c>
      <c r="BG140" s="730">
        <f>IF(OR($C$60=$AR140,$D$60=$AR140),Schweine_Werte!$G140*0.5,IF(OR($C$60&gt;$AR140,$D$60&lt;$AR140),0,Schweine_Werte!$G140))</f>
        <v>0</v>
      </c>
      <c r="BH140" s="795">
        <f>IF(OR($C$12=$AR140,$D$12=$AR140),Schweine_Werte!$I140*0.5,IF(OR($C$12&gt;$AR140,$D$12&lt;$AR140),0,Schweine_Werte!$I140))</f>
        <v>0</v>
      </c>
      <c r="BI140" s="730">
        <f>IF(OR($C$24=$AR140,$D$24=$AR140),Schweine_Werte!$I140*0.5,IF(OR($C$24&gt;$AR140,$D$24&lt;$AR140),0,Schweine_Werte!$I140))</f>
        <v>0</v>
      </c>
      <c r="BJ140" s="730">
        <f>IF(OR($C$36=$AR140,$D$36=$AR140),Schweine_Werte!$I140*0.5,IF(OR($C$36&gt;$AR140,$D$36&lt;$AR140),0,Schweine_Werte!$I140))</f>
        <v>0</v>
      </c>
      <c r="BK140" s="730">
        <f>IF(OR($C$48=$AR140,$D$48=$AR140),Schweine_Werte!$I140*0.5,IF(OR($C$48&gt;$AR140,$D$48&lt;$AR140),0,Schweine_Werte!$I140))</f>
        <v>0</v>
      </c>
      <c r="BL140" s="730">
        <f>IF(OR($C$60=$AR140,$D$60=$AR140),Schweine_Werte!$I140*0.5,IF(OR($C$60&gt;$AR140,$D$60&lt;$AR140),0,Schweine_Werte!$I140))</f>
        <v>0</v>
      </c>
      <c r="BM140" s="795"/>
      <c r="BN140" s="730"/>
      <c r="BO140" s="730"/>
      <c r="BP140" s="730"/>
      <c r="BQ140" s="730"/>
      <c r="BR140" s="795">
        <f>IF(OR($C$74=$AR140,$D$74=$AR140),Schweine_Werte!$M140*0.5,IF(OR($C$74&gt;$AR140,$D$74&lt;$AR140),0,Schweine_Werte!$M140))</f>
        <v>0</v>
      </c>
      <c r="BS140" s="795">
        <f>IF(OR($C$83=$AR140,$D$83=$AR140),Schweine_Werte!$M140*0.5,IF(OR($C$83&gt;$AR140,$D$83&lt;$AR140),0,Schweine_Werte!$M140))</f>
        <v>0</v>
      </c>
      <c r="BT140" s="797">
        <f>IF(OR($C$92=$AR140,$D$92=$AR140),Schweine_Werte!$M140*0.5,IF(OR($C$92&gt;$AR140,$D$92&lt;$AR140),0,Schweine_Werte!$M140))</f>
        <v>0</v>
      </c>
      <c r="BU140" s="797">
        <f>IF(OR($C$101=$AR140,$D$101=$AR140),Schweine_Werte!$M140*0.5,IF(OR($C$101&gt;$AR140,$D$101&lt;$AR140),0,Schweine_Werte!$M140))</f>
        <v>0</v>
      </c>
      <c r="BV140" s="797">
        <f>IF(OR($C$110=$AR140,$D$110=$AR140),Schweine_Werte!$M140*0.5,IF(OR($C$110&gt;$AR140,$D$110&lt;$AR140),0,Schweine_Werte!$M140))</f>
        <v>0</v>
      </c>
      <c r="BW140" s="797">
        <f>IF(OR(8=$AR140,$E$127=$AR140),Schweine_Werte!$M140*0.5,IF(OR(8&gt;$AR140,$E$127&lt;$AR140),0,Schweine_Werte!$M140))</f>
        <v>1.4477278921508818</v>
      </c>
      <c r="BX140" s="797">
        <f>IF(OR(8=$AR140,$E$145=$AR140),Schweine_Werte!$M140*0.5,IF(OR(8&gt;$AR140,$E$145&lt;$AR140),0,Schweine_Werte!$M140))</f>
        <v>1.4477278921508818</v>
      </c>
      <c r="BY140" s="795">
        <f>IF(OR($C$74=$AR140,$D$74=$AR140),Schweine_Werte!$O140*0.5,IF(OR($C$74&gt;$AR140,$D$74&lt;$AR140),0,Schweine_Werte!$O140))</f>
        <v>0</v>
      </c>
      <c r="BZ140" s="795">
        <f>IF(OR($C$83=$AR140,$D$83=$AR140),Schweine_Werte!$O140*0.5,IF(OR($C$83&gt;$AR140,$D$83&lt;$AR140),0,Schweine_Werte!$O140))</f>
        <v>0</v>
      </c>
      <c r="CA140" s="797">
        <f>IF(OR($C$92=$AR140,$D$92=$AR140),Schweine_Werte!$O140*0.5,IF(OR($C$92&gt;$AR140,$D$92&lt;$AR140),0,Schweine_Werte!$O140))</f>
        <v>0</v>
      </c>
      <c r="CB140" s="797">
        <f>IF(OR($C$101=$AR140,$D$101=$AR140),Schweine_Werte!$O140*0.5,IF(OR($C$101&gt;$AR140,$D$101&lt;$AR140),0,Schweine_Werte!$O140))</f>
        <v>0</v>
      </c>
      <c r="CC140" s="797">
        <f>IF(OR($C$110=$AR140,$D$110=$AR140),Schweine_Werte!$O140*0.5,IF(OR($C$110&gt;$AR140,$D$110&lt;$AR140),0,Schweine_Werte!$O140))</f>
        <v>0</v>
      </c>
    </row>
    <row r="141" spans="2:81" x14ac:dyDescent="0.25">
      <c r="C141" s="705"/>
      <c r="D141" s="363"/>
      <c r="F141" s="730"/>
      <c r="G141" s="730"/>
      <c r="H141" s="730"/>
      <c r="I141" s="730"/>
      <c r="J141" s="730"/>
      <c r="K141" s="730"/>
      <c r="L141" s="730"/>
      <c r="M141" s="730"/>
      <c r="N141" s="730"/>
      <c r="O141" s="730"/>
      <c r="P141" s="730"/>
      <c r="Q141" s="730"/>
      <c r="R141" s="730"/>
      <c r="S141" s="730"/>
      <c r="T141" s="730"/>
      <c r="U141" s="730"/>
      <c r="V141" s="730"/>
      <c r="AR141" s="806">
        <v>145</v>
      </c>
      <c r="AS141" s="795">
        <f>IF(OR($C$12=$AR141,$D$12=$AR141),Schweine_Werte!$C141*0.5,IF(OR($C$12&gt;$AR141,$D$12&lt;$AR141),0,Schweine_Werte!$C141))</f>
        <v>0</v>
      </c>
      <c r="AT141" s="730">
        <f>IF(OR($C$24=$AR141,$D$24=$AR141),Schweine_Werte!$C141*0.5,IF(OR($C$24&gt;$AR141,$D$24&lt;$AR141),0,Schweine_Werte!$C141))</f>
        <v>0</v>
      </c>
      <c r="AU141" s="795">
        <f>IF(OR($C$36=$AR141,$D$36=$AR141),Schweine_Werte!$C141*0.5,IF(OR($C$36&gt;$AR141,$D$36&lt;$AR141),0,Schweine_Werte!$C141))</f>
        <v>0</v>
      </c>
      <c r="AV141" s="795">
        <f>IF(OR($C$48=$AR141,$D$48=$AR141),Schweine_Werte!$C141*0.5,IF(OR($C$48&gt;$AR141,$D$48&lt;$AR141),0,Schweine_Werte!$C141))</f>
        <v>0</v>
      </c>
      <c r="AW141" s="795">
        <f>IF(OR($C$60=$AR141,$D$60=$AR141),Schweine_Werte!$C141*0.5,IF(OR($C$60&gt;$AR141,$D$60&lt;$AR141),0,Schweine_Werte!$C141))</f>
        <v>0</v>
      </c>
      <c r="AX141" s="795">
        <f>IF(OR($C$12=$AR141,$D$12=$AR141),Schweine_Werte!$E141*0.5,IF(OR($C$12&gt;$AR141,$D$12&lt;$AR141),0,Schweine_Werte!$E141))</f>
        <v>0</v>
      </c>
      <c r="AY141" s="730">
        <f>IF(OR($C$24=$AR141,$D$24=$AR141),Schweine_Werte!$E141*0.5,IF(OR($C$24&gt;$AR141,$D$24&lt;$AR141),0,Schweine_Werte!$E141))</f>
        <v>0</v>
      </c>
      <c r="AZ141" s="730">
        <f>IF(OR($C$36=$AR141,$D$36=$AR141),Schweine_Werte!$E141*0.5,IF(OR($C$36&gt;$AR141,$D$36&lt;$AR141),0,Schweine_Werte!$E141))</f>
        <v>0</v>
      </c>
      <c r="BA141" s="730">
        <f>IF(OR($C$48=$AR141,$D$48=$AR141),Schweine_Werte!$E141*0.5,IF(OR($C$48&gt;$AR141,$D$48&lt;$AR141),0,Schweine_Werte!$E141))</f>
        <v>0</v>
      </c>
      <c r="BB141" s="730">
        <f>IF(OR($C$60=$AR141,$D$60=$AR141),Schweine_Werte!$E141*0.5,IF(OR($C$60&gt;$AR141,$D$60&lt;$AR141),0,Schweine_Werte!$E141))</f>
        <v>0</v>
      </c>
      <c r="BC141" s="795">
        <f>IF(OR($C$12=$AR141,$D$12=$AR141),Schweine_Werte!$G141*0.5,IF(OR($C$12&gt;$AR141,$D$12&lt;$AR141),0,Schweine_Werte!$G141))</f>
        <v>0</v>
      </c>
      <c r="BD141" s="730">
        <f>IF(OR($C$24=$AR141,$D$24=$AR141),Schweine_Werte!$G141*0.5,IF(OR($C$24&gt;$AR141,$D$24&lt;$AR141),0,Schweine_Werte!$G141))</f>
        <v>0</v>
      </c>
      <c r="BE141" s="730">
        <f>IF(OR($C$36=$AR141,$D$36=$AR141),Schweine_Werte!$G141*0.5,IF(OR($C$36&gt;$AR141,$D$36&lt;$AR141),0,Schweine_Werte!$G141))</f>
        <v>0</v>
      </c>
      <c r="BF141" s="730">
        <f>IF(OR($C$48=$AR141,$D$48=$AR141),Schweine_Werte!$G141*0.5,IF(OR($C$48&gt;$AR141,$D$48&lt;$AR141),0,Schweine_Werte!$G141))</f>
        <v>0</v>
      </c>
      <c r="BG141" s="730">
        <f>IF(OR($C$60=$AR141,$D$60=$AR141),Schweine_Werte!$G141*0.5,IF(OR($C$60&gt;$AR141,$D$60&lt;$AR141),0,Schweine_Werte!$G141))</f>
        <v>0</v>
      </c>
      <c r="BH141" s="795">
        <f>IF(OR($C$12=$AR141,$D$12=$AR141),Schweine_Werte!$I141*0.5,IF(OR($C$12&gt;$AR141,$D$12&lt;$AR141),0,Schweine_Werte!$I141))</f>
        <v>0</v>
      </c>
      <c r="BI141" s="730">
        <f>IF(OR($C$24=$AR141,$D$24=$AR141),Schweine_Werte!$I141*0.5,IF(OR($C$24&gt;$AR141,$D$24&lt;$AR141),0,Schweine_Werte!$I141))</f>
        <v>0</v>
      </c>
      <c r="BJ141" s="730">
        <f>IF(OR($C$36=$AR141,$D$36=$AR141),Schweine_Werte!$I141*0.5,IF(OR($C$36&gt;$AR141,$D$36&lt;$AR141),0,Schweine_Werte!$I141))</f>
        <v>0</v>
      </c>
      <c r="BK141" s="730">
        <f>IF(OR($C$48=$AR141,$D$48=$AR141),Schweine_Werte!$I141*0.5,IF(OR($C$48&gt;$AR141,$D$48&lt;$AR141),0,Schweine_Werte!$I141))</f>
        <v>0</v>
      </c>
      <c r="BL141" s="730">
        <f>IF(OR($C$60=$AR141,$D$60=$AR141),Schweine_Werte!$I141*0.5,IF(OR($C$60&gt;$AR141,$D$60&lt;$AR141),0,Schweine_Werte!$I141))</f>
        <v>0</v>
      </c>
      <c r="BM141" s="795"/>
      <c r="BN141" s="730"/>
      <c r="BO141" s="730"/>
      <c r="BP141" s="730"/>
      <c r="BQ141" s="730"/>
      <c r="BR141" s="795">
        <f>IF(OR($C$74=$AR141,$D$74=$AR141),Schweine_Werte!$M141*0.5,IF(OR($C$74&gt;$AR141,$D$74&lt;$AR141),0,Schweine_Werte!$M141))</f>
        <v>0</v>
      </c>
      <c r="BS141" s="795">
        <f>IF(OR($C$83=$AR141,$D$83=$AR141),Schweine_Werte!$M141*0.5,IF(OR($C$83&gt;$AR141,$D$83&lt;$AR141),0,Schweine_Werte!$M141))</f>
        <v>0</v>
      </c>
      <c r="BT141" s="797">
        <f>IF(OR($C$92=$AR141,$D$92=$AR141),Schweine_Werte!$M141*0.5,IF(OR($C$92&gt;$AR141,$D$92&lt;$AR141),0,Schweine_Werte!$M141))</f>
        <v>0</v>
      </c>
      <c r="BU141" s="797">
        <f>IF(OR($C$101=$AR141,$D$101=$AR141),Schweine_Werte!$M141*0.5,IF(OR($C$101&gt;$AR141,$D$101&lt;$AR141),0,Schweine_Werte!$M141))</f>
        <v>0</v>
      </c>
      <c r="BV141" s="797">
        <f>IF(OR($C$110=$AR141,$D$110=$AR141),Schweine_Werte!$M141*0.5,IF(OR($C$110&gt;$AR141,$D$110&lt;$AR141),0,Schweine_Werte!$M141))</f>
        <v>0</v>
      </c>
      <c r="BW141" s="797">
        <f>IF(OR(8=$AR141,$E$127=$AR141),Schweine_Werte!$M141*0.5,IF(OR(8&gt;$AR141,$E$127&lt;$AR141),0,Schweine_Werte!$M141))</f>
        <v>1.4477278921508818</v>
      </c>
      <c r="BX141" s="797">
        <f>IF(OR(8=$AR141,$E$145=$AR141),Schweine_Werte!$M141*0.5,IF(OR(8&gt;$AR141,$E$145&lt;$AR141),0,Schweine_Werte!$M141))</f>
        <v>1.4477278921508818</v>
      </c>
      <c r="BY141" s="795">
        <f>IF(OR($C$74=$AR141,$D$74=$AR141),Schweine_Werte!$O141*0.5,IF(OR($C$74&gt;$AR141,$D$74&lt;$AR141),0,Schweine_Werte!$O141))</f>
        <v>0</v>
      </c>
      <c r="BZ141" s="795">
        <f>IF(OR($C$83=$AR141,$D$83=$AR141),Schweine_Werte!$O141*0.5,IF(OR($C$83&gt;$AR141,$D$83&lt;$AR141),0,Schweine_Werte!$O141))</f>
        <v>0</v>
      </c>
      <c r="CA141" s="797">
        <f>IF(OR($C$92=$AR141,$D$92=$AR141),Schweine_Werte!$O141*0.5,IF(OR($C$92&gt;$AR141,$D$92&lt;$AR141),0,Schweine_Werte!$O141))</f>
        <v>0</v>
      </c>
      <c r="CB141" s="797">
        <f>IF(OR($C$101=$AR141,$D$101=$AR141),Schweine_Werte!$O141*0.5,IF(OR($C$101&gt;$AR141,$D$101&lt;$AR141),0,Schweine_Werte!$O141))</f>
        <v>0</v>
      </c>
      <c r="CC141" s="797">
        <f>IF(OR($C$110=$AR141,$D$110=$AR141),Schweine_Werte!$O141*0.5,IF(OR($C$110&gt;$AR141,$D$110&lt;$AR141),0,Schweine_Werte!$O141))</f>
        <v>0</v>
      </c>
    </row>
    <row r="142" spans="2:81" x14ac:dyDescent="0.25">
      <c r="C142" s="705"/>
      <c r="D142" s="363"/>
      <c r="E142" s="730"/>
      <c r="F142" s="730"/>
      <c r="G142" s="730"/>
      <c r="H142" s="730"/>
      <c r="I142" s="730"/>
      <c r="J142" s="730"/>
      <c r="K142" s="730"/>
      <c r="L142" s="730"/>
      <c r="M142" s="730"/>
      <c r="N142" s="730"/>
      <c r="O142" s="730"/>
      <c r="P142" s="730"/>
      <c r="Q142" s="730"/>
      <c r="R142" s="730"/>
      <c r="S142" s="730"/>
      <c r="T142" s="730"/>
      <c r="U142" s="730"/>
      <c r="V142" s="730"/>
      <c r="AR142" s="806">
        <v>146</v>
      </c>
      <c r="AS142" s="795">
        <f>IF(OR($C$12=$AR142,$D$12=$AR142),Schweine_Werte!$C142*0.5,IF(OR($C$12&gt;$AR142,$D$12&lt;$AR142),0,Schweine_Werte!$C142))</f>
        <v>0</v>
      </c>
      <c r="AT142" s="730">
        <f>IF(OR($C$24=$AR142,$D$24=$AR142),Schweine_Werte!$C142*0.5,IF(OR($C$24&gt;$AR142,$D$24&lt;$AR142),0,Schweine_Werte!$C142))</f>
        <v>0</v>
      </c>
      <c r="AU142" s="795">
        <f>IF(OR($C$36=$AR142,$D$36=$AR142),Schweine_Werte!$C142*0.5,IF(OR($C$36&gt;$AR142,$D$36&lt;$AR142),0,Schweine_Werte!$C142))</f>
        <v>0</v>
      </c>
      <c r="AV142" s="795">
        <f>IF(OR($C$48=$AR142,$D$48=$AR142),Schweine_Werte!$C142*0.5,IF(OR($C$48&gt;$AR142,$D$48&lt;$AR142),0,Schweine_Werte!$C142))</f>
        <v>0</v>
      </c>
      <c r="AW142" s="795">
        <f>IF(OR($C$60=$AR142,$D$60=$AR142),Schweine_Werte!$C142*0.5,IF(OR($C$60&gt;$AR142,$D$60&lt;$AR142),0,Schweine_Werte!$C142))</f>
        <v>0</v>
      </c>
      <c r="AX142" s="795">
        <f>IF(OR($C$12=$AR142,$D$12=$AR142),Schweine_Werte!$E142*0.5,IF(OR($C$12&gt;$AR142,$D$12&lt;$AR142),0,Schweine_Werte!$E142))</f>
        <v>0</v>
      </c>
      <c r="AY142" s="730">
        <f>IF(OR($C$24=$AR142,$D$24=$AR142),Schweine_Werte!$E142*0.5,IF(OR($C$24&gt;$AR142,$D$24&lt;$AR142),0,Schweine_Werte!$E142))</f>
        <v>0</v>
      </c>
      <c r="AZ142" s="730">
        <f>IF(OR($C$36=$AR142,$D$36=$AR142),Schweine_Werte!$E142*0.5,IF(OR($C$36&gt;$AR142,$D$36&lt;$AR142),0,Schweine_Werte!$E142))</f>
        <v>0</v>
      </c>
      <c r="BA142" s="730">
        <f>IF(OR($C$48=$AR142,$D$48=$AR142),Schweine_Werte!$E142*0.5,IF(OR($C$48&gt;$AR142,$D$48&lt;$AR142),0,Schweine_Werte!$E142))</f>
        <v>0</v>
      </c>
      <c r="BB142" s="730">
        <f>IF(OR($C$60=$AR142,$D$60=$AR142),Schweine_Werte!$E142*0.5,IF(OR($C$60&gt;$AR142,$D$60&lt;$AR142),0,Schweine_Werte!$E142))</f>
        <v>0</v>
      </c>
      <c r="BC142" s="795">
        <f>IF(OR($C$12=$AR142,$D$12=$AR142),Schweine_Werte!$G142*0.5,IF(OR($C$12&gt;$AR142,$D$12&lt;$AR142),0,Schweine_Werte!$G142))</f>
        <v>0</v>
      </c>
      <c r="BD142" s="730">
        <f>IF(OR($C$24=$AR142,$D$24=$AR142),Schweine_Werte!$G142*0.5,IF(OR($C$24&gt;$AR142,$D$24&lt;$AR142),0,Schweine_Werte!$G142))</f>
        <v>0</v>
      </c>
      <c r="BE142" s="730">
        <f>IF(OR($C$36=$AR142,$D$36=$AR142),Schweine_Werte!$G142*0.5,IF(OR($C$36&gt;$AR142,$D$36&lt;$AR142),0,Schweine_Werte!$G142))</f>
        <v>0</v>
      </c>
      <c r="BF142" s="730">
        <f>IF(OR($C$48=$AR142,$D$48=$AR142),Schweine_Werte!$G142*0.5,IF(OR($C$48&gt;$AR142,$D$48&lt;$AR142),0,Schweine_Werte!$G142))</f>
        <v>0</v>
      </c>
      <c r="BG142" s="730">
        <f>IF(OR($C$60=$AR142,$D$60=$AR142),Schweine_Werte!$G142*0.5,IF(OR($C$60&gt;$AR142,$D$60&lt;$AR142),0,Schweine_Werte!$G142))</f>
        <v>0</v>
      </c>
      <c r="BH142" s="795">
        <f>IF(OR($C$12=$AR142,$D$12=$AR142),Schweine_Werte!$I142*0.5,IF(OR($C$12&gt;$AR142,$D$12&lt;$AR142),0,Schweine_Werte!$I142))</f>
        <v>0</v>
      </c>
      <c r="BI142" s="730">
        <f>IF(OR($C$24=$AR142,$D$24=$AR142),Schweine_Werte!$I142*0.5,IF(OR($C$24&gt;$AR142,$D$24&lt;$AR142),0,Schweine_Werte!$I142))</f>
        <v>0</v>
      </c>
      <c r="BJ142" s="730">
        <f>IF(OR($C$36=$AR142,$D$36=$AR142),Schweine_Werte!$I142*0.5,IF(OR($C$36&gt;$AR142,$D$36&lt;$AR142),0,Schweine_Werte!$I142))</f>
        <v>0</v>
      </c>
      <c r="BK142" s="730">
        <f>IF(OR($C$48=$AR142,$D$48=$AR142),Schweine_Werte!$I142*0.5,IF(OR($C$48&gt;$AR142,$D$48&lt;$AR142),0,Schweine_Werte!$I142))</f>
        <v>0</v>
      </c>
      <c r="BL142" s="730">
        <f>IF(OR($C$60=$AR142,$D$60=$AR142),Schweine_Werte!$I142*0.5,IF(OR($C$60&gt;$AR142,$D$60&lt;$AR142),0,Schweine_Werte!$I142))</f>
        <v>0</v>
      </c>
      <c r="BM142" s="795"/>
      <c r="BN142" s="730"/>
      <c r="BO142" s="730"/>
      <c r="BP142" s="730"/>
      <c r="BQ142" s="730"/>
      <c r="BR142" s="795">
        <f>IF(OR($C$74=$AR142,$D$74=$AR142),Schweine_Werte!$M142*0.5,IF(OR($C$74&gt;$AR142,$D$74&lt;$AR142),0,Schweine_Werte!$M142))</f>
        <v>0</v>
      </c>
      <c r="BS142" s="795">
        <f>IF(OR($C$83=$AR142,$D$83=$AR142),Schweine_Werte!$M142*0.5,IF(OR($C$83&gt;$AR142,$D$83&lt;$AR142),0,Schweine_Werte!$M142))</f>
        <v>0</v>
      </c>
      <c r="BT142" s="797">
        <f>IF(OR($C$92=$AR142,$D$92=$AR142),Schweine_Werte!$M142*0.5,IF(OR($C$92&gt;$AR142,$D$92&lt;$AR142),0,Schweine_Werte!$M142))</f>
        <v>0</v>
      </c>
      <c r="BU142" s="797">
        <f>IF(OR($C$101=$AR142,$D$101=$AR142),Schweine_Werte!$M142*0.5,IF(OR($C$101&gt;$AR142,$D$101&lt;$AR142),0,Schweine_Werte!$M142))</f>
        <v>0</v>
      </c>
      <c r="BV142" s="797">
        <f>IF(OR($C$110=$AR142,$D$110=$AR142),Schweine_Werte!$M142*0.5,IF(OR($C$110&gt;$AR142,$D$110&lt;$AR142),0,Schweine_Werte!$M142))</f>
        <v>0</v>
      </c>
      <c r="BW142" s="797">
        <f>IF(OR(8=$AR142,$E$127=$AR142),Schweine_Werte!$M142*0.5,IF(OR(8&gt;$AR142,$E$127&lt;$AR142),0,Schweine_Werte!$M142))</f>
        <v>1.4477278921508818</v>
      </c>
      <c r="BX142" s="797">
        <f>IF(OR(8=$AR142,$E$145=$AR142),Schweine_Werte!$M142*0.5,IF(OR(8&gt;$AR142,$E$145&lt;$AR142),0,Schweine_Werte!$M142))</f>
        <v>1.4477278921508818</v>
      </c>
      <c r="BY142" s="795">
        <f>IF(OR($C$74=$AR142,$D$74=$AR142),Schweine_Werte!$O142*0.5,IF(OR($C$74&gt;$AR142,$D$74&lt;$AR142),0,Schweine_Werte!$O142))</f>
        <v>0</v>
      </c>
      <c r="BZ142" s="795">
        <f>IF(OR($C$83=$AR142,$D$83=$AR142),Schweine_Werte!$O142*0.5,IF(OR($C$83&gt;$AR142,$D$83&lt;$AR142),0,Schweine_Werte!$O142))</f>
        <v>0</v>
      </c>
      <c r="CA142" s="797">
        <f>IF(OR($C$92=$AR142,$D$92=$AR142),Schweine_Werte!$O142*0.5,IF(OR($C$92&gt;$AR142,$D$92&lt;$AR142),0,Schweine_Werte!$O142))</f>
        <v>0</v>
      </c>
      <c r="CB142" s="797">
        <f>IF(OR($C$101=$AR142,$D$101=$AR142),Schweine_Werte!$O142*0.5,IF(OR($C$101&gt;$AR142,$D$101&lt;$AR142),0,Schweine_Werte!$O142))</f>
        <v>0</v>
      </c>
      <c r="CC142" s="797">
        <f>IF(OR($C$110=$AR142,$D$110=$AR142),Schweine_Werte!$O142*0.5,IF(OR($C$110&gt;$AR142,$D$110&lt;$AR142),0,Schweine_Werte!$O142))</f>
        <v>0</v>
      </c>
    </row>
    <row r="143" spans="2:81" ht="15.6" x14ac:dyDescent="0.3">
      <c r="F143" s="357"/>
      <c r="G143" s="1626" t="s">
        <v>7713</v>
      </c>
      <c r="H143" s="1627"/>
      <c r="I143" s="1628"/>
      <c r="J143" s="1039" t="s">
        <v>596</v>
      </c>
      <c r="K143" s="1039" t="s">
        <v>226</v>
      </c>
      <c r="L143" s="1621" t="s">
        <v>7714</v>
      </c>
      <c r="M143" s="1622"/>
      <c r="N143" s="1623"/>
      <c r="O143" s="1621" t="s">
        <v>7715</v>
      </c>
      <c r="P143" s="1623"/>
      <c r="Q143" s="1621" t="s">
        <v>7770</v>
      </c>
      <c r="R143" s="1622"/>
      <c r="S143" s="1623"/>
      <c r="T143" s="1621" t="s">
        <v>7716</v>
      </c>
      <c r="U143" s="1622"/>
      <c r="V143" s="1623"/>
      <c r="W143" s="1621" t="s">
        <v>7798</v>
      </c>
      <c r="X143" s="1622"/>
      <c r="Y143" s="1623"/>
      <c r="AR143" s="806">
        <v>147</v>
      </c>
      <c r="AS143" s="795">
        <f>IF(OR($C$12=$AR143,$D$12=$AR143),Schweine_Werte!$C143*0.5,IF(OR($C$12&gt;$AR143,$D$12&lt;$AR143),0,Schweine_Werte!$C143))</f>
        <v>0</v>
      </c>
      <c r="AT143" s="730">
        <f>IF(OR($C$24=$AR143,$D$24=$AR143),Schweine_Werte!$C143*0.5,IF(OR($C$24&gt;$AR143,$D$24&lt;$AR143),0,Schweine_Werte!$C143))</f>
        <v>0</v>
      </c>
      <c r="AU143" s="795">
        <f>IF(OR($C$36=$AR143,$D$36=$AR143),Schweine_Werte!$C143*0.5,IF(OR($C$36&gt;$AR143,$D$36&lt;$AR143),0,Schweine_Werte!$C143))</f>
        <v>0</v>
      </c>
      <c r="AV143" s="795">
        <f>IF(OR($C$48=$AR143,$D$48=$AR143),Schweine_Werte!$C143*0.5,IF(OR($C$48&gt;$AR143,$D$48&lt;$AR143),0,Schweine_Werte!$C143))</f>
        <v>0</v>
      </c>
      <c r="AW143" s="795">
        <f>IF(OR($C$60=$AR143,$D$60=$AR143),Schweine_Werte!$C143*0.5,IF(OR($C$60&gt;$AR143,$D$60&lt;$AR143),0,Schweine_Werte!$C143))</f>
        <v>0</v>
      </c>
      <c r="AX143" s="795">
        <f>IF(OR($C$12=$AR143,$D$12=$AR143),Schweine_Werte!$E143*0.5,IF(OR($C$12&gt;$AR143,$D$12&lt;$AR143),0,Schweine_Werte!$E143))</f>
        <v>0</v>
      </c>
      <c r="AY143" s="730">
        <f>IF(OR($C$24=$AR143,$D$24=$AR143),Schweine_Werte!$E143*0.5,IF(OR($C$24&gt;$AR143,$D$24&lt;$AR143),0,Schweine_Werte!$E143))</f>
        <v>0</v>
      </c>
      <c r="AZ143" s="730">
        <f>IF(OR($C$36=$AR143,$D$36=$AR143),Schweine_Werte!$E143*0.5,IF(OR($C$36&gt;$AR143,$D$36&lt;$AR143),0,Schweine_Werte!$E143))</f>
        <v>0</v>
      </c>
      <c r="BA143" s="730">
        <f>IF(OR($C$48=$AR143,$D$48=$AR143),Schweine_Werte!$E143*0.5,IF(OR($C$48&gt;$AR143,$D$48&lt;$AR143),0,Schweine_Werte!$E143))</f>
        <v>0</v>
      </c>
      <c r="BB143" s="730">
        <f>IF(OR($C$60=$AR143,$D$60=$AR143),Schweine_Werte!$E143*0.5,IF(OR($C$60&gt;$AR143,$D$60&lt;$AR143),0,Schweine_Werte!$E143))</f>
        <v>0</v>
      </c>
      <c r="BC143" s="795">
        <f>IF(OR($C$12=$AR143,$D$12=$AR143),Schweine_Werte!$G143*0.5,IF(OR($C$12&gt;$AR143,$D$12&lt;$AR143),0,Schweine_Werte!$G143))</f>
        <v>0</v>
      </c>
      <c r="BD143" s="730">
        <f>IF(OR($C$24=$AR143,$D$24=$AR143),Schweine_Werte!$G143*0.5,IF(OR($C$24&gt;$AR143,$D$24&lt;$AR143),0,Schweine_Werte!$G143))</f>
        <v>0</v>
      </c>
      <c r="BE143" s="730">
        <f>IF(OR($C$36=$AR143,$D$36=$AR143),Schweine_Werte!$G143*0.5,IF(OR($C$36&gt;$AR143,$D$36&lt;$AR143),0,Schweine_Werte!$G143))</f>
        <v>0</v>
      </c>
      <c r="BF143" s="730">
        <f>IF(OR($C$48=$AR143,$D$48=$AR143),Schweine_Werte!$G143*0.5,IF(OR($C$48&gt;$AR143,$D$48&lt;$AR143),0,Schweine_Werte!$G143))</f>
        <v>0</v>
      </c>
      <c r="BG143" s="730">
        <f>IF(OR($C$60=$AR143,$D$60=$AR143),Schweine_Werte!$G143*0.5,IF(OR($C$60&gt;$AR143,$D$60&lt;$AR143),0,Schweine_Werte!$G143))</f>
        <v>0</v>
      </c>
      <c r="BH143" s="795">
        <f>IF(OR($C$12=$AR143,$D$12=$AR143),Schweine_Werte!$I143*0.5,IF(OR($C$12&gt;$AR143,$D$12&lt;$AR143),0,Schweine_Werte!$I143))</f>
        <v>0</v>
      </c>
      <c r="BI143" s="730">
        <f>IF(OR($C$24=$AR143,$D$24=$AR143),Schweine_Werte!$I143*0.5,IF(OR($C$24&gt;$AR143,$D$24&lt;$AR143),0,Schweine_Werte!$I143))</f>
        <v>0</v>
      </c>
      <c r="BJ143" s="730">
        <f>IF(OR($C$36=$AR143,$D$36=$AR143),Schweine_Werte!$I143*0.5,IF(OR($C$36&gt;$AR143,$D$36&lt;$AR143),0,Schweine_Werte!$I143))</f>
        <v>0</v>
      </c>
      <c r="BK143" s="730">
        <f>IF(OR($C$48=$AR143,$D$48=$AR143),Schweine_Werte!$I143*0.5,IF(OR($C$48&gt;$AR143,$D$48&lt;$AR143),0,Schweine_Werte!$I143))</f>
        <v>0</v>
      </c>
      <c r="BL143" s="730">
        <f>IF(OR($C$60=$AR143,$D$60=$AR143),Schweine_Werte!$I143*0.5,IF(OR($C$60&gt;$AR143,$D$60&lt;$AR143),0,Schweine_Werte!$I143))</f>
        <v>0</v>
      </c>
      <c r="BM143" s="795"/>
      <c r="BN143" s="730"/>
      <c r="BO143" s="730"/>
      <c r="BP143" s="730"/>
      <c r="BQ143" s="730"/>
      <c r="BR143" s="795">
        <f>IF(OR($C$74=$AR143,$D$74=$AR143),Schweine_Werte!$M143*0.5,IF(OR($C$74&gt;$AR143,$D$74&lt;$AR143),0,Schweine_Werte!$M143))</f>
        <v>0</v>
      </c>
      <c r="BS143" s="795">
        <f>IF(OR($C$83=$AR143,$D$83=$AR143),Schweine_Werte!$M143*0.5,IF(OR($C$83&gt;$AR143,$D$83&lt;$AR143),0,Schweine_Werte!$M143))</f>
        <v>0</v>
      </c>
      <c r="BT143" s="797">
        <f>IF(OR($C$92=$AR143,$D$92=$AR143),Schweine_Werte!$M143*0.5,IF(OR($C$92&gt;$AR143,$D$92&lt;$AR143),0,Schweine_Werte!$M143))</f>
        <v>0</v>
      </c>
      <c r="BU143" s="797">
        <f>IF(OR($C$101=$AR143,$D$101=$AR143),Schweine_Werte!$M143*0.5,IF(OR($C$101&gt;$AR143,$D$101&lt;$AR143),0,Schweine_Werte!$M143))</f>
        <v>0</v>
      </c>
      <c r="BV143" s="797">
        <f>IF(OR($C$110=$AR143,$D$110=$AR143),Schweine_Werte!$M143*0.5,IF(OR($C$110&gt;$AR143,$D$110&lt;$AR143),0,Schweine_Werte!$M143))</f>
        <v>0</v>
      </c>
      <c r="BW143" s="797">
        <f>IF(OR(8=$AR143,$E$127=$AR143),Schweine_Werte!$M143*0.5,IF(OR(8&gt;$AR143,$E$127&lt;$AR143),0,Schweine_Werte!$M143))</f>
        <v>1.4477278921508818</v>
      </c>
      <c r="BX143" s="797">
        <f>IF(OR(8=$AR143,$E$145=$AR143),Schweine_Werte!$M143*0.5,IF(OR(8&gt;$AR143,$E$145&lt;$AR143),0,Schweine_Werte!$M143))</f>
        <v>1.4477278921508818</v>
      </c>
      <c r="BY143" s="795">
        <f>IF(OR($C$74=$AR143,$D$74=$AR143),Schweine_Werte!$O143*0.5,IF(OR($C$74&gt;$AR143,$D$74&lt;$AR143),0,Schweine_Werte!$O143))</f>
        <v>0</v>
      </c>
      <c r="BZ143" s="795">
        <f>IF(OR($C$83=$AR143,$D$83=$AR143),Schweine_Werte!$O143*0.5,IF(OR($C$83&gt;$AR143,$D$83&lt;$AR143),0,Schweine_Werte!$O143))</f>
        <v>0</v>
      </c>
      <c r="CA143" s="797">
        <f>IF(OR($C$92=$AR143,$D$92=$AR143),Schweine_Werte!$O143*0.5,IF(OR($C$92&gt;$AR143,$D$92&lt;$AR143),0,Schweine_Werte!$O143))</f>
        <v>0</v>
      </c>
      <c r="CB143" s="797">
        <f>IF(OR($C$101=$AR143,$D$101=$AR143),Schweine_Werte!$O143*0.5,IF(OR($C$101&gt;$AR143,$D$101&lt;$AR143),0,Schweine_Werte!$O143))</f>
        <v>0</v>
      </c>
      <c r="CC143" s="797">
        <f>IF(OR($C$110=$AR143,$D$110=$AR143),Schweine_Werte!$O143*0.5,IF(OR($C$110&gt;$AR143,$D$110&lt;$AR143),0,Schweine_Werte!$O143))</f>
        <v>0</v>
      </c>
    </row>
    <row r="144" spans="2:81" ht="18" x14ac:dyDescent="0.3">
      <c r="B144" s="809" t="s">
        <v>7717</v>
      </c>
      <c r="C144" s="810"/>
      <c r="D144" s="811" t="s">
        <v>7744</v>
      </c>
      <c r="E144" s="812" t="s">
        <v>7660</v>
      </c>
      <c r="F144" s="747" t="s">
        <v>196</v>
      </c>
      <c r="G144" s="675" t="s">
        <v>4</v>
      </c>
      <c r="H144" s="675" t="s">
        <v>7719</v>
      </c>
      <c r="I144" s="675" t="s">
        <v>7720</v>
      </c>
      <c r="J144" s="676" t="s">
        <v>7721</v>
      </c>
      <c r="K144" s="676" t="s">
        <v>7721</v>
      </c>
      <c r="L144" s="677" t="s">
        <v>39</v>
      </c>
      <c r="M144" s="677" t="s">
        <v>7722</v>
      </c>
      <c r="N144" s="677" t="s">
        <v>41</v>
      </c>
      <c r="O144" s="678" t="s">
        <v>0</v>
      </c>
      <c r="P144" s="678" t="s">
        <v>8</v>
      </c>
      <c r="Q144" s="677" t="s">
        <v>39</v>
      </c>
      <c r="R144" s="677" t="s">
        <v>40</v>
      </c>
      <c r="S144" s="677" t="s">
        <v>41</v>
      </c>
      <c r="T144" s="677" t="s">
        <v>39</v>
      </c>
      <c r="U144" s="677" t="s">
        <v>40</v>
      </c>
      <c r="V144" s="677" t="s">
        <v>41</v>
      </c>
      <c r="W144" s="676" t="s">
        <v>7696</v>
      </c>
      <c r="X144" s="676" t="s">
        <v>7697</v>
      </c>
      <c r="Y144" s="676" t="s">
        <v>7698</v>
      </c>
      <c r="AR144" s="806">
        <v>148</v>
      </c>
      <c r="AS144" s="795">
        <f>IF(OR($C$12=$AR144,$D$12=$AR144),Schweine_Werte!$C144*0.5,IF(OR($C$12&gt;$AR144,$D$12&lt;$AR144),0,Schweine_Werte!$C144))</f>
        <v>0</v>
      </c>
      <c r="AT144" s="730">
        <f>IF(OR($C$24=$AR144,$D$24=$AR144),Schweine_Werte!$C144*0.5,IF(OR($C$24&gt;$AR144,$D$24&lt;$AR144),0,Schweine_Werte!$C144))</f>
        <v>0</v>
      </c>
      <c r="AU144" s="795">
        <f>IF(OR($C$36=$AR144,$D$36=$AR144),Schweine_Werte!$C144*0.5,IF(OR($C$36&gt;$AR144,$D$36&lt;$AR144),0,Schweine_Werte!$C144))</f>
        <v>0</v>
      </c>
      <c r="AV144" s="795">
        <f>IF(OR($C$48=$AR144,$D$48=$AR144),Schweine_Werte!$C144*0.5,IF(OR($C$48&gt;$AR144,$D$48&lt;$AR144),0,Schweine_Werte!$C144))</f>
        <v>0</v>
      </c>
      <c r="AW144" s="795">
        <f>IF(OR($C$60=$AR144,$D$60=$AR144),Schweine_Werte!$C144*0.5,IF(OR($C$60&gt;$AR144,$D$60&lt;$AR144),0,Schweine_Werte!$C144))</f>
        <v>0</v>
      </c>
      <c r="AX144" s="795">
        <f>IF(OR($C$12=$AR144,$D$12=$AR144),Schweine_Werte!$E144*0.5,IF(OR($C$12&gt;$AR144,$D$12&lt;$AR144),0,Schweine_Werte!$E144))</f>
        <v>0</v>
      </c>
      <c r="AY144" s="730">
        <f>IF(OR($C$24=$AR144,$D$24=$AR144),Schweine_Werte!$E144*0.5,IF(OR($C$24&gt;$AR144,$D$24&lt;$AR144),0,Schweine_Werte!$E144))</f>
        <v>0</v>
      </c>
      <c r="AZ144" s="730">
        <f>IF(OR($C$36=$AR144,$D$36=$AR144),Schweine_Werte!$E144*0.5,IF(OR($C$36&gt;$AR144,$D$36&lt;$AR144),0,Schweine_Werte!$E144))</f>
        <v>0</v>
      </c>
      <c r="BA144" s="730">
        <f>IF(OR($C$48=$AR144,$D$48=$AR144),Schweine_Werte!$E144*0.5,IF(OR($C$48&gt;$AR144,$D$48&lt;$AR144),0,Schweine_Werte!$E144))</f>
        <v>0</v>
      </c>
      <c r="BB144" s="730">
        <f>IF(OR($C$60=$AR144,$D$60=$AR144),Schweine_Werte!$E144*0.5,IF(OR($C$60&gt;$AR144,$D$60&lt;$AR144),0,Schweine_Werte!$E144))</f>
        <v>0</v>
      </c>
      <c r="BC144" s="795">
        <f>IF(OR($C$12=$AR144,$D$12=$AR144),Schweine_Werte!$G144*0.5,IF(OR($C$12&gt;$AR144,$D$12&lt;$AR144),0,Schweine_Werte!$G144))</f>
        <v>0</v>
      </c>
      <c r="BD144" s="730">
        <f>IF(OR($C$24=$AR144,$D$24=$AR144),Schweine_Werte!$G144*0.5,IF(OR($C$24&gt;$AR144,$D$24&lt;$AR144),0,Schweine_Werte!$G144))</f>
        <v>0</v>
      </c>
      <c r="BE144" s="730">
        <f>IF(OR($C$36=$AR144,$D$36=$AR144),Schweine_Werte!$G144*0.5,IF(OR($C$36&gt;$AR144,$D$36&lt;$AR144),0,Schweine_Werte!$G144))</f>
        <v>0</v>
      </c>
      <c r="BF144" s="730">
        <f>IF(OR($C$48=$AR144,$D$48=$AR144),Schweine_Werte!$G144*0.5,IF(OR($C$48&gt;$AR144,$D$48&lt;$AR144),0,Schweine_Werte!$G144))</f>
        <v>0</v>
      </c>
      <c r="BG144" s="730">
        <f>IF(OR($C$60=$AR144,$D$60=$AR144),Schweine_Werte!$G144*0.5,IF(OR($C$60&gt;$AR144,$D$60&lt;$AR144),0,Schweine_Werte!$G144))</f>
        <v>0</v>
      </c>
      <c r="BH144" s="795">
        <f>IF(OR($C$12=$AR144,$D$12=$AR144),Schweine_Werte!$I144*0.5,IF(OR($C$12&gt;$AR144,$D$12&lt;$AR144),0,Schweine_Werte!$I144))</f>
        <v>0</v>
      </c>
      <c r="BI144" s="730">
        <f>IF(OR($C$24=$AR144,$D$24=$AR144),Schweine_Werte!$I144*0.5,IF(OR($C$24&gt;$AR144,$D$24&lt;$AR144),0,Schweine_Werte!$I144))</f>
        <v>0</v>
      </c>
      <c r="BJ144" s="730">
        <f>IF(OR($C$36=$AR144,$D$36=$AR144),Schweine_Werte!$I144*0.5,IF(OR($C$36&gt;$AR144,$D$36&lt;$AR144),0,Schweine_Werte!$I144))</f>
        <v>0</v>
      </c>
      <c r="BK144" s="730">
        <f>IF(OR($C$48=$AR144,$D$48=$AR144),Schweine_Werte!$I144*0.5,IF(OR($C$48&gt;$AR144,$D$48&lt;$AR144),0,Schweine_Werte!$I144))</f>
        <v>0</v>
      </c>
      <c r="BL144" s="730">
        <f>IF(OR($C$60=$AR144,$D$60=$AR144),Schweine_Werte!$I144*0.5,IF(OR($C$60&gt;$AR144,$D$60&lt;$AR144),0,Schweine_Werte!$I144))</f>
        <v>0</v>
      </c>
      <c r="BM144" s="795"/>
      <c r="BN144" s="730"/>
      <c r="BO144" s="730"/>
      <c r="BP144" s="730"/>
      <c r="BQ144" s="730"/>
      <c r="BR144" s="795">
        <f>IF(OR($C$74=$AR144,$D$74=$AR144),Schweine_Werte!$M144*0.5,IF(OR($C$74&gt;$AR144,$D$74&lt;$AR144),0,Schweine_Werte!$M144))</f>
        <v>0</v>
      </c>
      <c r="BS144" s="795">
        <f>IF(OR($C$83=$AR144,$D$83=$AR144),Schweine_Werte!$M144*0.5,IF(OR($C$83&gt;$AR144,$D$83&lt;$AR144),0,Schweine_Werte!$M144))</f>
        <v>0</v>
      </c>
      <c r="BT144" s="797">
        <f>IF(OR($C$92=$AR144,$D$92=$AR144),Schweine_Werte!$M144*0.5,IF(OR($C$92&gt;$AR144,$D$92&lt;$AR144),0,Schweine_Werte!$M144))</f>
        <v>0</v>
      </c>
      <c r="BU144" s="797">
        <f>IF(OR($C$101=$AR144,$D$101=$AR144),Schweine_Werte!$M144*0.5,IF(OR($C$101&gt;$AR144,$D$101&lt;$AR144),0,Schweine_Werte!$M144))</f>
        <v>0</v>
      </c>
      <c r="BV144" s="797">
        <f>IF(OR($C$110=$AR144,$D$110=$AR144),Schweine_Werte!$M144*0.5,IF(OR($C$110&gt;$AR144,$D$110&lt;$AR144),0,Schweine_Werte!$M144))</f>
        <v>0</v>
      </c>
      <c r="BW144" s="797">
        <f>IF(OR(8=$AR144,$E$127=$AR144),Schweine_Werte!$M144*0.5,IF(OR(8&gt;$AR144,$E$127&lt;$AR144),0,Schweine_Werte!$M144))</f>
        <v>1.4477278921508818</v>
      </c>
      <c r="BX144" s="797">
        <f>IF(OR(8=$AR144,$E$145=$AR144),Schweine_Werte!$M144*0.5,IF(OR(8&gt;$AR144,$E$145&lt;$AR144),0,Schweine_Werte!$M144))</f>
        <v>1.4477278921508818</v>
      </c>
      <c r="BY144" s="795">
        <f>IF(OR($C$74=$AR144,$D$74=$AR144),Schweine_Werte!$O144*0.5,IF(OR($C$74&gt;$AR144,$D$74&lt;$AR144),0,Schweine_Werte!$O144))</f>
        <v>0</v>
      </c>
      <c r="BZ144" s="795">
        <f>IF(OR($C$83=$AR144,$D$83=$AR144),Schweine_Werte!$O144*0.5,IF(OR($C$83&gt;$AR144,$D$83&lt;$AR144),0,Schweine_Werte!$O144))</f>
        <v>0</v>
      </c>
      <c r="CA144" s="797">
        <f>IF(OR($C$92=$AR144,$D$92=$AR144),Schweine_Werte!$O144*0.5,IF(OR($C$92&gt;$AR144,$D$92&lt;$AR144),0,Schweine_Werte!$O144))</f>
        <v>0</v>
      </c>
      <c r="CB144" s="797">
        <f>IF(OR($C$101=$AR144,$D$101=$AR144),Schweine_Werte!$O144*0.5,IF(OR($C$101&gt;$AR144,$D$101&lt;$AR144),0,Schweine_Werte!$O144))</f>
        <v>0</v>
      </c>
      <c r="CC144" s="797">
        <f>IF(OR($C$110=$AR144,$D$110=$AR144),Schweine_Werte!$O144*0.5,IF(OR($C$110&gt;$AR144,$D$110&lt;$AR144),0,Schweine_Werte!$O144))</f>
        <v>0</v>
      </c>
    </row>
    <row r="145" spans="1:218" ht="15.6" x14ac:dyDescent="0.3">
      <c r="A145" t="s">
        <v>7797</v>
      </c>
      <c r="B145" s="817" t="str">
        <f>IF('Abweichende Werte'!W12=1,'Abweichende Werte'!F12,"")</f>
        <v/>
      </c>
      <c r="C145" s="817"/>
      <c r="D145" s="706" t="str">
        <f>IF('Abweichende Werte'!W12=1,'Abweichende Werte'!J12,"")</f>
        <v/>
      </c>
      <c r="E145" s="707" t="str">
        <f>IF('Abweichende Werte'!W12=1,'Abweichende Werte'!M12,"")</f>
        <v/>
      </c>
      <c r="F145" s="813" t="e">
        <f t="shared" ref="F145:K145" si="58">SUM(F137:F138)</f>
        <v>#VALUE!</v>
      </c>
      <c r="G145" s="813" t="e">
        <f t="shared" si="58"/>
        <v>#VALUE!</v>
      </c>
      <c r="H145" s="813" t="e">
        <f t="shared" si="58"/>
        <v>#VALUE!</v>
      </c>
      <c r="I145" s="813" t="e">
        <f t="shared" si="58"/>
        <v>#VALUE!</v>
      </c>
      <c r="J145" s="813" t="e">
        <f t="shared" si="58"/>
        <v>#VALUE!</v>
      </c>
      <c r="K145" s="813" t="e">
        <f t="shared" si="58"/>
        <v>#VALUE!</v>
      </c>
      <c r="L145" s="813" t="e">
        <f>Q145*365/1000+$J145-$K145</f>
        <v>#VALUE!</v>
      </c>
      <c r="M145" s="813" t="e">
        <f>R145*365/1000+$J145-$K145/2</f>
        <v>#VALUE!</v>
      </c>
      <c r="N145" s="813" t="e">
        <f>S145*365/1000+$J145</f>
        <v>#VALUE!</v>
      </c>
      <c r="O145" s="813">
        <v>5.5</v>
      </c>
      <c r="P145" s="813">
        <v>1.8</v>
      </c>
      <c r="Q145" s="813" t="e">
        <f>SUM(Q137:Q138)</f>
        <v>#VALUE!</v>
      </c>
      <c r="R145" s="813" t="e">
        <f>SUM(R137:R138)</f>
        <v>#VALUE!</v>
      </c>
      <c r="S145" s="813" t="e">
        <f>SUM(S137:S138)</f>
        <v>#VALUE!</v>
      </c>
      <c r="T145" s="813" t="e">
        <f>Q145/$F145</f>
        <v>#VALUE!</v>
      </c>
      <c r="U145" s="813" t="e">
        <f>R145/$F145</f>
        <v>#VALUE!</v>
      </c>
      <c r="V145" s="813" t="e">
        <f>S145/$F145</f>
        <v>#VALUE!</v>
      </c>
      <c r="W145" s="813" t="e">
        <f>($J145*0.055+Q145*0.365*0.86-$K145*0.018)/L145*100</f>
        <v>#VALUE!</v>
      </c>
      <c r="X145" s="813" t="e">
        <f>($J145*0.055+R145*0.365*0.86-$K145*0.018/2)/M145*100</f>
        <v>#VALUE!</v>
      </c>
      <c r="Y145" s="813" t="e">
        <f>($J145*0.055+S145*0.365*0.86)/N145*100</f>
        <v>#VALUE!</v>
      </c>
      <c r="AR145" s="806">
        <v>149</v>
      </c>
      <c r="AS145" s="795">
        <f>IF(OR($C$12=$AR145,$D$12=$AR145),Schweine_Werte!$C145*0.5,IF(OR($C$12&gt;$AR145,$D$12&lt;$AR145),0,Schweine_Werte!$C145))</f>
        <v>0</v>
      </c>
      <c r="AT145" s="730">
        <f>IF(OR($C$24=$AR145,$D$24=$AR145),Schweine_Werte!$C145*0.5,IF(OR($C$24&gt;$AR145,$D$24&lt;$AR145),0,Schweine_Werte!$C145))</f>
        <v>0</v>
      </c>
      <c r="AU145" s="795">
        <f>IF(OR($C$36=$AR145,$D$36=$AR145),Schweine_Werte!$C145*0.5,IF(OR($C$36&gt;$AR145,$D$36&lt;$AR145),0,Schweine_Werte!$C145))</f>
        <v>0</v>
      </c>
      <c r="AV145" s="795">
        <f>IF(OR($C$48=$AR145,$D$48=$AR145),Schweine_Werte!$C145*0.5,IF(OR($C$48&gt;$AR145,$D$48&lt;$AR145),0,Schweine_Werte!$C145))</f>
        <v>0</v>
      </c>
      <c r="AW145" s="795">
        <f>IF(OR($C$60=$AR145,$D$60=$AR145),Schweine_Werte!$C145*0.5,IF(OR($C$60&gt;$AR145,$D$60&lt;$AR145),0,Schweine_Werte!$C145))</f>
        <v>0</v>
      </c>
      <c r="AX145" s="795">
        <f>IF(OR($C$12=$AR145,$D$12=$AR145),Schweine_Werte!$E145*0.5,IF(OR($C$12&gt;$AR145,$D$12&lt;$AR145),0,Schweine_Werte!$E145))</f>
        <v>0</v>
      </c>
      <c r="AY145" s="730">
        <f>IF(OR($C$24=$AR145,$D$24=$AR145),Schweine_Werte!$E145*0.5,IF(OR($C$24&gt;$AR145,$D$24&lt;$AR145),0,Schweine_Werte!$E145))</f>
        <v>0</v>
      </c>
      <c r="AZ145" s="730">
        <f>IF(OR($C$36=$AR145,$D$36=$AR145),Schweine_Werte!$E145*0.5,IF(OR($C$36&gt;$AR145,$D$36&lt;$AR145),0,Schweine_Werte!$E145))</f>
        <v>0</v>
      </c>
      <c r="BA145" s="730">
        <f>IF(OR($C$48=$AR145,$D$48=$AR145),Schweine_Werte!$E145*0.5,IF(OR($C$48&gt;$AR145,$D$48&lt;$AR145),0,Schweine_Werte!$E145))</f>
        <v>0</v>
      </c>
      <c r="BB145" s="730">
        <f>IF(OR($C$60=$AR145,$D$60=$AR145),Schweine_Werte!$E145*0.5,IF(OR($C$60&gt;$AR145,$D$60&lt;$AR145),0,Schweine_Werte!$E145))</f>
        <v>0</v>
      </c>
      <c r="BC145" s="795">
        <f>IF(OR($C$12=$AR145,$D$12=$AR145),Schweine_Werte!$G145*0.5,IF(OR($C$12&gt;$AR145,$D$12&lt;$AR145),0,Schweine_Werte!$G145))</f>
        <v>0</v>
      </c>
      <c r="BD145" s="730">
        <f>IF(OR($C$24=$AR145,$D$24=$AR145),Schweine_Werte!$G145*0.5,IF(OR($C$24&gt;$AR145,$D$24&lt;$AR145),0,Schweine_Werte!$G145))</f>
        <v>0</v>
      </c>
      <c r="BE145" s="730">
        <f>IF(OR($C$36=$AR145,$D$36=$AR145),Schweine_Werte!$G145*0.5,IF(OR($C$36&gt;$AR145,$D$36&lt;$AR145),0,Schweine_Werte!$G145))</f>
        <v>0</v>
      </c>
      <c r="BF145" s="730">
        <f>IF(OR($C$48=$AR145,$D$48=$AR145),Schweine_Werte!$G145*0.5,IF(OR($C$48&gt;$AR145,$D$48&lt;$AR145),0,Schweine_Werte!$G145))</f>
        <v>0</v>
      </c>
      <c r="BG145" s="730">
        <f>IF(OR($C$60=$AR145,$D$60=$AR145),Schweine_Werte!$G145*0.5,IF(OR($C$60&gt;$AR145,$D$60&lt;$AR145),0,Schweine_Werte!$G145))</f>
        <v>0</v>
      </c>
      <c r="BH145" s="795">
        <f>IF(OR($C$12=$AR145,$D$12=$AR145),Schweine_Werte!$I145*0.5,IF(OR($C$12&gt;$AR145,$D$12&lt;$AR145),0,Schweine_Werte!$I145))</f>
        <v>0</v>
      </c>
      <c r="BI145" s="730">
        <f>IF(OR($C$24=$AR145,$D$24=$AR145),Schweine_Werte!$I145*0.5,IF(OR($C$24&gt;$AR145,$D$24&lt;$AR145),0,Schweine_Werte!$I145))</f>
        <v>0</v>
      </c>
      <c r="BJ145" s="730">
        <f>IF(OR($C$36=$AR145,$D$36=$AR145),Schweine_Werte!$I145*0.5,IF(OR($C$36&gt;$AR145,$D$36&lt;$AR145),0,Schweine_Werte!$I145))</f>
        <v>0</v>
      </c>
      <c r="BK145" s="730">
        <f>IF(OR($C$48=$AR145,$D$48=$AR145),Schweine_Werte!$I145*0.5,IF(OR($C$48&gt;$AR145,$D$48&lt;$AR145),0,Schweine_Werte!$I145))</f>
        <v>0</v>
      </c>
      <c r="BL145" s="730">
        <f>IF(OR($C$60=$AR145,$D$60=$AR145),Schweine_Werte!$I145*0.5,IF(OR($C$60&gt;$AR145,$D$60&lt;$AR145),0,Schweine_Werte!$I145))</f>
        <v>0</v>
      </c>
      <c r="BM145" s="795"/>
      <c r="BN145" s="730"/>
      <c r="BO145" s="730"/>
      <c r="BP145" s="730"/>
      <c r="BQ145" s="730"/>
      <c r="BR145" s="795">
        <f>IF(OR($C$74=$AR145,$D$74=$AR145),Schweine_Werte!$M145*0.5,IF(OR($C$74&gt;$AR145,$D$74&lt;$AR145),0,Schweine_Werte!$M145))</f>
        <v>0</v>
      </c>
      <c r="BS145" s="795">
        <f>IF(OR($C$83=$AR145,$D$83=$AR145),Schweine_Werte!$M145*0.5,IF(OR($C$83&gt;$AR145,$D$83&lt;$AR145),0,Schweine_Werte!$M145))</f>
        <v>0</v>
      </c>
      <c r="BT145" s="797">
        <f>IF(OR($C$92=$AR145,$D$92=$AR145),Schweine_Werte!$M145*0.5,IF(OR($C$92&gt;$AR145,$D$92&lt;$AR145),0,Schweine_Werte!$M145))</f>
        <v>0</v>
      </c>
      <c r="BU145" s="797">
        <f>IF(OR($C$101=$AR145,$D$101=$AR145),Schweine_Werte!$M145*0.5,IF(OR($C$101&gt;$AR145,$D$101&lt;$AR145),0,Schweine_Werte!$M145))</f>
        <v>0</v>
      </c>
      <c r="BV145" s="797">
        <f>IF(OR($C$110=$AR145,$D$110=$AR145),Schweine_Werte!$M145*0.5,IF(OR($C$110&gt;$AR145,$D$110&lt;$AR145),0,Schweine_Werte!$M145))</f>
        <v>0</v>
      </c>
      <c r="BW145" s="797">
        <f>IF(OR(8=$AR145,$E$127=$AR145),Schweine_Werte!$M145*0.5,IF(OR(8&gt;$AR145,$E$127&lt;$AR145),0,Schweine_Werte!$M145))</f>
        <v>1.4477278921508818</v>
      </c>
      <c r="BX145" s="797">
        <f>IF(OR(8=$AR145,$E$145=$AR145),Schweine_Werte!$M145*0.5,IF(OR(8&gt;$AR145,$E$145&lt;$AR145),0,Schweine_Werte!$M145))</f>
        <v>1.4477278921508818</v>
      </c>
      <c r="BY145" s="795">
        <f>IF(OR($C$74=$AR145,$D$74=$AR145),Schweine_Werte!$O145*0.5,IF(OR($C$74&gt;$AR145,$D$74&lt;$AR145),0,Schweine_Werte!$O145))</f>
        <v>0</v>
      </c>
      <c r="BZ145" s="795">
        <f>IF(OR($C$83=$AR145,$D$83=$AR145),Schweine_Werte!$O145*0.5,IF(OR($C$83&gt;$AR145,$D$83&lt;$AR145),0,Schweine_Werte!$O145))</f>
        <v>0</v>
      </c>
      <c r="CA145" s="797">
        <f>IF(OR($C$92=$AR145,$D$92=$AR145),Schweine_Werte!$O145*0.5,IF(OR($C$92&gt;$AR145,$D$92&lt;$AR145),0,Schweine_Werte!$O145))</f>
        <v>0</v>
      </c>
      <c r="CB145" s="797">
        <f>IF(OR($C$101=$AR145,$D$101=$AR145),Schweine_Werte!$O145*0.5,IF(OR($C$101&gt;$AR145,$D$101&lt;$AR145),0,Schweine_Werte!$O145))</f>
        <v>0</v>
      </c>
      <c r="CC145" s="797">
        <f>IF(OR($C$110=$AR145,$D$110=$AR145),Schweine_Werte!$O145*0.5,IF(OR($C$110&gt;$AR145,$D$110&lt;$AR145),0,Schweine_Werte!$O145))</f>
        <v>0</v>
      </c>
    </row>
    <row r="146" spans="1:218" x14ac:dyDescent="0.25">
      <c r="AR146" s="806">
        <v>150</v>
      </c>
      <c r="AS146" s="795">
        <f>IF(OR($C$12=$AR146,$D$12=$AR146),Schweine_Werte!$C146*0.5,IF(OR($C$12&gt;$AR146,$D$12&lt;$AR146),0,Schweine_Werte!$C146))</f>
        <v>0</v>
      </c>
      <c r="AT146" s="730">
        <f>IF(OR($C$24=$AR146,$D$24=$AR146),Schweine_Werte!$C146*0.5,IF(OR($C$24&gt;$AR146,$D$24&lt;$AR146),0,Schweine_Werte!$C146))</f>
        <v>0</v>
      </c>
      <c r="AU146" s="795">
        <f>IF(OR($C$36=$AR146,$D$36=$AR146),Schweine_Werte!$C146*0.5,IF(OR($C$36&gt;$AR146,$D$36&lt;$AR146),0,Schweine_Werte!$C146))</f>
        <v>0</v>
      </c>
      <c r="AV146" s="795">
        <f>IF(OR($C$48=$AR146,$D$48=$AR146),Schweine_Werte!$C146*0.5,IF(OR($C$48&gt;$AR146,$D$48&lt;$AR146),0,Schweine_Werte!$C146))</f>
        <v>0</v>
      </c>
      <c r="AW146" s="795">
        <f>IF(OR($C$60=$AR146,$D$60=$AR146),Schweine_Werte!$C146*0.5,IF(OR($C$60&gt;$AR146,$D$60&lt;$AR146),0,Schweine_Werte!$C146))</f>
        <v>0</v>
      </c>
      <c r="AX146" s="795">
        <f>IF(OR($C$12=$AR146,$D$12=$AR146),Schweine_Werte!$E146*0.5,IF(OR($C$12&gt;$AR146,$D$12&lt;$AR146),0,Schweine_Werte!$E146))</f>
        <v>0</v>
      </c>
      <c r="AY146" s="730">
        <f>IF(OR($C$24=$AR146,$D$24=$AR146),Schweine_Werte!$E146*0.5,IF(OR($C$24&gt;$AR146,$D$24&lt;$AR146),0,Schweine_Werte!$E146))</f>
        <v>0</v>
      </c>
      <c r="AZ146" s="730">
        <f>IF(OR($C$36=$AR146,$D$36=$AR146),Schweine_Werte!$E146*0.5,IF(OR($C$36&gt;$AR146,$D$36&lt;$AR146),0,Schweine_Werte!$E146))</f>
        <v>0</v>
      </c>
      <c r="BA146" s="730">
        <f>IF(OR($C$48=$AR146,$D$48=$AR146),Schweine_Werte!$E146*0.5,IF(OR($C$48&gt;$AR146,$D$48&lt;$AR146),0,Schweine_Werte!$E146))</f>
        <v>0</v>
      </c>
      <c r="BB146" s="730">
        <f>IF(OR($C$60=$AR146,$D$60=$AR146),Schweine_Werte!$E146*0.5,IF(OR($C$60&gt;$AR146,$D$60&lt;$AR146),0,Schweine_Werte!$E146))</f>
        <v>0</v>
      </c>
      <c r="BC146" s="795">
        <f>IF(OR($C$12=$AR146,$D$12=$AR146),Schweine_Werte!$G146*0.5,IF(OR($C$12&gt;$AR146,$D$12&lt;$AR146),0,Schweine_Werte!$G146))</f>
        <v>0</v>
      </c>
      <c r="BD146" s="730">
        <f>IF(OR($C$24=$AR146,$D$24=$AR146),Schweine_Werte!$G146*0.5,IF(OR($C$24&gt;$AR146,$D$24&lt;$AR146),0,Schweine_Werte!$G146))</f>
        <v>0</v>
      </c>
      <c r="BE146" s="730">
        <f>IF(OR($C$36=$AR146,$D$36=$AR146),Schweine_Werte!$G146*0.5,IF(OR($C$36&gt;$AR146,$D$36&lt;$AR146),0,Schweine_Werte!$G146))</f>
        <v>0</v>
      </c>
      <c r="BF146" s="730">
        <f>IF(OR($C$48=$AR146,$D$48=$AR146),Schweine_Werte!$G146*0.5,IF(OR($C$48&gt;$AR146,$D$48&lt;$AR146),0,Schweine_Werte!$G146))</f>
        <v>0</v>
      </c>
      <c r="BG146" s="730">
        <f>IF(OR($C$60=$AR146,$D$60=$AR146),Schweine_Werte!$G146*0.5,IF(OR($C$60&gt;$AR146,$D$60&lt;$AR146),0,Schweine_Werte!$G146))</f>
        <v>0</v>
      </c>
      <c r="BH146" s="795">
        <f>IF(OR($C$12=$AR146,$D$12=$AR146),Schweine_Werte!$I146*0.5,IF(OR($C$12&gt;$AR146,$D$12&lt;$AR146),0,Schweine_Werte!$I146))</f>
        <v>0</v>
      </c>
      <c r="BI146" s="730">
        <f>IF(OR($C$24=$AR146,$D$24=$AR146),Schweine_Werte!$I146*0.5,IF(OR($C$24&gt;$AR146,$D$24&lt;$AR146),0,Schweine_Werte!$I146))</f>
        <v>0</v>
      </c>
      <c r="BJ146" s="730">
        <f>IF(OR($C$36=$AR146,$D$36=$AR146),Schweine_Werte!$I146*0.5,IF(OR($C$36&gt;$AR146,$D$36&lt;$AR146),0,Schweine_Werte!$I146))</f>
        <v>0</v>
      </c>
      <c r="BK146" s="730">
        <f>IF(OR($C$48=$AR146,$D$48=$AR146),Schweine_Werte!$I146*0.5,IF(OR($C$48&gt;$AR146,$D$48&lt;$AR146),0,Schweine_Werte!$I146))</f>
        <v>0</v>
      </c>
      <c r="BL146" s="730">
        <f>IF(OR($C$60=$AR146,$D$60=$AR146),Schweine_Werte!$I146*0.5,IF(OR($C$60&gt;$AR146,$D$60&lt;$AR146),0,Schweine_Werte!$I146))</f>
        <v>0</v>
      </c>
      <c r="BM146" s="795"/>
      <c r="BN146" s="730"/>
      <c r="BO146" s="730"/>
      <c r="BP146" s="730"/>
      <c r="BQ146" s="730"/>
      <c r="BR146" s="795">
        <f>IF(OR($C$74=$AR146,$D$74=$AR146),Schweine_Werte!$M146*0.5,IF(OR($C$74&gt;$AR146,$D$74&lt;$AR146),0,Schweine_Werte!$M146))</f>
        <v>0</v>
      </c>
      <c r="BS146" s="795">
        <f>IF(OR($C$83=$AR146,$D$83=$AR146),Schweine_Werte!$M146*0.5,IF(OR($C$83&gt;$AR146,$D$83&lt;$AR146),0,Schweine_Werte!$M146))</f>
        <v>0</v>
      </c>
      <c r="BT146" s="797">
        <f>IF(OR($C$92=$AR146,$D$92=$AR146),Schweine_Werte!$M146*0.5,IF(OR($C$92&gt;$AR146,$D$92&lt;$AR146),0,Schweine_Werte!$M146))</f>
        <v>0</v>
      </c>
      <c r="BU146" s="797">
        <f>IF(OR($C$101=$AR146,$D$101=$AR146),Schweine_Werte!$M146*0.5,IF(OR($C$101&gt;$AR146,$D$101&lt;$AR146),0,Schweine_Werte!$M146))</f>
        <v>0</v>
      </c>
      <c r="BV146" s="797">
        <f>IF(OR($C$110=$AR146,$D$110=$AR146),Schweine_Werte!$M146*0.5,IF(OR($C$110&gt;$AR146,$D$110&lt;$AR146),0,Schweine_Werte!$M146))</f>
        <v>0</v>
      </c>
      <c r="BW146" s="797">
        <f>IF(OR(8=$AR146,$E$127=$AR146),Schweine_Werte!$M146*0.5,IF(OR(8&gt;$AR146,$E$127&lt;$AR146),0,Schweine_Werte!$M146))</f>
        <v>1.4477278921508818</v>
      </c>
      <c r="BX146" s="797">
        <f>IF(OR(8=$AR146,$E$145=$AR146),Schweine_Werte!$M146*0.5,IF(OR(8&gt;$AR146,$E$145&lt;$AR146),0,Schweine_Werte!$M146))</f>
        <v>1.4477278921508818</v>
      </c>
      <c r="BY146" s="795">
        <f>IF(OR($C$74=$AR146,$D$74=$AR146),Schweine_Werte!$O146*0.5,IF(OR($C$74&gt;$AR146,$D$74&lt;$AR146),0,Schweine_Werte!$O146))</f>
        <v>0</v>
      </c>
      <c r="BZ146" s="795">
        <f>IF(OR($C$83=$AR146,$D$83=$AR146),Schweine_Werte!$O146*0.5,IF(OR($C$83&gt;$AR146,$D$83&lt;$AR146),0,Schweine_Werte!$O146))</f>
        <v>0</v>
      </c>
      <c r="CA146" s="797">
        <f>IF(OR($C$92=$AR146,$D$92=$AR146),Schweine_Werte!$O146*0.5,IF(OR($C$92&gt;$AR146,$D$92&lt;$AR146),0,Schweine_Werte!$O146))</f>
        <v>0</v>
      </c>
      <c r="CB146" s="797">
        <f>IF(OR($C$101=$AR146,$D$101=$AR146),Schweine_Werte!$O146*0.5,IF(OR($C$101&gt;$AR146,$D$101&lt;$AR146),0,Schweine_Werte!$O146))</f>
        <v>0</v>
      </c>
      <c r="CC146" s="797">
        <f>IF(OR($C$110=$AR146,$D$110=$AR146),Schweine_Werte!$O146*0.5,IF(OR($C$110&gt;$AR146,$D$110&lt;$AR146),0,Schweine_Werte!$O146))</f>
        <v>0</v>
      </c>
    </row>
    <row r="147" spans="1:218" x14ac:dyDescent="0.25">
      <c r="AS147" s="795"/>
      <c r="AT147" s="795"/>
      <c r="AU147" s="795"/>
      <c r="AV147" s="795"/>
      <c r="AW147" s="795"/>
      <c r="CN147" s="795"/>
      <c r="CO147" s="795"/>
      <c r="CP147" s="795"/>
      <c r="CQ147" s="795"/>
      <c r="CR147" s="795"/>
      <c r="CS147" s="795"/>
      <c r="CT147" s="795"/>
      <c r="CU147" s="795"/>
      <c r="CV147" s="795"/>
      <c r="CW147" s="795"/>
      <c r="CX147" s="795"/>
      <c r="CY147" s="795"/>
      <c r="CZ147" s="795"/>
      <c r="DA147" s="795"/>
      <c r="DB147" s="795"/>
      <c r="DC147" s="795"/>
      <c r="DD147" s="795"/>
      <c r="DE147" s="795"/>
      <c r="DF147" s="795"/>
      <c r="DG147" s="795"/>
      <c r="DH147" s="795"/>
      <c r="DI147" s="795"/>
      <c r="DJ147" s="795"/>
      <c r="DK147" s="795"/>
      <c r="DL147" s="795"/>
      <c r="DM147" s="795"/>
      <c r="DN147" s="795"/>
      <c r="DO147" s="795"/>
      <c r="DP147" s="795"/>
      <c r="DQ147" s="795"/>
      <c r="DR147" s="795"/>
      <c r="DS147" s="795"/>
      <c r="DT147" s="795"/>
      <c r="DU147" s="795"/>
      <c r="DV147" s="795"/>
      <c r="DW147" s="795"/>
      <c r="DX147" s="795"/>
      <c r="DY147" s="795"/>
      <c r="DZ147" s="795"/>
      <c r="EA147" s="795"/>
      <c r="EB147" s="795"/>
      <c r="EC147" s="795"/>
      <c r="ED147" s="795"/>
      <c r="EE147" s="795"/>
      <c r="EF147" s="795"/>
      <c r="EG147" s="795"/>
      <c r="EH147" s="795"/>
      <c r="EI147" s="795"/>
      <c r="EJ147" s="795"/>
      <c r="EK147" s="795"/>
      <c r="EL147" s="795"/>
      <c r="EM147" s="795"/>
      <c r="EN147" s="795"/>
      <c r="EO147" s="795"/>
      <c r="EP147" s="795"/>
      <c r="EQ147" s="795"/>
      <c r="ER147" s="795"/>
      <c r="ES147" s="795"/>
      <c r="ET147" s="795"/>
      <c r="EU147" s="795"/>
      <c r="EV147" s="795"/>
      <c r="EW147" s="795"/>
      <c r="EX147" s="795"/>
      <c r="EY147" s="795"/>
      <c r="EZ147" s="795"/>
      <c r="FA147" s="795"/>
      <c r="FB147" s="795"/>
      <c r="FC147" s="795"/>
      <c r="FD147" s="795"/>
      <c r="FE147" s="795"/>
      <c r="FF147" s="795"/>
      <c r="FG147" s="795"/>
      <c r="FH147" s="795"/>
      <c r="FI147" s="795"/>
      <c r="FJ147" s="795"/>
      <c r="FK147" s="795"/>
      <c r="FL147" s="795"/>
      <c r="FM147" s="795"/>
      <c r="FN147" s="795"/>
      <c r="FO147" s="795"/>
      <c r="FP147" s="795"/>
      <c r="FQ147" s="795"/>
      <c r="FR147" s="795"/>
      <c r="FS147" s="795"/>
      <c r="FT147" s="795"/>
      <c r="FU147" s="795"/>
      <c r="FV147" s="795"/>
      <c r="FW147" s="795"/>
      <c r="FX147" s="795"/>
      <c r="FY147" s="795"/>
      <c r="FZ147" s="795"/>
      <c r="GA147" s="795"/>
      <c r="GB147" s="795"/>
      <c r="GC147" s="795"/>
      <c r="GD147" s="795"/>
      <c r="GE147" s="795"/>
      <c r="GF147" s="795"/>
      <c r="GG147" s="795"/>
      <c r="GH147" s="795"/>
      <c r="GI147" s="795"/>
      <c r="GJ147" s="795"/>
      <c r="GK147" s="795"/>
      <c r="GL147" s="795"/>
      <c r="GM147" s="795"/>
      <c r="GN147" s="795"/>
      <c r="GO147" s="795"/>
      <c r="GP147" s="795"/>
      <c r="GQ147" s="795"/>
      <c r="GR147" s="795"/>
      <c r="GS147" s="795"/>
      <c r="GT147" s="795"/>
      <c r="GU147" s="795"/>
      <c r="GV147" s="795"/>
      <c r="GW147" s="795"/>
      <c r="GX147" s="795"/>
      <c r="GY147" s="795"/>
      <c r="GZ147" s="795"/>
      <c r="HA147" s="795"/>
      <c r="HB147" s="795"/>
      <c r="HC147" s="795"/>
      <c r="HD147" s="795"/>
      <c r="HE147" s="795"/>
      <c r="HF147" s="795"/>
      <c r="HG147" s="795"/>
      <c r="HH147" s="795"/>
      <c r="HI147" s="795"/>
      <c r="HJ147" s="795"/>
    </row>
    <row r="148" spans="1:218" x14ac:dyDescent="0.25">
      <c r="AS148" s="795"/>
      <c r="AT148" s="795"/>
      <c r="AU148" s="795"/>
      <c r="AV148" s="795"/>
      <c r="AW148" s="795"/>
      <c r="CN148" s="795"/>
      <c r="CO148" s="795"/>
      <c r="CP148" s="795"/>
      <c r="CQ148" s="795"/>
      <c r="CR148" s="795"/>
      <c r="CS148" s="795"/>
      <c r="CT148" s="795"/>
      <c r="CU148" s="795"/>
      <c r="CV148" s="795"/>
      <c r="CW148" s="795"/>
      <c r="CX148" s="795"/>
      <c r="CY148" s="795"/>
      <c r="CZ148" s="795"/>
      <c r="DA148" s="795"/>
      <c r="DB148" s="795"/>
      <c r="DC148" s="795"/>
      <c r="DD148" s="795"/>
      <c r="DE148" s="795"/>
      <c r="DF148" s="795"/>
      <c r="DG148" s="795"/>
      <c r="DH148" s="795"/>
      <c r="DI148" s="795"/>
      <c r="DJ148" s="795"/>
      <c r="DK148" s="795"/>
      <c r="DL148" s="795"/>
      <c r="DM148" s="795"/>
      <c r="DN148" s="795"/>
      <c r="DO148" s="795"/>
      <c r="DP148" s="795"/>
      <c r="DQ148" s="795"/>
      <c r="DR148" s="795"/>
      <c r="DS148" s="795"/>
      <c r="DT148" s="795"/>
      <c r="DU148" s="795"/>
      <c r="DV148" s="795"/>
      <c r="DW148" s="795"/>
      <c r="DX148" s="795"/>
      <c r="DY148" s="795"/>
      <c r="DZ148" s="795"/>
      <c r="EA148" s="795"/>
      <c r="EB148" s="795"/>
      <c r="EC148" s="795"/>
      <c r="ED148" s="795"/>
      <c r="EE148" s="795"/>
      <c r="EF148" s="795"/>
      <c r="EG148" s="795"/>
      <c r="EH148" s="795"/>
      <c r="EI148" s="795"/>
      <c r="EJ148" s="795"/>
      <c r="EK148" s="795"/>
      <c r="EL148" s="795"/>
      <c r="EM148" s="795"/>
      <c r="EN148" s="795"/>
      <c r="EO148" s="795"/>
      <c r="EP148" s="795"/>
      <c r="EQ148" s="795"/>
      <c r="ER148" s="795"/>
      <c r="ES148" s="795"/>
      <c r="ET148" s="795"/>
      <c r="EU148" s="795"/>
      <c r="EV148" s="795"/>
      <c r="EW148" s="795"/>
      <c r="EX148" s="795"/>
      <c r="EY148" s="795"/>
      <c r="EZ148" s="795"/>
      <c r="FA148" s="795"/>
      <c r="FB148" s="795"/>
      <c r="FC148" s="795"/>
      <c r="FD148" s="795"/>
      <c r="FE148" s="795"/>
      <c r="FF148" s="795"/>
      <c r="FG148" s="795"/>
      <c r="FH148" s="795"/>
      <c r="FI148" s="795"/>
      <c r="FJ148" s="795"/>
      <c r="FK148" s="795"/>
      <c r="FL148" s="795"/>
      <c r="FM148" s="795"/>
      <c r="FN148" s="795"/>
      <c r="FO148" s="795"/>
      <c r="FP148" s="795"/>
      <c r="FQ148" s="795"/>
      <c r="FR148" s="795"/>
      <c r="FS148" s="795"/>
      <c r="FT148" s="795"/>
      <c r="FU148" s="795"/>
      <c r="FV148" s="795"/>
      <c r="FW148" s="795"/>
      <c r="FX148" s="795"/>
      <c r="FY148" s="795"/>
      <c r="FZ148" s="795"/>
      <c r="GA148" s="795"/>
      <c r="GB148" s="795"/>
      <c r="GC148" s="795"/>
      <c r="GD148" s="795"/>
      <c r="GE148" s="795"/>
      <c r="GF148" s="795"/>
      <c r="GG148" s="795"/>
      <c r="GH148" s="795"/>
      <c r="GI148" s="795"/>
      <c r="GJ148" s="795"/>
      <c r="GK148" s="795"/>
      <c r="GL148" s="795"/>
      <c r="GM148" s="795"/>
      <c r="GN148" s="795"/>
      <c r="GO148" s="795"/>
      <c r="GP148" s="795"/>
      <c r="GQ148" s="795"/>
      <c r="GR148" s="795"/>
      <c r="GS148" s="795"/>
      <c r="GT148" s="795"/>
      <c r="GU148" s="795"/>
      <c r="GV148" s="795"/>
      <c r="GW148" s="795"/>
      <c r="GX148" s="795"/>
      <c r="GY148" s="795"/>
      <c r="GZ148" s="795"/>
      <c r="HA148" s="795"/>
      <c r="HB148" s="795"/>
      <c r="HC148" s="795"/>
      <c r="HD148" s="795"/>
      <c r="HE148" s="795"/>
      <c r="HF148" s="795"/>
      <c r="HG148" s="795"/>
      <c r="HH148" s="795"/>
      <c r="HI148" s="795"/>
      <c r="HJ148" s="795"/>
    </row>
    <row r="149" spans="1:218" x14ac:dyDescent="0.25">
      <c r="CN149" s="795"/>
      <c r="CO149" s="795"/>
      <c r="CP149" s="795"/>
      <c r="CQ149" s="795"/>
      <c r="CR149" s="795"/>
      <c r="CS149" s="795"/>
      <c r="CT149" s="795"/>
      <c r="CU149" s="795"/>
      <c r="CV149" s="795"/>
      <c r="CW149" s="795"/>
      <c r="CX149" s="795"/>
      <c r="CY149" s="795"/>
      <c r="CZ149" s="795"/>
      <c r="DA149" s="795"/>
      <c r="DB149" s="795"/>
      <c r="DC149" s="795"/>
      <c r="DD149" s="795"/>
      <c r="DE149" s="795"/>
      <c r="DF149" s="795"/>
      <c r="DG149" s="795"/>
      <c r="DH149" s="795"/>
      <c r="DI149" s="795"/>
      <c r="DJ149" s="795"/>
      <c r="DK149" s="795"/>
      <c r="DL149" s="795"/>
      <c r="DM149" s="795"/>
      <c r="DN149" s="795"/>
      <c r="DO149" s="795"/>
      <c r="DP149" s="795"/>
      <c r="DQ149" s="795"/>
      <c r="DR149" s="795"/>
      <c r="DS149" s="795"/>
      <c r="DT149" s="795"/>
      <c r="DU149" s="795"/>
      <c r="DV149" s="795"/>
      <c r="DW149" s="795"/>
      <c r="DX149" s="795"/>
      <c r="DY149" s="795"/>
      <c r="DZ149" s="795"/>
      <c r="EA149" s="795"/>
      <c r="EB149" s="795"/>
      <c r="EC149" s="795"/>
      <c r="ED149" s="795"/>
      <c r="EE149" s="795"/>
      <c r="EF149" s="795"/>
      <c r="EG149" s="795"/>
      <c r="EH149" s="795"/>
      <c r="EI149" s="795"/>
      <c r="EJ149" s="795"/>
      <c r="EK149" s="795"/>
      <c r="EL149" s="795"/>
      <c r="EM149" s="795"/>
      <c r="EN149" s="795"/>
      <c r="EO149" s="795"/>
      <c r="EP149" s="795"/>
      <c r="EQ149" s="795"/>
      <c r="ER149" s="795"/>
      <c r="ES149" s="795"/>
      <c r="ET149" s="795"/>
      <c r="EU149" s="795"/>
      <c r="EV149" s="795"/>
      <c r="EW149" s="795"/>
      <c r="EX149" s="795"/>
      <c r="EY149" s="795"/>
      <c r="EZ149" s="795"/>
      <c r="FA149" s="795"/>
      <c r="FB149" s="795"/>
      <c r="FC149" s="795"/>
      <c r="FD149" s="795"/>
      <c r="FE149" s="795"/>
      <c r="FF149" s="795"/>
      <c r="FG149" s="795"/>
      <c r="FH149" s="795"/>
      <c r="FI149" s="795"/>
      <c r="FJ149" s="795"/>
      <c r="FK149" s="795"/>
      <c r="FL149" s="795"/>
      <c r="FM149" s="795"/>
      <c r="FN149" s="795"/>
      <c r="FO149" s="795"/>
      <c r="FP149" s="795"/>
      <c r="FQ149" s="795"/>
      <c r="FR149" s="795"/>
      <c r="FS149" s="795"/>
      <c r="FT149" s="795"/>
      <c r="FU149" s="795"/>
      <c r="FV149" s="795"/>
      <c r="FW149" s="795"/>
      <c r="FX149" s="795"/>
      <c r="FY149" s="795"/>
      <c r="FZ149" s="795"/>
      <c r="GA149" s="795"/>
      <c r="GB149" s="795"/>
      <c r="GC149" s="795"/>
      <c r="GD149" s="795"/>
      <c r="GE149" s="795"/>
      <c r="GF149" s="795"/>
      <c r="GG149" s="795"/>
      <c r="GH149" s="795"/>
      <c r="GI149" s="795"/>
      <c r="GJ149" s="795"/>
      <c r="GK149" s="795"/>
      <c r="GL149" s="795"/>
      <c r="GM149" s="795"/>
      <c r="GN149" s="795"/>
      <c r="GO149" s="795"/>
      <c r="GP149" s="795"/>
      <c r="GQ149" s="795"/>
      <c r="GR149" s="795"/>
      <c r="GS149" s="795"/>
      <c r="GT149" s="795"/>
      <c r="GU149" s="795"/>
      <c r="GV149" s="795"/>
      <c r="GW149" s="795"/>
      <c r="GX149" s="795"/>
      <c r="GY149" s="795"/>
      <c r="GZ149" s="795"/>
      <c r="HA149" s="795"/>
      <c r="HB149" s="795"/>
      <c r="HC149" s="795"/>
      <c r="HD149" s="795"/>
      <c r="HE149" s="795"/>
      <c r="HF149" s="795"/>
      <c r="HG149" s="795"/>
      <c r="HH149" s="795"/>
      <c r="HI149" s="795"/>
      <c r="HJ149" s="795"/>
    </row>
    <row r="150" spans="1:218" x14ac:dyDescent="0.25">
      <c r="CN150" s="795"/>
      <c r="CO150" s="795"/>
      <c r="CP150" s="795"/>
      <c r="CQ150" s="795"/>
      <c r="CR150" s="795"/>
      <c r="CS150" s="795"/>
      <c r="CT150" s="795"/>
      <c r="CU150" s="795"/>
      <c r="CV150" s="795"/>
      <c r="CW150" s="795"/>
      <c r="CX150" s="795"/>
      <c r="CY150" s="795"/>
      <c r="CZ150" s="795"/>
      <c r="DA150" s="795"/>
      <c r="DB150" s="795"/>
      <c r="DC150" s="795"/>
      <c r="DD150" s="795"/>
      <c r="DE150" s="795"/>
      <c r="DF150" s="795"/>
      <c r="DG150" s="795"/>
      <c r="DH150" s="795"/>
      <c r="DI150" s="795"/>
      <c r="DJ150" s="795"/>
      <c r="DK150" s="795"/>
      <c r="DL150" s="795"/>
      <c r="DM150" s="795"/>
      <c r="DN150" s="795"/>
      <c r="DO150" s="795"/>
      <c r="DP150" s="795"/>
      <c r="DQ150" s="795"/>
      <c r="DR150" s="795"/>
      <c r="DS150" s="795"/>
      <c r="DT150" s="795"/>
      <c r="DU150" s="795"/>
      <c r="DV150" s="795"/>
      <c r="DW150" s="795"/>
      <c r="DX150" s="795"/>
      <c r="DY150" s="795"/>
      <c r="DZ150" s="795"/>
      <c r="EA150" s="795"/>
      <c r="EB150" s="795"/>
      <c r="EC150" s="795"/>
      <c r="ED150" s="795"/>
      <c r="EE150" s="795"/>
      <c r="EF150" s="795"/>
      <c r="EG150" s="795"/>
      <c r="EH150" s="795"/>
      <c r="EI150" s="795"/>
      <c r="EJ150" s="795"/>
      <c r="EK150" s="795"/>
      <c r="EL150" s="795"/>
      <c r="EM150" s="795"/>
      <c r="EN150" s="795"/>
      <c r="EO150" s="795"/>
      <c r="EP150" s="795"/>
      <c r="EQ150" s="795"/>
      <c r="ER150" s="795"/>
      <c r="ES150" s="795"/>
      <c r="ET150" s="795"/>
      <c r="EU150" s="795"/>
      <c r="EV150" s="795"/>
      <c r="EW150" s="795"/>
      <c r="EX150" s="795"/>
      <c r="EY150" s="795"/>
      <c r="EZ150" s="795"/>
      <c r="FA150" s="795"/>
      <c r="FB150" s="795"/>
      <c r="FC150" s="795"/>
      <c r="FD150" s="795"/>
      <c r="FE150" s="795"/>
      <c r="FF150" s="795"/>
      <c r="FG150" s="795"/>
      <c r="FH150" s="795"/>
      <c r="FI150" s="795"/>
      <c r="FJ150" s="795"/>
      <c r="FK150" s="795"/>
      <c r="FL150" s="795"/>
      <c r="FM150" s="795"/>
      <c r="FN150" s="795"/>
      <c r="FO150" s="795"/>
      <c r="FP150" s="795"/>
      <c r="FQ150" s="795"/>
      <c r="FR150" s="795"/>
      <c r="FS150" s="795"/>
      <c r="FT150" s="795"/>
      <c r="FU150" s="795"/>
      <c r="FV150" s="795"/>
      <c r="FW150" s="795"/>
      <c r="FX150" s="795"/>
      <c r="FY150" s="795"/>
      <c r="FZ150" s="795"/>
      <c r="GA150" s="795"/>
      <c r="GB150" s="795"/>
      <c r="GC150" s="795"/>
      <c r="GD150" s="795"/>
      <c r="GE150" s="795"/>
      <c r="GF150" s="795"/>
      <c r="GG150" s="795"/>
      <c r="GH150" s="795"/>
      <c r="GI150" s="795"/>
      <c r="GJ150" s="795"/>
      <c r="GK150" s="795"/>
      <c r="GL150" s="795"/>
      <c r="GM150" s="795"/>
      <c r="GN150" s="795"/>
      <c r="GO150" s="795"/>
      <c r="GP150" s="795"/>
      <c r="GQ150" s="795"/>
      <c r="GR150" s="795"/>
      <c r="GS150" s="795"/>
      <c r="GT150" s="795"/>
      <c r="GU150" s="795"/>
      <c r="GV150" s="795"/>
      <c r="GW150" s="795"/>
      <c r="GX150" s="795"/>
      <c r="GY150" s="795"/>
      <c r="GZ150" s="795"/>
      <c r="HA150" s="795"/>
      <c r="HB150" s="795"/>
      <c r="HC150" s="795"/>
      <c r="HD150" s="795"/>
      <c r="HE150" s="795"/>
      <c r="HF150" s="795"/>
      <c r="HG150" s="795"/>
      <c r="HH150" s="795"/>
      <c r="HI150" s="795"/>
      <c r="HJ150" s="795"/>
    </row>
  </sheetData>
  <mergeCells count="178">
    <mergeCell ref="W26:Y26"/>
    <mergeCell ref="Q27:S27"/>
    <mergeCell ref="T27:V27"/>
    <mergeCell ref="G34:I34"/>
    <mergeCell ref="L34:N34"/>
    <mergeCell ref="O34:P34"/>
    <mergeCell ref="Q34:S34"/>
    <mergeCell ref="T34:V34"/>
    <mergeCell ref="AS1:BX1"/>
    <mergeCell ref="W2:Y2"/>
    <mergeCell ref="AS2:AW2"/>
    <mergeCell ref="AX2:BB2"/>
    <mergeCell ref="BC2:BG2"/>
    <mergeCell ref="BH2:BL2"/>
    <mergeCell ref="BM2:BQ2"/>
    <mergeCell ref="BR2:BX2"/>
    <mergeCell ref="Z22:AA22"/>
    <mergeCell ref="AB22:AC22"/>
    <mergeCell ref="AD22:AE22"/>
    <mergeCell ref="AJ22:AK22"/>
    <mergeCell ref="AL22:AM22"/>
    <mergeCell ref="AN22:AO22"/>
    <mergeCell ref="AG22:AH22"/>
    <mergeCell ref="BY2:CC2"/>
    <mergeCell ref="Q3:S3"/>
    <mergeCell ref="T3:V3"/>
    <mergeCell ref="G10:I10"/>
    <mergeCell ref="L10:N10"/>
    <mergeCell ref="O10:P10"/>
    <mergeCell ref="Q10:S10"/>
    <mergeCell ref="T10:V10"/>
    <mergeCell ref="W10:Y10"/>
    <mergeCell ref="Z10:AA10"/>
    <mergeCell ref="AB10:AC10"/>
    <mergeCell ref="AD10:AE10"/>
    <mergeCell ref="AJ10:AK10"/>
    <mergeCell ref="AL10:AM10"/>
    <mergeCell ref="AN10:AO10"/>
    <mergeCell ref="AG10:AH10"/>
    <mergeCell ref="C13:D13"/>
    <mergeCell ref="W14:Y14"/>
    <mergeCell ref="Q15:S15"/>
    <mergeCell ref="T15:V15"/>
    <mergeCell ref="G22:I22"/>
    <mergeCell ref="L22:N22"/>
    <mergeCell ref="O22:P22"/>
    <mergeCell ref="Q22:S22"/>
    <mergeCell ref="T22:V22"/>
    <mergeCell ref="W22:Y22"/>
    <mergeCell ref="G46:I46"/>
    <mergeCell ref="L46:N46"/>
    <mergeCell ref="O46:P46"/>
    <mergeCell ref="Q46:S46"/>
    <mergeCell ref="T46:V46"/>
    <mergeCell ref="AL34:AM34"/>
    <mergeCell ref="AN34:AO34"/>
    <mergeCell ref="W38:Y38"/>
    <mergeCell ref="Q39:S39"/>
    <mergeCell ref="T39:V39"/>
    <mergeCell ref="W34:Y34"/>
    <mergeCell ref="Z34:AA34"/>
    <mergeCell ref="AB34:AC34"/>
    <mergeCell ref="AD34:AE34"/>
    <mergeCell ref="AJ34:AK34"/>
    <mergeCell ref="AL46:AM46"/>
    <mergeCell ref="AN46:AO46"/>
    <mergeCell ref="AG34:AH34"/>
    <mergeCell ref="W50:Y50"/>
    <mergeCell ref="Q51:S51"/>
    <mergeCell ref="T51:V51"/>
    <mergeCell ref="W46:Y46"/>
    <mergeCell ref="Z46:AA46"/>
    <mergeCell ref="AB46:AC46"/>
    <mergeCell ref="AD46:AE46"/>
    <mergeCell ref="AJ46:AK46"/>
    <mergeCell ref="AL72:AM72"/>
    <mergeCell ref="AG46:AH46"/>
    <mergeCell ref="AN72:AO72"/>
    <mergeCell ref="W58:Y58"/>
    <mergeCell ref="Z58:AA58"/>
    <mergeCell ref="AB58:AC58"/>
    <mergeCell ref="AD58:AE58"/>
    <mergeCell ref="AJ58:AK58"/>
    <mergeCell ref="Q68:S68"/>
    <mergeCell ref="T68:V68"/>
    <mergeCell ref="Q72:S72"/>
    <mergeCell ref="T72:V72"/>
    <mergeCell ref="W72:Y72"/>
    <mergeCell ref="Z72:AA72"/>
    <mergeCell ref="Q58:S58"/>
    <mergeCell ref="T58:V58"/>
    <mergeCell ref="AL58:AM58"/>
    <mergeCell ref="AN58:AO58"/>
    <mergeCell ref="G58:I58"/>
    <mergeCell ref="L58:N58"/>
    <mergeCell ref="O58:P58"/>
    <mergeCell ref="Z81:AA81"/>
    <mergeCell ref="AB81:AC81"/>
    <mergeCell ref="AD81:AE81"/>
    <mergeCell ref="AJ81:AK81"/>
    <mergeCell ref="C75:D75"/>
    <mergeCell ref="Q77:S77"/>
    <mergeCell ref="T77:V77"/>
    <mergeCell ref="G81:I81"/>
    <mergeCell ref="L81:N81"/>
    <mergeCell ref="O81:P81"/>
    <mergeCell ref="Q81:S81"/>
    <mergeCell ref="T81:V81"/>
    <mergeCell ref="AB72:AC72"/>
    <mergeCell ref="AD72:AE72"/>
    <mergeCell ref="AJ72:AK72"/>
    <mergeCell ref="G72:I72"/>
    <mergeCell ref="L72:N72"/>
    <mergeCell ref="O72:P72"/>
    <mergeCell ref="AG58:AH58"/>
    <mergeCell ref="AG72:AH72"/>
    <mergeCell ref="AG81:AH81"/>
    <mergeCell ref="AL81:AM81"/>
    <mergeCell ref="AN81:AO81"/>
    <mergeCell ref="Q86:S86"/>
    <mergeCell ref="T86:V86"/>
    <mergeCell ref="G90:I90"/>
    <mergeCell ref="L90:N90"/>
    <mergeCell ref="O90:P90"/>
    <mergeCell ref="Q90:S90"/>
    <mergeCell ref="T90:V90"/>
    <mergeCell ref="W90:Y90"/>
    <mergeCell ref="Z90:AA90"/>
    <mergeCell ref="AB90:AC90"/>
    <mergeCell ref="AD90:AE90"/>
    <mergeCell ref="AJ90:AK90"/>
    <mergeCell ref="AL90:AM90"/>
    <mergeCell ref="AN90:AO90"/>
    <mergeCell ref="W81:Y81"/>
    <mergeCell ref="AG90:AH90"/>
    <mergeCell ref="AL99:AM99"/>
    <mergeCell ref="AN99:AO99"/>
    <mergeCell ref="Q104:S104"/>
    <mergeCell ref="T104:V104"/>
    <mergeCell ref="G108:I108"/>
    <mergeCell ref="L108:N108"/>
    <mergeCell ref="O108:P108"/>
    <mergeCell ref="Q108:S108"/>
    <mergeCell ref="T108:V108"/>
    <mergeCell ref="W108:Y108"/>
    <mergeCell ref="Z108:AA108"/>
    <mergeCell ref="AB108:AC108"/>
    <mergeCell ref="AD108:AE108"/>
    <mergeCell ref="AJ108:AK108"/>
    <mergeCell ref="AL108:AM108"/>
    <mergeCell ref="AN108:AO108"/>
    <mergeCell ref="W99:Y99"/>
    <mergeCell ref="Z99:AA99"/>
    <mergeCell ref="AB99:AC99"/>
    <mergeCell ref="AD99:AE99"/>
    <mergeCell ref="AJ99:AK99"/>
    <mergeCell ref="G99:I99"/>
    <mergeCell ref="L99:N99"/>
    <mergeCell ref="O99:P99"/>
    <mergeCell ref="Q95:S95"/>
    <mergeCell ref="T95:V95"/>
    <mergeCell ref="Q99:S99"/>
    <mergeCell ref="T99:V99"/>
    <mergeCell ref="AG99:AH99"/>
    <mergeCell ref="AG108:AH108"/>
    <mergeCell ref="T125:V125"/>
    <mergeCell ref="W125:Y125"/>
    <mergeCell ref="G143:I143"/>
    <mergeCell ref="L143:N143"/>
    <mergeCell ref="O143:P143"/>
    <mergeCell ref="Q143:S143"/>
    <mergeCell ref="T143:V143"/>
    <mergeCell ref="W143:Y143"/>
    <mergeCell ref="B117:G117"/>
    <mergeCell ref="G125:I125"/>
    <mergeCell ref="L125:N125"/>
    <mergeCell ref="O125:P125"/>
    <mergeCell ref="Q125:S125"/>
  </mergeCells>
  <conditionalFormatting sqref="F129:Y133">
    <cfRule type="expression" dxfId="2" priority="1">
      <formula>AND(#REF!=$C129,$C$11=28)</formula>
    </cfRule>
  </conditionalFormatting>
  <dataValidations disablePrompts="1" count="3">
    <dataValidation type="list" showInputMessage="1" showErrorMessage="1" sqref="B127:C127 B145:C145 B110 B101 B92 B83 B74 B60 B48 B36 B24 B12" xr:uid="{E0565DE4-B39E-4369-8CED-1B46C18BC102}">
      <formula1>$A$4:$A$8</formula1>
    </dataValidation>
    <dataValidation type="whole" allowBlank="1" showInputMessage="1" showErrorMessage="1" sqref="C74:D74 C83:D83 C92:D92 C101:D101 C110:D110" xr:uid="{9B4637AD-1B2A-433B-8B17-6C5040CCE8F1}">
      <formula1>8</formula1>
      <formula2>35</formula2>
    </dataValidation>
    <dataValidation type="whole" allowBlank="1" showInputMessage="1" showErrorMessage="1" sqref="C12:D12 C24:D24 C36:D36 C48:D48 C60:D60" xr:uid="{F6D06D2C-8C79-4495-82AA-50D43F60E710}">
      <formula1>20</formula1>
      <formula2>150</formula2>
    </dataValidation>
  </dataValidations>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S124"/>
  <sheetViews>
    <sheetView topLeftCell="A10" workbookViewId="0">
      <selection activeCell="P33" sqref="P33"/>
    </sheetView>
  </sheetViews>
  <sheetFormatPr baseColWidth="10" defaultColWidth="11.44140625" defaultRowHeight="13.2" x14ac:dyDescent="0.25"/>
  <cols>
    <col min="1" max="1" width="1" style="980" customWidth="1"/>
    <col min="2" max="2" width="49.6640625" style="989" customWidth="1"/>
    <col min="3" max="3" width="11.44140625" style="854"/>
    <col min="4" max="4" width="10.33203125" style="855" customWidth="1"/>
    <col min="5" max="5" width="7.109375" style="856" customWidth="1"/>
    <col min="6" max="7" width="5.6640625" style="856" customWidth="1"/>
    <col min="8" max="9" width="11" style="856" customWidth="1"/>
    <col min="10" max="12" width="11.44140625" style="854" customWidth="1"/>
    <col min="13" max="15" width="11.33203125" style="856" customWidth="1"/>
    <col min="16" max="21" width="10.6640625" style="856" customWidth="1"/>
    <col min="22" max="23" width="13.6640625" style="856" customWidth="1"/>
    <col min="24" max="24" width="7.88671875" style="856" customWidth="1"/>
    <col min="25" max="25" width="8.6640625" style="856" customWidth="1"/>
    <col min="26" max="26" width="12.5546875" style="856" customWidth="1"/>
    <col min="27" max="29" width="11.44140625" style="859"/>
    <col min="30" max="31" width="11.44140625" style="854" customWidth="1"/>
    <col min="32" max="34" width="11.44140625" style="854"/>
    <col min="35" max="35" width="11.44140625" style="859"/>
    <col min="36" max="16384" width="11.44140625" style="854"/>
  </cols>
  <sheetData>
    <row r="1" spans="1:45" x14ac:dyDescent="0.25">
      <c r="A1" s="1022" t="s">
        <v>7880</v>
      </c>
      <c r="B1" s="981"/>
      <c r="D1" s="1023" t="s">
        <v>224</v>
      </c>
      <c r="F1" s="857"/>
      <c r="G1" s="858"/>
      <c r="H1" s="858"/>
      <c r="I1" s="858"/>
      <c r="M1" s="858"/>
      <c r="N1" s="858"/>
      <c r="O1" s="858"/>
      <c r="P1" s="858"/>
      <c r="Q1" s="858"/>
      <c r="R1" s="858"/>
      <c r="S1" s="858"/>
      <c r="T1" s="858"/>
      <c r="U1" s="858"/>
      <c r="V1" s="858"/>
      <c r="W1" s="858"/>
      <c r="X1" s="858"/>
      <c r="Y1" s="858"/>
    </row>
    <row r="2" spans="1:45" x14ac:dyDescent="0.25">
      <c r="A2" s="857"/>
      <c r="B2" s="981" t="s">
        <v>338</v>
      </c>
      <c r="D2" s="860"/>
      <c r="E2" s="858"/>
      <c r="F2" s="858"/>
      <c r="G2" s="858"/>
      <c r="H2" s="858"/>
      <c r="I2" s="858"/>
      <c r="M2" s="858"/>
      <c r="N2" s="858"/>
      <c r="O2" s="858"/>
      <c r="P2" s="858"/>
      <c r="Q2" s="858"/>
      <c r="R2" s="858"/>
      <c r="S2" s="858"/>
      <c r="T2" s="858"/>
      <c r="U2" s="858"/>
      <c r="V2" s="858"/>
      <c r="W2" s="858"/>
      <c r="X2" s="858"/>
      <c r="Y2" s="858"/>
      <c r="Z2" s="861" t="s">
        <v>333</v>
      </c>
    </row>
    <row r="3" spans="1:45" x14ac:dyDescent="0.25">
      <c r="A3" s="857"/>
      <c r="B3" s="535" t="s">
        <v>7823</v>
      </c>
      <c r="C3" s="859" t="s">
        <v>7824</v>
      </c>
      <c r="D3" s="859" t="s">
        <v>7825</v>
      </c>
      <c r="E3" s="859" t="s">
        <v>7826</v>
      </c>
      <c r="F3" s="859" t="s">
        <v>7827</v>
      </c>
      <c r="G3" s="859" t="s">
        <v>7828</v>
      </c>
      <c r="H3" s="859" t="s">
        <v>7829</v>
      </c>
      <c r="I3" s="859" t="s">
        <v>7830</v>
      </c>
      <c r="J3" s="859" t="s">
        <v>7831</v>
      </c>
      <c r="K3" s="859" t="s">
        <v>7819</v>
      </c>
      <c r="L3" s="859" t="s">
        <v>7820</v>
      </c>
      <c r="M3" s="859" t="s">
        <v>7832</v>
      </c>
      <c r="N3" s="859" t="s">
        <v>7833</v>
      </c>
      <c r="O3" s="859" t="s">
        <v>7834</v>
      </c>
      <c r="P3" s="859" t="s">
        <v>7835</v>
      </c>
      <c r="Q3" s="859" t="s">
        <v>7836</v>
      </c>
      <c r="R3" s="859" t="s">
        <v>7837</v>
      </c>
      <c r="S3" s="859" t="s">
        <v>7838</v>
      </c>
      <c r="T3" s="859" t="s">
        <v>7839</v>
      </c>
      <c r="U3" s="859" t="s">
        <v>7840</v>
      </c>
      <c r="V3" s="859" t="s">
        <v>7841</v>
      </c>
      <c r="W3" s="859" t="s">
        <v>7842</v>
      </c>
      <c r="X3" s="859" t="s">
        <v>7843</v>
      </c>
      <c r="Y3" s="859" t="s">
        <v>7844</v>
      </c>
      <c r="Z3" s="861"/>
    </row>
    <row r="4" spans="1:45" ht="13.8" thickBot="1" x14ac:dyDescent="0.3">
      <c r="A4" s="857"/>
      <c r="B4" s="981"/>
      <c r="C4" s="862" t="s">
        <v>586</v>
      </c>
      <c r="D4" s="863" t="s">
        <v>587</v>
      </c>
      <c r="E4" s="864" t="s">
        <v>588</v>
      </c>
      <c r="F4" s="864" t="s">
        <v>589</v>
      </c>
      <c r="G4" s="864" t="s">
        <v>590</v>
      </c>
      <c r="H4" s="864" t="s">
        <v>595</v>
      </c>
      <c r="I4" s="865" t="s">
        <v>600</v>
      </c>
      <c r="J4" s="866" t="s">
        <v>601</v>
      </c>
      <c r="K4" s="866" t="s">
        <v>602</v>
      </c>
      <c r="L4" s="866" t="s">
        <v>603</v>
      </c>
      <c r="M4" s="865" t="s">
        <v>604</v>
      </c>
      <c r="N4" s="867" t="s">
        <v>7821</v>
      </c>
      <c r="O4" s="867" t="s">
        <v>7822</v>
      </c>
      <c r="P4" s="865" t="s">
        <v>605</v>
      </c>
      <c r="Q4" s="865" t="s">
        <v>606</v>
      </c>
      <c r="R4" s="865" t="s">
        <v>607</v>
      </c>
      <c r="S4" s="865" t="s">
        <v>608</v>
      </c>
      <c r="T4" s="865"/>
      <c r="U4" s="865"/>
      <c r="V4" s="865" t="s">
        <v>618</v>
      </c>
      <c r="W4" s="863" t="s">
        <v>619</v>
      </c>
      <c r="X4" s="865" t="s">
        <v>620</v>
      </c>
      <c r="Y4" s="865" t="s">
        <v>621</v>
      </c>
      <c r="Z4" s="858"/>
    </row>
    <row r="5" spans="1:45" ht="15.6" x14ac:dyDescent="0.25">
      <c r="A5" s="868"/>
      <c r="B5" s="982"/>
      <c r="C5" s="869"/>
      <c r="D5" s="1638" t="s">
        <v>591</v>
      </c>
      <c r="E5" s="870" t="s">
        <v>3</v>
      </c>
      <c r="F5" s="871"/>
      <c r="G5" s="871"/>
      <c r="H5" s="852" t="s">
        <v>596</v>
      </c>
      <c r="I5" s="872" t="s">
        <v>609</v>
      </c>
      <c r="J5" s="1650" t="s">
        <v>301</v>
      </c>
      <c r="K5" s="1651"/>
      <c r="L5" s="1652"/>
      <c r="M5" s="1641" t="s">
        <v>610</v>
      </c>
      <c r="N5" s="1647"/>
      <c r="O5" s="1642"/>
      <c r="P5" s="1641" t="s">
        <v>611</v>
      </c>
      <c r="Q5" s="1647"/>
      <c r="R5" s="1642"/>
      <c r="S5" s="510" t="s">
        <v>609</v>
      </c>
      <c r="T5" s="510" t="s">
        <v>609</v>
      </c>
      <c r="U5" s="510" t="s">
        <v>609</v>
      </c>
      <c r="V5" s="872" t="s">
        <v>622</v>
      </c>
      <c r="W5" s="873" t="s">
        <v>609</v>
      </c>
      <c r="X5" s="1641" t="s">
        <v>227</v>
      </c>
      <c r="Y5" s="1642"/>
      <c r="Z5" s="856" t="s">
        <v>269</v>
      </c>
      <c r="AB5" s="859" t="s">
        <v>7640</v>
      </c>
      <c r="AD5" s="854" t="s">
        <v>317</v>
      </c>
      <c r="AF5" s="1640" t="s">
        <v>465</v>
      </c>
      <c r="AG5" s="1640"/>
      <c r="AH5" s="1640"/>
      <c r="AI5" s="1646" t="s">
        <v>649</v>
      </c>
      <c r="AJ5" s="1646"/>
      <c r="AK5" s="1646"/>
      <c r="AM5" s="874"/>
      <c r="AN5" s="1659" t="s">
        <v>649</v>
      </c>
      <c r="AO5" s="1659"/>
      <c r="AP5" s="1660"/>
    </row>
    <row r="6" spans="1:45" ht="15.6" x14ac:dyDescent="0.25">
      <c r="A6" s="875"/>
      <c r="B6" s="983" t="s">
        <v>51</v>
      </c>
      <c r="C6" s="858" t="s">
        <v>251</v>
      </c>
      <c r="D6" s="1639"/>
      <c r="E6" s="876" t="s">
        <v>592</v>
      </c>
      <c r="F6" s="860"/>
      <c r="G6" s="860"/>
      <c r="H6" s="877" t="s">
        <v>597</v>
      </c>
      <c r="I6" s="878" t="s">
        <v>0</v>
      </c>
      <c r="J6" s="1653" t="s">
        <v>302</v>
      </c>
      <c r="K6" s="1654"/>
      <c r="L6" s="1655"/>
      <c r="M6" s="1643" t="s">
        <v>612</v>
      </c>
      <c r="N6" s="1648"/>
      <c r="O6" s="1644"/>
      <c r="P6" s="1643" t="s">
        <v>613</v>
      </c>
      <c r="Q6" s="1648"/>
      <c r="R6" s="1644"/>
      <c r="S6" s="511" t="s">
        <v>10</v>
      </c>
      <c r="T6" s="511" t="s">
        <v>10</v>
      </c>
      <c r="U6" s="511" t="s">
        <v>10</v>
      </c>
      <c r="V6" s="878" t="s">
        <v>623</v>
      </c>
      <c r="W6" s="879" t="s">
        <v>8</v>
      </c>
      <c r="X6" s="1643" t="s">
        <v>229</v>
      </c>
      <c r="Y6" s="1644"/>
      <c r="Z6" s="856" t="s">
        <v>10</v>
      </c>
      <c r="AB6" s="859" t="s">
        <v>7641</v>
      </c>
      <c r="AD6" s="854" t="s">
        <v>315</v>
      </c>
      <c r="AE6" s="854" t="s">
        <v>316</v>
      </c>
      <c r="AF6" s="854" t="s">
        <v>0</v>
      </c>
      <c r="AG6" s="880" t="s">
        <v>466</v>
      </c>
      <c r="AH6" s="880" t="s">
        <v>10</v>
      </c>
      <c r="AI6" s="1645" t="s">
        <v>650</v>
      </c>
      <c r="AJ6" s="1645"/>
      <c r="AK6" s="1645"/>
      <c r="AM6" s="881"/>
      <c r="AN6" s="1645" t="s">
        <v>650</v>
      </c>
      <c r="AO6" s="1645"/>
      <c r="AP6" s="1661"/>
    </row>
    <row r="7" spans="1:45" ht="15.6" x14ac:dyDescent="0.25">
      <c r="A7" s="882"/>
      <c r="B7" s="983" t="s">
        <v>585</v>
      </c>
      <c r="C7" s="858"/>
      <c r="D7" s="1639"/>
      <c r="E7" s="876" t="s">
        <v>593</v>
      </c>
      <c r="F7" s="860"/>
      <c r="G7" s="860"/>
      <c r="H7" s="878" t="s">
        <v>598</v>
      </c>
      <c r="I7" s="883" t="s">
        <v>9</v>
      </c>
      <c r="J7" s="1656" t="s">
        <v>614</v>
      </c>
      <c r="K7" s="1657"/>
      <c r="L7" s="1658"/>
      <c r="M7" s="1643" t="s">
        <v>615</v>
      </c>
      <c r="N7" s="1648"/>
      <c r="O7" s="1648"/>
      <c r="P7" s="1649" t="s">
        <v>615</v>
      </c>
      <c r="Q7" s="1649"/>
      <c r="R7" s="1644"/>
      <c r="S7" s="884" t="s">
        <v>230</v>
      </c>
      <c r="T7" s="884" t="s">
        <v>230</v>
      </c>
      <c r="U7" s="884" t="s">
        <v>230</v>
      </c>
      <c r="V7" s="878" t="s">
        <v>598</v>
      </c>
      <c r="W7" s="879" t="s">
        <v>9</v>
      </c>
      <c r="X7" s="853" t="s">
        <v>0</v>
      </c>
      <c r="Y7" s="885" t="s">
        <v>624</v>
      </c>
      <c r="Z7" s="856" t="s">
        <v>333</v>
      </c>
      <c r="AB7" s="859" t="s">
        <v>7642</v>
      </c>
      <c r="AM7" s="881"/>
      <c r="AN7" s="886"/>
      <c r="AO7" s="880"/>
      <c r="AP7" s="887"/>
    </row>
    <row r="8" spans="1:45" ht="27" thickBot="1" x14ac:dyDescent="0.3">
      <c r="A8" s="888"/>
      <c r="B8" s="984"/>
      <c r="C8" s="889"/>
      <c r="D8" s="890" t="s">
        <v>594</v>
      </c>
      <c r="E8" s="891" t="s">
        <v>4</v>
      </c>
      <c r="F8" s="892" t="s">
        <v>231</v>
      </c>
      <c r="G8" s="892" t="s">
        <v>232</v>
      </c>
      <c r="H8" s="893" t="s">
        <v>599</v>
      </c>
      <c r="I8" s="894" t="s">
        <v>616</v>
      </c>
      <c r="J8" s="895" t="s">
        <v>39</v>
      </c>
      <c r="K8" s="896" t="s">
        <v>40</v>
      </c>
      <c r="L8" s="897" t="s">
        <v>41</v>
      </c>
      <c r="M8" s="898" t="s">
        <v>39</v>
      </c>
      <c r="N8" s="899" t="s">
        <v>40</v>
      </c>
      <c r="O8" s="900" t="s">
        <v>41</v>
      </c>
      <c r="P8" s="898" t="s">
        <v>39</v>
      </c>
      <c r="Q8" s="899" t="s">
        <v>40</v>
      </c>
      <c r="R8" s="900" t="s">
        <v>41</v>
      </c>
      <c r="S8" s="901" t="s">
        <v>617</v>
      </c>
      <c r="T8" s="901" t="s">
        <v>656</v>
      </c>
      <c r="U8" s="901" t="s">
        <v>655</v>
      </c>
      <c r="V8" s="902" t="s">
        <v>625</v>
      </c>
      <c r="W8" s="903" t="s">
        <v>626</v>
      </c>
      <c r="X8" s="904" t="s">
        <v>0</v>
      </c>
      <c r="Y8" s="905" t="s">
        <v>8</v>
      </c>
      <c r="AB8" s="859" t="s">
        <v>7643</v>
      </c>
      <c r="AI8" s="848" t="s">
        <v>4</v>
      </c>
      <c r="AJ8" s="849" t="s">
        <v>250</v>
      </c>
      <c r="AK8" s="850" t="s">
        <v>5</v>
      </c>
      <c r="AM8" s="527" t="s">
        <v>251</v>
      </c>
      <c r="AN8" s="848" t="s">
        <v>4</v>
      </c>
      <c r="AO8" s="849" t="s">
        <v>250</v>
      </c>
      <c r="AP8" s="528" t="s">
        <v>5</v>
      </c>
    </row>
    <row r="9" spans="1:45" x14ac:dyDescent="0.25">
      <c r="A9" s="906" t="s">
        <v>52</v>
      </c>
      <c r="B9" s="985"/>
      <c r="C9" s="907">
        <v>0</v>
      </c>
      <c r="D9" s="908"/>
      <c r="E9" s="909"/>
      <c r="F9" s="910"/>
      <c r="G9" s="911"/>
      <c r="H9" s="912"/>
      <c r="I9" s="913"/>
      <c r="J9" s="914"/>
      <c r="K9" s="880"/>
      <c r="L9" s="915"/>
      <c r="M9" s="916"/>
      <c r="N9" s="917"/>
      <c r="O9" s="917"/>
      <c r="P9" s="917"/>
      <c r="Q9" s="918"/>
      <c r="R9" s="919"/>
      <c r="S9" s="920"/>
      <c r="T9" s="917"/>
      <c r="U9" s="917"/>
      <c r="V9" s="908"/>
      <c r="W9" s="921"/>
      <c r="X9" s="921"/>
      <c r="Y9" s="922"/>
      <c r="Z9" s="861"/>
      <c r="AM9" s="923">
        <v>1</v>
      </c>
      <c r="AN9" s="924">
        <v>3.2</v>
      </c>
      <c r="AO9" s="925">
        <v>0.2</v>
      </c>
      <c r="AP9" s="926">
        <v>7.9</v>
      </c>
      <c r="AQ9" s="927"/>
      <c r="AR9" s="928"/>
      <c r="AS9" s="928"/>
    </row>
    <row r="10" spans="1:45" x14ac:dyDescent="0.25">
      <c r="A10" s="929"/>
      <c r="B10" s="986" t="s">
        <v>575</v>
      </c>
      <c r="C10" s="907">
        <v>1</v>
      </c>
      <c r="D10" s="930"/>
      <c r="E10" s="931"/>
      <c r="F10" s="932" t="s">
        <v>201</v>
      </c>
      <c r="G10" s="933"/>
      <c r="H10" s="934"/>
      <c r="I10" s="935"/>
      <c r="J10" s="914"/>
      <c r="K10" s="880"/>
      <c r="L10" s="915"/>
      <c r="M10" s="936"/>
      <c r="N10" s="933"/>
      <c r="O10" s="933"/>
      <c r="P10" s="933"/>
      <c r="Q10" s="932"/>
      <c r="R10" s="937"/>
      <c r="S10" s="935"/>
      <c r="T10" s="938"/>
      <c r="U10" s="939"/>
      <c r="V10" s="930"/>
      <c r="W10" s="935"/>
      <c r="X10" s="940"/>
      <c r="Y10" s="941"/>
      <c r="AM10" s="923">
        <v>2</v>
      </c>
      <c r="AN10" s="924">
        <v>3.3</v>
      </c>
      <c r="AO10" s="925">
        <v>0.2</v>
      </c>
      <c r="AP10" s="926">
        <v>3.1</v>
      </c>
      <c r="AQ10" s="927"/>
      <c r="AR10" s="928"/>
      <c r="AS10" s="928"/>
    </row>
    <row r="11" spans="1:45" x14ac:dyDescent="0.25">
      <c r="A11" s="875"/>
      <c r="B11" s="535" t="s">
        <v>7818</v>
      </c>
      <c r="C11" s="859">
        <v>1</v>
      </c>
      <c r="D11" s="859">
        <v>0.4</v>
      </c>
      <c r="E11" s="859">
        <v>37</v>
      </c>
      <c r="F11" s="859">
        <v>11.5</v>
      </c>
      <c r="G11" s="859">
        <v>45.3</v>
      </c>
      <c r="H11" s="859">
        <v>7.6</v>
      </c>
      <c r="I11" s="859">
        <v>8.2100000000000009</v>
      </c>
      <c r="J11" s="859">
        <v>5.4</v>
      </c>
      <c r="K11" s="859">
        <v>6</v>
      </c>
      <c r="L11" s="859">
        <v>11</v>
      </c>
      <c r="M11" s="859">
        <v>2.16</v>
      </c>
      <c r="N11" s="859">
        <v>2.4</v>
      </c>
      <c r="O11" s="859">
        <v>4.4000000000000004</v>
      </c>
      <c r="P11" s="1143">
        <v>6.3</v>
      </c>
      <c r="Q11" s="859">
        <v>7.48</v>
      </c>
      <c r="R11" s="859">
        <v>9.2100000000000009</v>
      </c>
      <c r="S11" s="859">
        <v>20.09</v>
      </c>
      <c r="T11" s="859">
        <v>18.170000000000002</v>
      </c>
      <c r="U11" s="859">
        <v>21.77</v>
      </c>
      <c r="V11" s="859">
        <v>2</v>
      </c>
      <c r="W11" s="859">
        <v>1.8</v>
      </c>
      <c r="X11" s="859">
        <v>15</v>
      </c>
      <c r="Y11" s="859">
        <v>30</v>
      </c>
      <c r="AM11" s="942">
        <v>3</v>
      </c>
      <c r="AN11" s="943">
        <v>0</v>
      </c>
      <c r="AO11" s="943">
        <v>0</v>
      </c>
      <c r="AP11" s="944">
        <v>0</v>
      </c>
    </row>
    <row r="12" spans="1:45" x14ac:dyDescent="0.25">
      <c r="A12" s="875"/>
      <c r="B12" s="535" t="s">
        <v>6</v>
      </c>
      <c r="C12" s="859">
        <v>1</v>
      </c>
      <c r="D12" s="859">
        <v>0.7</v>
      </c>
      <c r="E12" s="859">
        <v>56</v>
      </c>
      <c r="F12" s="859">
        <v>18.8</v>
      </c>
      <c r="G12" s="859">
        <v>68</v>
      </c>
      <c r="H12" s="859">
        <v>11.5</v>
      </c>
      <c r="I12" s="859">
        <v>8.1999999999999993</v>
      </c>
      <c r="J12" s="859">
        <v>5.4</v>
      </c>
      <c r="K12" s="859">
        <v>6</v>
      </c>
      <c r="L12" s="859">
        <v>11</v>
      </c>
      <c r="M12" s="859">
        <v>3.78</v>
      </c>
      <c r="N12" s="859">
        <v>4.2</v>
      </c>
      <c r="O12" s="859">
        <v>7.7</v>
      </c>
      <c r="P12" s="1143">
        <v>10</v>
      </c>
      <c r="Q12" s="859">
        <v>11.53</v>
      </c>
      <c r="R12" s="859">
        <v>14.31</v>
      </c>
      <c r="S12" s="859">
        <v>20.76</v>
      </c>
      <c r="T12" s="859">
        <v>19.38</v>
      </c>
      <c r="U12" s="859">
        <v>23.48</v>
      </c>
      <c r="V12" s="859">
        <v>3</v>
      </c>
      <c r="W12" s="859">
        <v>1.8</v>
      </c>
      <c r="X12" s="859">
        <v>15</v>
      </c>
      <c r="Y12" s="859">
        <v>30</v>
      </c>
      <c r="AM12" s="942">
        <v>4</v>
      </c>
      <c r="AN12" s="943">
        <v>0</v>
      </c>
      <c r="AO12" s="943">
        <v>0</v>
      </c>
      <c r="AP12" s="944">
        <v>0</v>
      </c>
    </row>
    <row r="13" spans="1:45" x14ac:dyDescent="0.25">
      <c r="A13" s="875"/>
      <c r="B13" s="535" t="s">
        <v>7</v>
      </c>
      <c r="C13" s="859">
        <v>1</v>
      </c>
      <c r="D13" s="859">
        <v>1</v>
      </c>
      <c r="E13" s="859">
        <v>64</v>
      </c>
      <c r="F13" s="859">
        <v>21.9</v>
      </c>
      <c r="G13" s="859">
        <v>76.900000000000006</v>
      </c>
      <c r="H13" s="859">
        <v>13.1</v>
      </c>
      <c r="I13" s="859">
        <v>8.19</v>
      </c>
      <c r="J13" s="859">
        <v>5.4</v>
      </c>
      <c r="K13" s="859">
        <v>6</v>
      </c>
      <c r="L13" s="859">
        <v>11</v>
      </c>
      <c r="M13" s="859">
        <v>5.4</v>
      </c>
      <c r="N13" s="859">
        <v>6</v>
      </c>
      <c r="O13" s="859">
        <v>11</v>
      </c>
      <c r="P13" s="1143">
        <v>11.4</v>
      </c>
      <c r="Q13" s="859">
        <v>13.59</v>
      </c>
      <c r="R13" s="859">
        <v>17.12</v>
      </c>
      <c r="S13" s="859">
        <v>23.74</v>
      </c>
      <c r="T13" s="859">
        <v>21.53</v>
      </c>
      <c r="U13" s="859">
        <v>26.44</v>
      </c>
      <c r="V13" s="859">
        <v>3.4</v>
      </c>
      <c r="W13" s="859">
        <v>1.8</v>
      </c>
      <c r="X13" s="859">
        <v>15</v>
      </c>
      <c r="Y13" s="859">
        <v>30</v>
      </c>
      <c r="AM13" s="942">
        <v>5</v>
      </c>
      <c r="AN13" s="943">
        <v>0</v>
      </c>
      <c r="AO13" s="943">
        <v>0</v>
      </c>
      <c r="AP13" s="944">
        <v>0</v>
      </c>
    </row>
    <row r="14" spans="1:45" x14ac:dyDescent="0.25">
      <c r="A14" s="875"/>
      <c r="B14" s="535" t="s">
        <v>233</v>
      </c>
      <c r="C14" s="859">
        <v>1</v>
      </c>
      <c r="D14" s="859">
        <v>1</v>
      </c>
      <c r="E14" s="859">
        <v>100</v>
      </c>
      <c r="F14" s="859">
        <v>36</v>
      </c>
      <c r="G14" s="859">
        <v>104</v>
      </c>
      <c r="H14" s="859">
        <v>19</v>
      </c>
      <c r="I14" s="859">
        <v>8.9</v>
      </c>
      <c r="J14" s="859">
        <v>4</v>
      </c>
      <c r="K14" s="859">
        <v>6</v>
      </c>
      <c r="L14" s="859">
        <v>11</v>
      </c>
      <c r="M14" s="859">
        <v>4</v>
      </c>
      <c r="N14" s="859">
        <v>6</v>
      </c>
      <c r="O14" s="859">
        <v>11</v>
      </c>
      <c r="P14" s="1143">
        <v>14.4</v>
      </c>
      <c r="Q14" s="859">
        <v>18.190000000000001</v>
      </c>
      <c r="R14" s="859">
        <v>23.02</v>
      </c>
      <c r="S14" s="859">
        <v>19.71</v>
      </c>
      <c r="T14" s="859">
        <v>19.350000000000001</v>
      </c>
      <c r="U14" s="859">
        <v>22.35</v>
      </c>
      <c r="V14" s="859">
        <v>6</v>
      </c>
      <c r="W14" s="859">
        <v>1.8</v>
      </c>
      <c r="X14" s="859">
        <v>15</v>
      </c>
      <c r="Y14" s="859">
        <v>30</v>
      </c>
      <c r="AM14" s="942">
        <v>6</v>
      </c>
      <c r="AN14" s="943">
        <v>0</v>
      </c>
      <c r="AO14" s="943">
        <v>0</v>
      </c>
      <c r="AP14" s="944">
        <v>0</v>
      </c>
    </row>
    <row r="15" spans="1:45" x14ac:dyDescent="0.25">
      <c r="A15" s="875"/>
      <c r="B15" s="535" t="s">
        <v>234</v>
      </c>
      <c r="C15" s="859">
        <v>1</v>
      </c>
      <c r="D15" s="859">
        <v>1</v>
      </c>
      <c r="E15" s="859">
        <v>115</v>
      </c>
      <c r="F15" s="859">
        <v>42</v>
      </c>
      <c r="G15" s="859">
        <v>116</v>
      </c>
      <c r="H15" s="859">
        <v>20</v>
      </c>
      <c r="I15" s="859">
        <v>9.32</v>
      </c>
      <c r="J15" s="859">
        <v>4</v>
      </c>
      <c r="K15" s="859">
        <v>6</v>
      </c>
      <c r="L15" s="859">
        <v>11</v>
      </c>
      <c r="M15" s="859">
        <v>4</v>
      </c>
      <c r="N15" s="859">
        <v>6</v>
      </c>
      <c r="O15" s="859">
        <v>11</v>
      </c>
      <c r="P15" s="1143">
        <v>15</v>
      </c>
      <c r="Q15" s="859">
        <v>18.989999999999998</v>
      </c>
      <c r="R15" s="859">
        <v>24.02</v>
      </c>
      <c r="S15" s="859">
        <v>20.03</v>
      </c>
      <c r="T15" s="859">
        <v>19.43</v>
      </c>
      <c r="U15" s="859">
        <v>22.14</v>
      </c>
      <c r="V15" s="859">
        <v>6.4</v>
      </c>
      <c r="W15" s="859">
        <v>1.8</v>
      </c>
      <c r="X15" s="859">
        <v>15</v>
      </c>
      <c r="Y15" s="859">
        <v>30</v>
      </c>
      <c r="AM15" s="942">
        <v>7</v>
      </c>
      <c r="AN15" s="943">
        <v>0</v>
      </c>
      <c r="AO15" s="943">
        <v>0</v>
      </c>
      <c r="AP15" s="944">
        <v>0</v>
      </c>
    </row>
    <row r="16" spans="1:45" x14ac:dyDescent="0.25">
      <c r="A16" s="875"/>
      <c r="B16" s="535" t="s">
        <v>235</v>
      </c>
      <c r="C16" s="859">
        <v>1</v>
      </c>
      <c r="D16" s="859">
        <v>1</v>
      </c>
      <c r="E16" s="859">
        <v>133</v>
      </c>
      <c r="F16" s="859">
        <v>46.97</v>
      </c>
      <c r="G16" s="859">
        <v>125</v>
      </c>
      <c r="H16" s="859">
        <v>21</v>
      </c>
      <c r="I16" s="859">
        <v>9.35</v>
      </c>
      <c r="J16" s="859">
        <v>5</v>
      </c>
      <c r="K16" s="859">
        <v>6</v>
      </c>
      <c r="L16" s="859">
        <v>11</v>
      </c>
      <c r="M16" s="859">
        <v>5</v>
      </c>
      <c r="N16" s="859">
        <v>6</v>
      </c>
      <c r="O16" s="859">
        <v>11</v>
      </c>
      <c r="P16" s="1143">
        <v>16</v>
      </c>
      <c r="Q16" s="859">
        <v>19.79</v>
      </c>
      <c r="R16" s="859">
        <v>25.02</v>
      </c>
      <c r="S16" s="859">
        <v>21.32</v>
      </c>
      <c r="T16" s="859">
        <v>19.13</v>
      </c>
      <c r="U16" s="859">
        <v>21.65</v>
      </c>
      <c r="V16" s="859">
        <v>6.8</v>
      </c>
      <c r="W16" s="859">
        <v>1.8</v>
      </c>
      <c r="X16" s="859">
        <v>15</v>
      </c>
      <c r="Y16" s="859">
        <v>30</v>
      </c>
      <c r="AM16" s="942">
        <v>8</v>
      </c>
      <c r="AN16" s="943">
        <v>0</v>
      </c>
      <c r="AO16" s="943">
        <v>0</v>
      </c>
      <c r="AP16" s="944">
        <v>0</v>
      </c>
    </row>
    <row r="17" spans="1:42" ht="13.8" thickBot="1" x14ac:dyDescent="0.3">
      <c r="A17" s="875"/>
      <c r="B17" s="535" t="s">
        <v>236</v>
      </c>
      <c r="C17" s="859">
        <v>1</v>
      </c>
      <c r="D17" s="859">
        <v>1</v>
      </c>
      <c r="E17" s="859">
        <v>152</v>
      </c>
      <c r="F17" s="859">
        <v>52</v>
      </c>
      <c r="G17" s="859">
        <v>135</v>
      </c>
      <c r="H17" s="859">
        <v>22</v>
      </c>
      <c r="I17" s="859">
        <v>10.31</v>
      </c>
      <c r="J17" s="859">
        <v>6</v>
      </c>
      <c r="K17" s="859">
        <v>7</v>
      </c>
      <c r="L17" s="859">
        <v>12</v>
      </c>
      <c r="M17" s="859">
        <v>6</v>
      </c>
      <c r="N17" s="859">
        <v>7</v>
      </c>
      <c r="O17" s="859">
        <v>12</v>
      </c>
      <c r="P17" s="1143">
        <v>17</v>
      </c>
      <c r="Q17" s="859">
        <v>20.96</v>
      </c>
      <c r="R17" s="859">
        <v>26.38</v>
      </c>
      <c r="S17" s="859">
        <v>23.66</v>
      </c>
      <c r="T17" s="859">
        <v>21</v>
      </c>
      <c r="U17" s="859">
        <v>22.88</v>
      </c>
      <c r="V17" s="859">
        <v>7.2</v>
      </c>
      <c r="W17" s="859">
        <v>1.8</v>
      </c>
      <c r="X17" s="859">
        <v>15</v>
      </c>
      <c r="Y17" s="859">
        <v>30</v>
      </c>
      <c r="AM17" s="945">
        <v>9</v>
      </c>
      <c r="AN17" s="946">
        <v>0</v>
      </c>
      <c r="AO17" s="946">
        <v>0</v>
      </c>
      <c r="AP17" s="947">
        <v>0</v>
      </c>
    </row>
    <row r="18" spans="1:42" x14ac:dyDescent="0.25">
      <c r="A18" s="929"/>
      <c r="B18" s="986" t="s">
        <v>576</v>
      </c>
      <c r="C18" s="907">
        <v>1</v>
      </c>
      <c r="D18" s="930"/>
      <c r="E18" s="931"/>
      <c r="F18" s="932" t="s">
        <v>201</v>
      </c>
      <c r="G18" s="933"/>
      <c r="H18" s="934"/>
      <c r="I18" s="948"/>
      <c r="J18" s="914"/>
      <c r="K18" s="880"/>
      <c r="L18" s="915"/>
      <c r="M18" s="936"/>
      <c r="N18" s="933"/>
      <c r="O18" s="933"/>
      <c r="P18" s="933"/>
      <c r="Q18" s="932"/>
      <c r="R18" s="937"/>
      <c r="S18" s="935"/>
      <c r="T18" s="938"/>
      <c r="U18" s="938"/>
      <c r="V18" s="930"/>
      <c r="W18" s="940"/>
      <c r="X18" s="940"/>
      <c r="Y18" s="941"/>
    </row>
    <row r="19" spans="1:42" x14ac:dyDescent="0.25">
      <c r="A19" s="875"/>
      <c r="B19" s="535" t="s">
        <v>7818</v>
      </c>
      <c r="C19" s="859">
        <v>1</v>
      </c>
      <c r="D19" s="859">
        <v>0.4</v>
      </c>
      <c r="E19" s="859">
        <v>46.2</v>
      </c>
      <c r="F19" s="859">
        <v>13.5</v>
      </c>
      <c r="G19" s="859">
        <v>56</v>
      </c>
      <c r="H19" s="859">
        <v>7.6</v>
      </c>
      <c r="I19" s="859">
        <v>8.15</v>
      </c>
      <c r="J19" s="859">
        <v>5.4</v>
      </c>
      <c r="K19" s="859">
        <v>6</v>
      </c>
      <c r="L19" s="859">
        <v>11</v>
      </c>
      <c r="M19" s="859">
        <v>2.16</v>
      </c>
      <c r="N19" s="859">
        <v>2.4</v>
      </c>
      <c r="O19" s="859">
        <v>4.4000000000000004</v>
      </c>
      <c r="P19" s="1143">
        <v>6.3</v>
      </c>
      <c r="Q19" s="859">
        <v>7.48</v>
      </c>
      <c r="R19" s="859">
        <v>9.2100000000000009</v>
      </c>
      <c r="S19" s="859">
        <v>19.71</v>
      </c>
      <c r="T19" s="859">
        <v>18.11</v>
      </c>
      <c r="U19" s="859">
        <v>21.72</v>
      </c>
      <c r="V19" s="859">
        <v>2</v>
      </c>
      <c r="W19" s="859">
        <v>1.8</v>
      </c>
      <c r="X19" s="859">
        <v>15</v>
      </c>
      <c r="Y19" s="859">
        <v>30</v>
      </c>
    </row>
    <row r="20" spans="1:42" x14ac:dyDescent="0.25">
      <c r="A20" s="875"/>
      <c r="B20" s="535" t="s">
        <v>6</v>
      </c>
      <c r="C20" s="859">
        <v>1</v>
      </c>
      <c r="D20" s="859">
        <v>0.7</v>
      </c>
      <c r="E20" s="859">
        <v>70.7</v>
      </c>
      <c r="F20" s="859">
        <v>20.2</v>
      </c>
      <c r="G20" s="859">
        <v>90.7</v>
      </c>
      <c r="H20" s="859">
        <v>11.5</v>
      </c>
      <c r="I20" s="859">
        <v>8.2799999999999994</v>
      </c>
      <c r="J20" s="859">
        <v>5.4</v>
      </c>
      <c r="K20" s="859">
        <v>6</v>
      </c>
      <c r="L20" s="859">
        <v>11</v>
      </c>
      <c r="M20" s="859">
        <v>3.78</v>
      </c>
      <c r="N20" s="859">
        <v>4.2</v>
      </c>
      <c r="O20" s="859">
        <v>7.7</v>
      </c>
      <c r="P20" s="1143">
        <v>10</v>
      </c>
      <c r="Q20" s="859">
        <v>11.53</v>
      </c>
      <c r="R20" s="859">
        <v>14.31</v>
      </c>
      <c r="S20" s="859">
        <v>20.85</v>
      </c>
      <c r="T20" s="859">
        <v>19.46</v>
      </c>
      <c r="U20" s="859">
        <v>23.54</v>
      </c>
      <c r="V20" s="859">
        <v>3</v>
      </c>
      <c r="W20" s="859">
        <v>1.8</v>
      </c>
      <c r="X20" s="859">
        <v>15</v>
      </c>
      <c r="Y20" s="859">
        <v>30</v>
      </c>
    </row>
    <row r="21" spans="1:42" x14ac:dyDescent="0.25">
      <c r="A21" s="875"/>
      <c r="B21" s="535" t="s">
        <v>7</v>
      </c>
      <c r="C21" s="859">
        <v>1</v>
      </c>
      <c r="D21" s="859">
        <v>1</v>
      </c>
      <c r="E21" s="859">
        <v>82.5</v>
      </c>
      <c r="F21" s="859">
        <v>22.3</v>
      </c>
      <c r="G21" s="859">
        <v>96.5</v>
      </c>
      <c r="H21" s="859">
        <v>13.1</v>
      </c>
      <c r="I21" s="859">
        <v>8.48</v>
      </c>
      <c r="J21" s="859">
        <v>5.4</v>
      </c>
      <c r="K21" s="859">
        <v>6</v>
      </c>
      <c r="L21" s="859">
        <v>11</v>
      </c>
      <c r="M21" s="859">
        <v>5.4</v>
      </c>
      <c r="N21" s="859">
        <v>6</v>
      </c>
      <c r="O21" s="859">
        <v>11</v>
      </c>
      <c r="P21" s="859">
        <v>11.4</v>
      </c>
      <c r="Q21" s="859">
        <v>13.59</v>
      </c>
      <c r="R21" s="859">
        <v>17.12</v>
      </c>
      <c r="S21" s="859">
        <v>23.87</v>
      </c>
      <c r="T21" s="859">
        <v>21.81</v>
      </c>
      <c r="U21" s="859">
        <v>26.66</v>
      </c>
      <c r="V21" s="859">
        <v>3.4</v>
      </c>
      <c r="W21" s="859">
        <v>1.8</v>
      </c>
      <c r="X21" s="859">
        <v>15</v>
      </c>
      <c r="Y21" s="859">
        <v>30</v>
      </c>
    </row>
    <row r="22" spans="1:42" x14ac:dyDescent="0.25">
      <c r="A22" s="875"/>
      <c r="B22" s="535" t="s">
        <v>233</v>
      </c>
      <c r="C22" s="859">
        <v>1</v>
      </c>
      <c r="D22" s="859">
        <v>1</v>
      </c>
      <c r="E22" s="859">
        <v>109</v>
      </c>
      <c r="F22" s="859">
        <v>37</v>
      </c>
      <c r="G22" s="859">
        <v>129</v>
      </c>
      <c r="H22" s="859">
        <v>19</v>
      </c>
      <c r="I22" s="859">
        <v>9.6</v>
      </c>
      <c r="J22" s="859">
        <v>4</v>
      </c>
      <c r="K22" s="859">
        <v>6</v>
      </c>
      <c r="L22" s="859">
        <v>11</v>
      </c>
      <c r="M22" s="859">
        <v>4</v>
      </c>
      <c r="N22" s="859">
        <v>6</v>
      </c>
      <c r="O22" s="859">
        <v>11</v>
      </c>
      <c r="P22" s="859">
        <v>14.4</v>
      </c>
      <c r="Q22" s="859">
        <v>18.190000000000001</v>
      </c>
      <c r="R22" s="859">
        <v>23.02</v>
      </c>
      <c r="S22" s="859">
        <v>20.64</v>
      </c>
      <c r="T22" s="859">
        <v>20.079999999999998</v>
      </c>
      <c r="U22" s="859">
        <v>22.92</v>
      </c>
      <c r="V22" s="859">
        <v>6</v>
      </c>
      <c r="W22" s="859">
        <v>1.8</v>
      </c>
      <c r="X22" s="859">
        <v>15</v>
      </c>
      <c r="Y22" s="859">
        <v>30</v>
      </c>
    </row>
    <row r="23" spans="1:42" x14ac:dyDescent="0.25">
      <c r="A23" s="875"/>
      <c r="B23" s="535" t="s">
        <v>234</v>
      </c>
      <c r="C23" s="859">
        <v>1</v>
      </c>
      <c r="D23" s="859">
        <v>1</v>
      </c>
      <c r="E23" s="859">
        <v>124</v>
      </c>
      <c r="F23" s="859">
        <v>43</v>
      </c>
      <c r="G23" s="859">
        <v>134</v>
      </c>
      <c r="H23" s="859">
        <v>20</v>
      </c>
      <c r="I23" s="859">
        <v>9.5299999999999994</v>
      </c>
      <c r="J23" s="859">
        <v>4</v>
      </c>
      <c r="K23" s="859">
        <v>6</v>
      </c>
      <c r="L23" s="859">
        <v>11</v>
      </c>
      <c r="M23" s="859">
        <v>4</v>
      </c>
      <c r="N23" s="859">
        <v>6</v>
      </c>
      <c r="O23" s="859">
        <v>11</v>
      </c>
      <c r="P23" s="859">
        <v>15</v>
      </c>
      <c r="Q23" s="859">
        <v>18.989999999999998</v>
      </c>
      <c r="R23" s="859">
        <v>24.02</v>
      </c>
      <c r="S23" s="859">
        <v>20.309999999999999</v>
      </c>
      <c r="T23" s="859">
        <v>19.649999999999999</v>
      </c>
      <c r="U23" s="859">
        <v>22.31</v>
      </c>
      <c r="V23" s="859">
        <v>6.4</v>
      </c>
      <c r="W23" s="859">
        <v>1.8</v>
      </c>
      <c r="X23" s="859">
        <v>15</v>
      </c>
      <c r="Y23" s="859">
        <v>30</v>
      </c>
    </row>
    <row r="24" spans="1:42" x14ac:dyDescent="0.25">
      <c r="A24" s="875"/>
      <c r="B24" s="535" t="s">
        <v>235</v>
      </c>
      <c r="C24" s="859">
        <v>1</v>
      </c>
      <c r="D24" s="859">
        <v>1</v>
      </c>
      <c r="E24" s="859">
        <v>141</v>
      </c>
      <c r="F24" s="859">
        <v>48</v>
      </c>
      <c r="G24" s="859">
        <v>143</v>
      </c>
      <c r="H24" s="859">
        <v>21</v>
      </c>
      <c r="I24" s="859">
        <v>9.61</v>
      </c>
      <c r="J24" s="859">
        <v>5</v>
      </c>
      <c r="K24" s="859">
        <v>6</v>
      </c>
      <c r="L24" s="859">
        <v>11</v>
      </c>
      <c r="M24" s="859">
        <v>5</v>
      </c>
      <c r="N24" s="859">
        <v>6</v>
      </c>
      <c r="O24" s="859">
        <v>11</v>
      </c>
      <c r="P24" s="859">
        <v>16</v>
      </c>
      <c r="Q24" s="859">
        <v>19.79</v>
      </c>
      <c r="R24" s="859">
        <v>25.02</v>
      </c>
      <c r="S24" s="859">
        <v>21.66</v>
      </c>
      <c r="T24" s="859">
        <v>19.41</v>
      </c>
      <c r="U24" s="859">
        <v>21.87</v>
      </c>
      <c r="V24" s="859">
        <v>6.8</v>
      </c>
      <c r="W24" s="859">
        <v>1.8</v>
      </c>
      <c r="X24" s="859">
        <v>15</v>
      </c>
      <c r="Y24" s="859">
        <v>30</v>
      </c>
    </row>
    <row r="25" spans="1:42" x14ac:dyDescent="0.25">
      <c r="A25" s="875"/>
      <c r="B25" s="987"/>
      <c r="C25" s="907">
        <v>0</v>
      </c>
      <c r="D25" s="949"/>
      <c r="E25" s="950"/>
      <c r="F25" s="951"/>
      <c r="G25" s="952"/>
      <c r="H25" s="953"/>
      <c r="I25" s="949"/>
      <c r="J25" s="914"/>
      <c r="K25" s="880"/>
      <c r="L25" s="915"/>
      <c r="M25" s="954"/>
      <c r="N25" s="952"/>
      <c r="O25" s="952"/>
      <c r="P25" s="952"/>
      <c r="Q25" s="951"/>
      <c r="R25" s="955"/>
      <c r="S25" s="935"/>
      <c r="T25" s="938"/>
      <c r="V25" s="949"/>
      <c r="W25" s="953"/>
      <c r="X25" s="953"/>
      <c r="Y25" s="956"/>
    </row>
    <row r="26" spans="1:42" x14ac:dyDescent="0.25">
      <c r="A26" s="875"/>
      <c r="B26" s="987" t="s">
        <v>237</v>
      </c>
      <c r="C26" s="907">
        <v>0</v>
      </c>
      <c r="D26" s="949">
        <f>+'Nährstoffe und Lagerraum'!BD12</f>
        <v>1</v>
      </c>
      <c r="E26" s="950">
        <f>+$D26</f>
        <v>1</v>
      </c>
      <c r="F26" s="950">
        <f t="shared" ref="F26:Y27" si="0">+$D26</f>
        <v>1</v>
      </c>
      <c r="G26" s="950">
        <f t="shared" si="0"/>
        <v>1</v>
      </c>
      <c r="H26" s="953">
        <f t="shared" si="0"/>
        <v>1</v>
      </c>
      <c r="I26" s="953">
        <f t="shared" si="0"/>
        <v>1</v>
      </c>
      <c r="J26" s="957">
        <f t="shared" si="0"/>
        <v>1</v>
      </c>
      <c r="K26" s="958">
        <f t="shared" si="0"/>
        <v>1</v>
      </c>
      <c r="L26" s="959">
        <f t="shared" si="0"/>
        <v>1</v>
      </c>
      <c r="M26" s="960">
        <f t="shared" si="0"/>
        <v>1</v>
      </c>
      <c r="N26" s="960">
        <f t="shared" si="0"/>
        <v>1</v>
      </c>
      <c r="O26" s="960">
        <f t="shared" si="0"/>
        <v>1</v>
      </c>
      <c r="P26" s="950">
        <f t="shared" si="0"/>
        <v>1</v>
      </c>
      <c r="Q26" s="950">
        <f t="shared" si="0"/>
        <v>1</v>
      </c>
      <c r="R26" s="953">
        <f t="shared" si="0"/>
        <v>1</v>
      </c>
      <c r="S26" s="953">
        <f t="shared" si="0"/>
        <v>1</v>
      </c>
      <c r="T26" s="953">
        <f t="shared" si="0"/>
        <v>1</v>
      </c>
      <c r="U26" s="953">
        <f t="shared" si="0"/>
        <v>1</v>
      </c>
      <c r="V26" s="950">
        <f t="shared" si="0"/>
        <v>1</v>
      </c>
      <c r="W26" s="950">
        <f t="shared" si="0"/>
        <v>1</v>
      </c>
      <c r="X26" s="950">
        <f t="shared" si="0"/>
        <v>1</v>
      </c>
      <c r="Y26" s="950">
        <f t="shared" si="0"/>
        <v>1</v>
      </c>
    </row>
    <row r="27" spans="1:42" x14ac:dyDescent="0.25">
      <c r="A27" s="875"/>
      <c r="B27" s="987" t="s">
        <v>197</v>
      </c>
      <c r="C27" s="907">
        <v>0</v>
      </c>
      <c r="D27" s="949">
        <f>+'Nährstoffe und Lagerraum'!B12</f>
        <v>0</v>
      </c>
      <c r="E27" s="950">
        <f>+$D27</f>
        <v>0</v>
      </c>
      <c r="F27" s="950">
        <f t="shared" si="0"/>
        <v>0</v>
      </c>
      <c r="G27" s="950">
        <f t="shared" si="0"/>
        <v>0</v>
      </c>
      <c r="H27" s="953">
        <f t="shared" si="0"/>
        <v>0</v>
      </c>
      <c r="I27" s="953">
        <f t="shared" si="0"/>
        <v>0</v>
      </c>
      <c r="J27" s="957">
        <f t="shared" si="0"/>
        <v>0</v>
      </c>
      <c r="K27" s="958">
        <f t="shared" si="0"/>
        <v>0</v>
      </c>
      <c r="L27" s="959">
        <f t="shared" si="0"/>
        <v>0</v>
      </c>
      <c r="M27" s="960">
        <f t="shared" si="0"/>
        <v>0</v>
      </c>
      <c r="N27" s="960">
        <f t="shared" si="0"/>
        <v>0</v>
      </c>
      <c r="O27" s="960">
        <f t="shared" si="0"/>
        <v>0</v>
      </c>
      <c r="P27" s="950">
        <f t="shared" si="0"/>
        <v>0</v>
      </c>
      <c r="Q27" s="950">
        <f t="shared" si="0"/>
        <v>0</v>
      </c>
      <c r="R27" s="953">
        <f t="shared" si="0"/>
        <v>0</v>
      </c>
      <c r="S27" s="953">
        <f t="shared" si="0"/>
        <v>0</v>
      </c>
      <c r="T27" s="953">
        <f t="shared" si="0"/>
        <v>0</v>
      </c>
      <c r="U27" s="953">
        <f t="shared" si="0"/>
        <v>0</v>
      </c>
      <c r="V27" s="950">
        <f t="shared" si="0"/>
        <v>0</v>
      </c>
      <c r="W27" s="950">
        <f t="shared" si="0"/>
        <v>0</v>
      </c>
      <c r="X27" s="950">
        <f t="shared" si="0"/>
        <v>0</v>
      </c>
      <c r="Y27" s="950">
        <f t="shared" si="0"/>
        <v>0</v>
      </c>
    </row>
    <row r="28" spans="1:42" x14ac:dyDescent="0.25">
      <c r="A28" s="875"/>
      <c r="B28" s="987" t="s">
        <v>238</v>
      </c>
      <c r="C28" s="907">
        <v>0</v>
      </c>
      <c r="D28" s="961">
        <f t="shared" ref="D28:L28" si="1">IF(D27&lt;=6000,D14,IF(AND(D27&gt;6000,D27&lt;=8000),D14+(D15-D14)/2000*(D27-6000),IF(AND(D27&gt;8000,D27&lt;=10000),D15+(D16-D15)/2000*(D27-8000),IF(AND(D27&gt;10000,D27&lt;=12000),D16+(D17-D16)/2000*(D27-10000),D17))))</f>
        <v>1</v>
      </c>
      <c r="E28" s="961">
        <f t="shared" si="1"/>
        <v>100</v>
      </c>
      <c r="F28" s="961">
        <f t="shared" si="1"/>
        <v>36</v>
      </c>
      <c r="G28" s="961">
        <f t="shared" si="1"/>
        <v>104</v>
      </c>
      <c r="H28" s="961">
        <f t="shared" si="1"/>
        <v>19</v>
      </c>
      <c r="I28" s="961">
        <f t="shared" si="1"/>
        <v>8.9</v>
      </c>
      <c r="J28" s="962">
        <f t="shared" si="1"/>
        <v>4</v>
      </c>
      <c r="K28" s="963">
        <f t="shared" si="1"/>
        <v>6</v>
      </c>
      <c r="L28" s="964">
        <f t="shared" si="1"/>
        <v>11</v>
      </c>
      <c r="M28" s="961">
        <f t="shared" ref="M28:X28" si="2">IF(M27&lt;=6000,M14,IF(AND(M27&gt;6000,M27&lt;=8000),M14+(M15-M14)/2000*(M27-6000),IF(AND(M27&gt;8000,M27&lt;=10000),M15+(M16-M15)/2000*(M27-8000),IF(AND(M27&gt;10000,M27&lt;=12000),M16+(M17-M16)/2000*(M27-10000),M17))))</f>
        <v>4</v>
      </c>
      <c r="N28" s="961">
        <f t="shared" ref="N28:O28" si="3">IF(N27&lt;=6000,N14,IF(AND(N27&gt;6000,N27&lt;=8000),N14+(N15-N14)/2000*(N27-6000),IF(AND(N27&gt;8000,N27&lt;=10000),N15+(N16-N15)/2000*(N27-8000),IF(AND(N27&gt;10000,N27&lt;=12000),N16+(N17-N16)/2000*(N27-10000),N17))))</f>
        <v>6</v>
      </c>
      <c r="O28" s="961">
        <f t="shared" si="3"/>
        <v>11</v>
      </c>
      <c r="P28" s="961">
        <f t="shared" si="2"/>
        <v>14.4</v>
      </c>
      <c r="Q28" s="961">
        <f t="shared" si="2"/>
        <v>18.190000000000001</v>
      </c>
      <c r="R28" s="961">
        <f t="shared" si="2"/>
        <v>23.02</v>
      </c>
      <c r="S28" s="961">
        <f t="shared" si="2"/>
        <v>19.71</v>
      </c>
      <c r="T28" s="961">
        <f t="shared" ref="T28:U28" si="4">IF(T27&lt;=6000,T14,IF(AND(T27&gt;6000,T27&lt;=8000),T14+(T15-T14)/2000*(T27-6000),IF(AND(T27&gt;8000,T27&lt;=10000),T15+(T16-T15)/2000*(T27-8000),IF(AND(T27&gt;10000,T27&lt;=12000),T16+(T17-T16)/2000*(T27-10000),T17))))</f>
        <v>19.350000000000001</v>
      </c>
      <c r="U28" s="961">
        <f t="shared" si="4"/>
        <v>22.35</v>
      </c>
      <c r="V28" s="961">
        <f>IF(V27&lt;=6000,V14,IF(AND(V27&gt;6000,V27&lt;=8000),V14+(V15-V14)/2000*(V27-6000),IF(AND(V27&gt;8000,V27&lt;=10000),V15+(V16-V15)/2000*(V27-8000),IF(AND(V27&gt;10000,V27&lt;=12000),V16+(V17-V16)/2000*(V27-10000),V17))))</f>
        <v>6</v>
      </c>
      <c r="W28" s="961">
        <f>IF(W27&lt;=6000,W14,IF(AND(W27&gt;6000,W27&lt;=8000),W14+(W15-W14)/2000*(W27-6000),IF(AND(W27&gt;8000,W27&lt;=10000),W15+(W16-W15)/2000*(W27-8000),IF(AND(W27&gt;10000,W27&lt;=12000),W16+(W17-W16)/2000*(W27-10000),W17))))</f>
        <v>1.8</v>
      </c>
      <c r="X28" s="961">
        <f t="shared" si="2"/>
        <v>15</v>
      </c>
      <c r="Y28" s="961">
        <f>IF(Y27&lt;=6000,Y14,IF(AND(Y27&gt;6000,Y27&lt;=8000),Y14+(Y15-Y14)/2000*(Y27-6000),IF(AND(Y27&gt;8000,Y27&lt;=10000),Y15+(Y16-Y15)/2000*(Y27-8000),IF(AND(Y27&gt;10000,Y27&lt;=12000),Y16+(Y17-Y16)/2000*(Y27-10000),Y17))))</f>
        <v>30</v>
      </c>
      <c r="Z28" s="961"/>
    </row>
    <row r="29" spans="1:42" x14ac:dyDescent="0.25">
      <c r="A29" s="875"/>
      <c r="B29" s="987" t="s">
        <v>239</v>
      </c>
      <c r="C29" s="907">
        <v>0</v>
      </c>
      <c r="D29" s="961">
        <f>IF(D27&lt;=6000,D22,IF(AND(D27&gt;6000,D27&lt;=8000),D22+(D23-D22)/2000*(D27-6000),IF(AND(D27&gt;8000,D27&lt;=10000),D23+(D24-D23)/2000*(D27-8000),D24)))</f>
        <v>1</v>
      </c>
      <c r="E29" s="961">
        <f>IF(E27&lt;=6000,E22,IF(AND(E27&gt;6000,E27&lt;=8000),E22+(E23-E22)/2000*(E27-6000),IF(AND(E27&gt;8000,E27&lt;=10000),E23+(E24-E23)/2000*(E27-8000),E24)))</f>
        <v>109</v>
      </c>
      <c r="F29" s="961">
        <f t="shared" ref="F29:Y29" si="5">IF(F27&lt;=6000,F22,IF(AND(F27&gt;6000,F27&lt;=8000),F22+(F23-F22)/2000*(F27-6000),IF(AND(F27&gt;8000,F27&lt;=10000),F23+(F24-F23)/2000*(F27-8000),F24)))</f>
        <v>37</v>
      </c>
      <c r="G29" s="961">
        <f t="shared" si="5"/>
        <v>129</v>
      </c>
      <c r="H29" s="961">
        <f t="shared" si="5"/>
        <v>19</v>
      </c>
      <c r="I29" s="961">
        <f>IF(I27&lt;=6000,I22,IF(AND(I27&gt;6000,I27&lt;=8000),I22+(I23-I22)/2000*(I27-6000),IF(AND(I27&gt;8000,I27&lt;=10000),I23+(I24-I23)/2000*(I27-8000),I24)))</f>
        <v>9.6</v>
      </c>
      <c r="J29" s="962">
        <f>IF(J27&lt;=6000,J22,IF(AND(J27&gt;6000,J27&lt;=8000),J22+(J23-J22)/2000*(J27-6000),IF(AND(J27&gt;8000,J27&lt;=10000),J23+(J24-J23)/2000*(J27-8000),J24)))</f>
        <v>4</v>
      </c>
      <c r="K29" s="963">
        <f>IF(K27&lt;=6000,K22,IF(AND(K27&gt;6000,K27&lt;=8000),K22+(K23-K22)/2000*(K27-6000),IF(AND(K27&gt;8000,K27&lt;=10000),K23+(K24-K23)/2000*(K27-8000),K24)))</f>
        <v>6</v>
      </c>
      <c r="L29" s="964">
        <f>IF(L27&lt;=6000,L22,IF(AND(L27&gt;6000,L27&lt;=8000),L22+(L23-L22)/2000*(L27-6000),IF(AND(L27&gt;8000,L27&lt;=10000),L23+(L24-L23)/2000*(L27-8000),L24)))</f>
        <v>11</v>
      </c>
      <c r="M29" s="961">
        <f t="shared" si="5"/>
        <v>4</v>
      </c>
      <c r="N29" s="961">
        <f t="shared" ref="N29:O29" si="6">IF(N27&lt;=6000,N22,IF(AND(N27&gt;6000,N27&lt;=8000),N22+(N23-N22)/2000*(N27-6000),IF(AND(N27&gt;8000,N27&lt;=10000),N23+(N24-N23)/2000*(N27-8000),N24)))</f>
        <v>6</v>
      </c>
      <c r="O29" s="961">
        <f t="shared" si="6"/>
        <v>11</v>
      </c>
      <c r="P29" s="961">
        <f t="shared" si="5"/>
        <v>14.4</v>
      </c>
      <c r="Q29" s="961">
        <f t="shared" si="5"/>
        <v>18.190000000000001</v>
      </c>
      <c r="R29" s="961">
        <f t="shared" si="5"/>
        <v>23.02</v>
      </c>
      <c r="S29" s="961">
        <f t="shared" si="5"/>
        <v>20.64</v>
      </c>
      <c r="T29" s="961">
        <f t="shared" ref="T29:U29" si="7">IF(T27&lt;=6000,T22,IF(AND(T27&gt;6000,T27&lt;=8000),T22+(T23-T22)/2000*(T27-6000),IF(AND(T27&gt;8000,T27&lt;=10000),T23+(T24-T23)/2000*(T27-8000),T24)))</f>
        <v>20.079999999999998</v>
      </c>
      <c r="U29" s="961">
        <f t="shared" si="7"/>
        <v>22.92</v>
      </c>
      <c r="V29" s="961">
        <f t="shared" si="5"/>
        <v>6</v>
      </c>
      <c r="W29" s="961">
        <f t="shared" si="5"/>
        <v>1.8</v>
      </c>
      <c r="X29" s="961">
        <f t="shared" si="5"/>
        <v>15</v>
      </c>
      <c r="Y29" s="961">
        <f t="shared" si="5"/>
        <v>30</v>
      </c>
      <c r="Z29" s="961"/>
    </row>
    <row r="30" spans="1:42" x14ac:dyDescent="0.25">
      <c r="A30" s="875"/>
      <c r="B30" s="987"/>
      <c r="C30" s="907">
        <v>0</v>
      </c>
      <c r="D30" s="950"/>
      <c r="E30" s="950"/>
      <c r="F30" s="950"/>
      <c r="G30" s="950"/>
      <c r="H30" s="953"/>
      <c r="I30" s="949"/>
      <c r="J30" s="914"/>
      <c r="K30" s="880"/>
      <c r="L30" s="915"/>
      <c r="M30" s="960"/>
      <c r="N30" s="960"/>
      <c r="O30" s="960"/>
      <c r="P30" s="950"/>
      <c r="Q30" s="950"/>
      <c r="R30" s="953"/>
      <c r="S30" s="935"/>
      <c r="T30" s="938"/>
      <c r="U30" s="938"/>
      <c r="V30" s="950"/>
      <c r="W30" s="950"/>
      <c r="X30" s="950"/>
      <c r="Y30" s="950"/>
    </row>
    <row r="31" spans="1:42" x14ac:dyDescent="0.25">
      <c r="A31" s="875"/>
      <c r="B31" s="988" t="s">
        <v>20</v>
      </c>
      <c r="C31" s="851">
        <v>1</v>
      </c>
      <c r="D31" s="851">
        <v>1</v>
      </c>
      <c r="E31" s="130">
        <f>IF(E$26&lt;=0.65,E28,IF(E$26&gt;=0.85,E29,((0.85-E$26)*5*E28)+((E$26-0.65)*5*E29)))</f>
        <v>109</v>
      </c>
      <c r="F31" s="130">
        <f t="shared" ref="F31:Y31" si="8">IF(F$26&lt;=0.65,F28,IF(F$26&gt;=0.85,F29,((0.85-F$26)*5*F28)+((F$26-0.65)*5*F29)))</f>
        <v>37</v>
      </c>
      <c r="G31" s="130">
        <f t="shared" si="8"/>
        <v>129</v>
      </c>
      <c r="H31" s="130">
        <f t="shared" ref="H31:L31" si="9">IF(H$26&lt;=0.65,H28,IF(H$26&gt;=0.85,H29,((0.85-H$26)*5*H28)+((H$26-0.65)*5*H29)))</f>
        <v>19</v>
      </c>
      <c r="I31" s="130">
        <f t="shared" si="9"/>
        <v>9.6</v>
      </c>
      <c r="J31" s="206">
        <f t="shared" si="9"/>
        <v>4</v>
      </c>
      <c r="K31" s="204">
        <f t="shared" si="9"/>
        <v>6</v>
      </c>
      <c r="L31" s="205">
        <f t="shared" si="9"/>
        <v>11</v>
      </c>
      <c r="M31" s="130">
        <f t="shared" si="8"/>
        <v>4</v>
      </c>
      <c r="N31" s="130">
        <f t="shared" si="8"/>
        <v>6</v>
      </c>
      <c r="O31" s="130">
        <f t="shared" si="8"/>
        <v>11</v>
      </c>
      <c r="P31" s="130">
        <f>IF(P$26&lt;=0.65,P28,IF(P$26&gt;=0.85,P29,((0.85-P$26)*5*P28)+((P$26-0.65)*5*P29)))</f>
        <v>14.4</v>
      </c>
      <c r="Q31" s="130">
        <f t="shared" si="8"/>
        <v>18.190000000000001</v>
      </c>
      <c r="R31" s="130">
        <f t="shared" si="8"/>
        <v>23.02</v>
      </c>
      <c r="S31" s="130">
        <f t="shared" si="8"/>
        <v>20.64</v>
      </c>
      <c r="T31" s="130">
        <f t="shared" si="8"/>
        <v>20.079999999999998</v>
      </c>
      <c r="U31" s="130">
        <f t="shared" si="8"/>
        <v>22.92</v>
      </c>
      <c r="V31" s="130">
        <f t="shared" si="8"/>
        <v>6</v>
      </c>
      <c r="W31" s="851">
        <v>1.8</v>
      </c>
      <c r="X31" s="130">
        <f t="shared" si="8"/>
        <v>15</v>
      </c>
      <c r="Y31" s="130">
        <f t="shared" si="8"/>
        <v>30</v>
      </c>
      <c r="Z31" s="223">
        <v>0.9</v>
      </c>
      <c r="AD31" s="965">
        <v>1</v>
      </c>
      <c r="AE31" s="965">
        <v>2</v>
      </c>
      <c r="AF31" s="965">
        <v>50</v>
      </c>
      <c r="AG31" s="854">
        <v>90</v>
      </c>
      <c r="AH31" s="854">
        <v>10</v>
      </c>
      <c r="AI31" s="924" cm="1">
        <f t="array" ref="AI31">INDEX(AN$9:AN$17,$C31)</f>
        <v>3.2</v>
      </c>
      <c r="AJ31" s="924" cm="1">
        <f t="array" ref="AJ31">INDEX(AO$9:AO$17,$C31)</f>
        <v>0.2</v>
      </c>
      <c r="AK31" s="924" cm="1">
        <f t="array" ref="AK31">INDEX(AP$9:AP$17,$C31)</f>
        <v>7.9</v>
      </c>
    </row>
    <row r="32" spans="1:42" x14ac:dyDescent="0.25">
      <c r="A32" s="875"/>
      <c r="B32" s="535" t="s">
        <v>7816</v>
      </c>
      <c r="C32" s="859">
        <v>1</v>
      </c>
      <c r="D32" s="859">
        <v>0.2</v>
      </c>
      <c r="E32" s="859">
        <v>21.81</v>
      </c>
      <c r="F32" s="859">
        <v>7.4</v>
      </c>
      <c r="G32" s="859">
        <v>22.24</v>
      </c>
      <c r="H32" s="859">
        <v>4.08</v>
      </c>
      <c r="I32" s="859">
        <v>9.19</v>
      </c>
      <c r="J32" s="859">
        <v>3.6</v>
      </c>
      <c r="K32" s="859">
        <v>6</v>
      </c>
      <c r="L32" s="859">
        <v>11</v>
      </c>
      <c r="M32" s="859">
        <v>0.72</v>
      </c>
      <c r="N32" s="859">
        <v>1.2</v>
      </c>
      <c r="O32" s="859">
        <v>2.2000000000000002</v>
      </c>
      <c r="P32" s="859">
        <v>3.15</v>
      </c>
      <c r="Q32" s="859">
        <v>3.88</v>
      </c>
      <c r="R32" s="859">
        <v>4.88</v>
      </c>
      <c r="S32" s="859">
        <v>18.350000000000001</v>
      </c>
      <c r="T32" s="859">
        <v>19.079999999999998</v>
      </c>
      <c r="U32" s="859">
        <v>21.83</v>
      </c>
      <c r="V32" s="859">
        <v>1.28</v>
      </c>
      <c r="W32" s="859">
        <v>1.8</v>
      </c>
      <c r="X32" s="859">
        <v>15</v>
      </c>
      <c r="Y32" s="859">
        <v>30</v>
      </c>
      <c r="Z32" s="856">
        <v>0.9</v>
      </c>
      <c r="AD32" s="965">
        <v>1</v>
      </c>
      <c r="AE32" s="965">
        <v>2</v>
      </c>
      <c r="AF32" s="965">
        <v>50</v>
      </c>
      <c r="AG32" s="854">
        <v>90</v>
      </c>
      <c r="AH32" s="854">
        <v>10</v>
      </c>
      <c r="AI32" s="924" cm="1">
        <f t="array" ref="AI32">INDEX(AN$9:AN$17,$C32)</f>
        <v>3.2</v>
      </c>
      <c r="AJ32" s="924" cm="1">
        <f t="array" ref="AJ32">INDEX(AO$9:AO$17,$C32)</f>
        <v>0.2</v>
      </c>
      <c r="AK32" s="924" cm="1">
        <f t="array" ref="AK32">INDEX(AP$9:AP$17,$C32)</f>
        <v>7.9</v>
      </c>
    </row>
    <row r="33" spans="1:37" x14ac:dyDescent="0.25">
      <c r="A33" s="875"/>
      <c r="B33" s="988" t="s">
        <v>7818</v>
      </c>
      <c r="C33" s="851">
        <v>1</v>
      </c>
      <c r="D33" s="851">
        <v>0.4</v>
      </c>
      <c r="E33" s="130">
        <f>IF(E$26&lt;=0.65,E11,IF(E$26&gt;=0.85,E19,((0.85-E$26)*5*E11)+((E$26-0.65)*5*E19)))</f>
        <v>46.2</v>
      </c>
      <c r="F33" s="130">
        <f t="shared" ref="F33:Y33" si="10">IF(F$26&lt;=0.65,F11,IF(F$26&gt;=0.85,F19,((0.85-F$26)*5*F11)+((F$26-0.65)*5*F19)))</f>
        <v>13.5</v>
      </c>
      <c r="G33" s="130">
        <f t="shared" si="10"/>
        <v>56</v>
      </c>
      <c r="H33" s="851">
        <v>7.6</v>
      </c>
      <c r="I33" s="130">
        <f>IF(I$26&lt;=0.65,I11,IF(I$26&gt;=0.85,I19,((0.85-I$26)*5*I11)+((I$26-0.65)*5*I19)))</f>
        <v>8.15</v>
      </c>
      <c r="J33" s="851">
        <v>5.4</v>
      </c>
      <c r="K33" s="851">
        <v>6</v>
      </c>
      <c r="L33" s="851">
        <v>11</v>
      </c>
      <c r="M33" s="851">
        <v>2.16</v>
      </c>
      <c r="N33" s="851">
        <v>2.4</v>
      </c>
      <c r="O33" s="851">
        <v>4.4000000000000004</v>
      </c>
      <c r="P33" s="1143">
        <v>6.3</v>
      </c>
      <c r="Q33" s="851">
        <v>7.48</v>
      </c>
      <c r="R33" s="851">
        <v>9.2100000000000009</v>
      </c>
      <c r="S33" s="130">
        <f>IF(S$26&lt;=0.65,S11,IF(S$26&gt;=0.85,S19,((0.85-S$26)*5*S11)+((S$26-0.65)*5*S19)))</f>
        <v>19.71</v>
      </c>
      <c r="T33" s="130">
        <f t="shared" ref="T33:U33" si="11">IF(T$26&lt;=0.65,T11,IF(T$26&gt;=0.85,T19,((0.85-T$26)*5*T11)+((T$26-0.65)*5*T19)))</f>
        <v>18.11</v>
      </c>
      <c r="U33" s="130">
        <f t="shared" si="11"/>
        <v>21.72</v>
      </c>
      <c r="V33" s="851">
        <v>2</v>
      </c>
      <c r="W33" s="851">
        <v>1.8</v>
      </c>
      <c r="X33" s="130">
        <f t="shared" si="10"/>
        <v>15</v>
      </c>
      <c r="Y33" s="130">
        <f t="shared" si="10"/>
        <v>30</v>
      </c>
      <c r="Z33" s="856">
        <v>0.9</v>
      </c>
      <c r="AD33" s="965">
        <v>1</v>
      </c>
      <c r="AE33" s="965">
        <v>2</v>
      </c>
      <c r="AF33" s="965">
        <v>50</v>
      </c>
      <c r="AG33" s="854">
        <v>90</v>
      </c>
      <c r="AH33" s="854">
        <v>10</v>
      </c>
      <c r="AI33" s="924" cm="1">
        <f t="array" ref="AI33">INDEX(AN$9:AN$17,$C33)</f>
        <v>3.2</v>
      </c>
      <c r="AJ33" s="924" cm="1">
        <f t="array" ref="AJ33">INDEX(AO$9:AO$17,$C33)</f>
        <v>0.2</v>
      </c>
      <c r="AK33" s="924" cm="1">
        <f t="array" ref="AK33">INDEX(AP$9:AP$17,$C33)</f>
        <v>7.9</v>
      </c>
    </row>
    <row r="34" spans="1:37" x14ac:dyDescent="0.25">
      <c r="A34" s="875"/>
      <c r="B34" s="988" t="s">
        <v>6</v>
      </c>
      <c r="C34" s="851">
        <v>1</v>
      </c>
      <c r="D34" s="851">
        <v>0.7</v>
      </c>
      <c r="E34" s="130">
        <f t="shared" ref="E34:Y34" si="12">IF(E$26&lt;=0.65,E12,IF(E$26&gt;=0.85,E20,((0.85-E$26)*5*E12)+((E$26-0.65)*5*E20)))</f>
        <v>70.7</v>
      </c>
      <c r="F34" s="130">
        <f t="shared" si="12"/>
        <v>20.2</v>
      </c>
      <c r="G34" s="130">
        <f t="shared" si="12"/>
        <v>90.7</v>
      </c>
      <c r="H34" s="851">
        <v>11.5</v>
      </c>
      <c r="I34" s="130">
        <f>IF(I$26&lt;=0.65,I12,IF(I$26&gt;=0.85,I20,((0.85-I$26)*5*I12)+((I$26-0.65)*5*I20)))</f>
        <v>8.2799999999999994</v>
      </c>
      <c r="J34" s="851">
        <v>5.4</v>
      </c>
      <c r="K34" s="851">
        <v>6</v>
      </c>
      <c r="L34" s="851">
        <v>11</v>
      </c>
      <c r="M34" s="851">
        <v>3.78</v>
      </c>
      <c r="N34" s="851">
        <v>4.2</v>
      </c>
      <c r="O34" s="851">
        <v>7.7</v>
      </c>
      <c r="P34" s="851">
        <v>10</v>
      </c>
      <c r="Q34" s="851">
        <v>11.53</v>
      </c>
      <c r="R34" s="851">
        <v>14.31</v>
      </c>
      <c r="S34" s="130">
        <f>IF(S$26&lt;=0.65,S12,IF(S$26&gt;=0.85,S20,((0.85-S$26)*5*S12)+((S$26-0.65)*5*S20)))</f>
        <v>20.85</v>
      </c>
      <c r="T34" s="130">
        <f t="shared" ref="T34:U34" si="13">IF(T$26&lt;=0.65,T12,IF(T$26&gt;=0.85,T20,((0.85-T$26)*5*T12)+((T$26-0.65)*5*T20)))</f>
        <v>19.46</v>
      </c>
      <c r="U34" s="130">
        <f t="shared" si="13"/>
        <v>23.54</v>
      </c>
      <c r="V34" s="851">
        <v>3</v>
      </c>
      <c r="W34" s="851">
        <v>1.8</v>
      </c>
      <c r="X34" s="130">
        <f t="shared" si="12"/>
        <v>15</v>
      </c>
      <c r="Y34" s="130">
        <f t="shared" si="12"/>
        <v>30</v>
      </c>
      <c r="Z34" s="856">
        <v>0.9</v>
      </c>
      <c r="AD34" s="965">
        <v>1</v>
      </c>
      <c r="AE34" s="965">
        <v>2</v>
      </c>
      <c r="AF34" s="965">
        <v>50</v>
      </c>
      <c r="AG34" s="854">
        <v>90</v>
      </c>
      <c r="AH34" s="854">
        <v>10</v>
      </c>
      <c r="AI34" s="924" cm="1">
        <f t="array" ref="AI34">INDEX(AN$9:AN$17,$C34)</f>
        <v>3.2</v>
      </c>
      <c r="AJ34" s="924" cm="1">
        <f t="array" ref="AJ34">INDEX(AO$9:AO$17,$C34)</f>
        <v>0.2</v>
      </c>
      <c r="AK34" s="924" cm="1">
        <f t="array" ref="AK34">INDEX(AP$9:AP$17,$C34)</f>
        <v>7.9</v>
      </c>
    </row>
    <row r="35" spans="1:37" x14ac:dyDescent="0.25">
      <c r="A35" s="875"/>
      <c r="B35" s="988" t="s">
        <v>7</v>
      </c>
      <c r="C35" s="851">
        <v>1</v>
      </c>
      <c r="D35" s="851">
        <v>1</v>
      </c>
      <c r="E35" s="130">
        <f t="shared" ref="E35:Y35" si="14">IF(E$26&lt;=0.65,E13,IF(E$26&gt;=0.85,E21,((0.85-E$26)*5*E13)+((E$26-0.65)*5*E21)))</f>
        <v>82.5</v>
      </c>
      <c r="F35" s="130">
        <f t="shared" si="14"/>
        <v>22.3</v>
      </c>
      <c r="G35" s="130">
        <f t="shared" si="14"/>
        <v>96.5</v>
      </c>
      <c r="H35" s="851">
        <v>13.1</v>
      </c>
      <c r="I35" s="130">
        <f>IF(I$26&lt;=0.65,I13,IF(I$26&gt;=0.85,I21,((0.85-I$26)*5*I13)+((I$26-0.65)*5*I21)))</f>
        <v>8.48</v>
      </c>
      <c r="J35" s="851">
        <v>5.4</v>
      </c>
      <c r="K35" s="851">
        <v>6</v>
      </c>
      <c r="L35" s="851">
        <v>11</v>
      </c>
      <c r="M35" s="851">
        <v>5.4</v>
      </c>
      <c r="N35" s="851">
        <v>6</v>
      </c>
      <c r="O35" s="851">
        <v>11</v>
      </c>
      <c r="P35" s="851">
        <v>11.4</v>
      </c>
      <c r="Q35" s="851">
        <v>13.59</v>
      </c>
      <c r="R35" s="851">
        <v>17.12</v>
      </c>
      <c r="S35" s="130">
        <f>IF(S$26&lt;=0.65,S13,IF(S$26&gt;=0.85,S21,((0.85-S$26)*5*S13)+((S$26-0.65)*5*S21)))</f>
        <v>23.87</v>
      </c>
      <c r="T35" s="130">
        <f t="shared" ref="T35:U35" si="15">IF(T$26&lt;=0.65,T13,IF(T$26&gt;=0.85,T21,((0.85-T$26)*5*T13)+((T$26-0.65)*5*T21)))</f>
        <v>21.81</v>
      </c>
      <c r="U35" s="130">
        <f t="shared" si="15"/>
        <v>26.66</v>
      </c>
      <c r="V35" s="851">
        <v>3.4</v>
      </c>
      <c r="W35" s="851">
        <v>1.8</v>
      </c>
      <c r="X35" s="130">
        <f t="shared" si="14"/>
        <v>15</v>
      </c>
      <c r="Y35" s="130">
        <f t="shared" si="14"/>
        <v>30</v>
      </c>
      <c r="Z35" s="856">
        <v>0.9</v>
      </c>
      <c r="AD35" s="965">
        <v>1</v>
      </c>
      <c r="AE35" s="965">
        <v>2</v>
      </c>
      <c r="AF35" s="965">
        <v>50</v>
      </c>
      <c r="AG35" s="854">
        <v>90</v>
      </c>
      <c r="AH35" s="854">
        <v>10</v>
      </c>
      <c r="AI35" s="924" cm="1">
        <f t="array" ref="AI35">INDEX(AN$9:AN$17,$C35)</f>
        <v>3.2</v>
      </c>
      <c r="AJ35" s="924" cm="1">
        <f t="array" ref="AJ35">INDEX(AO$9:AO$17,$C35)</f>
        <v>0.2</v>
      </c>
      <c r="AK35" s="924" cm="1">
        <f t="array" ref="AK35">INDEX(AP$9:AP$17,$C35)</f>
        <v>7.9</v>
      </c>
    </row>
    <row r="36" spans="1:37" x14ac:dyDescent="0.25">
      <c r="A36" s="875"/>
      <c r="B36" s="988" t="s">
        <v>7650</v>
      </c>
      <c r="C36" s="851">
        <v>1</v>
      </c>
      <c r="D36" s="851">
        <v>0.2</v>
      </c>
      <c r="E36" s="851">
        <v>19.559999999999999</v>
      </c>
      <c r="F36" s="851">
        <v>6.73</v>
      </c>
      <c r="G36" s="851">
        <v>11.9</v>
      </c>
      <c r="H36" s="851">
        <v>4</v>
      </c>
      <c r="I36" s="851">
        <v>6.06</v>
      </c>
      <c r="J36" s="851">
        <v>2.25</v>
      </c>
      <c r="K36" s="851">
        <v>6</v>
      </c>
      <c r="L36" s="851">
        <v>11</v>
      </c>
      <c r="M36" s="851">
        <v>0.45</v>
      </c>
      <c r="N36" s="851">
        <v>1.2</v>
      </c>
      <c r="O36" s="851">
        <v>2.2000000000000002</v>
      </c>
      <c r="P36" s="851">
        <v>3.74</v>
      </c>
      <c r="Q36" s="851">
        <v>4.13</v>
      </c>
      <c r="R36" s="851">
        <v>4.8</v>
      </c>
      <c r="S36" s="851">
        <v>9.9600000000000009</v>
      </c>
      <c r="T36" s="851">
        <v>14.85</v>
      </c>
      <c r="U36" s="851">
        <v>19.440000000000001</v>
      </c>
      <c r="V36" s="851">
        <v>0.62</v>
      </c>
      <c r="W36" s="851">
        <v>1.8</v>
      </c>
      <c r="X36" s="851">
        <v>15</v>
      </c>
      <c r="Y36" s="851">
        <v>30</v>
      </c>
      <c r="Z36" s="856">
        <v>0.9</v>
      </c>
      <c r="AD36" s="965">
        <v>1</v>
      </c>
      <c r="AE36" s="965">
        <v>2</v>
      </c>
      <c r="AF36" s="965">
        <v>50</v>
      </c>
      <c r="AG36" s="854">
        <v>90</v>
      </c>
      <c r="AH36" s="854">
        <v>10</v>
      </c>
      <c r="AI36" s="924" cm="1">
        <f t="array" ref="AI36">INDEX(AN$9:AN$17,$C36)</f>
        <v>3.2</v>
      </c>
      <c r="AJ36" s="924" cm="1">
        <f t="array" ref="AJ36">INDEX(AO$9:AO$17,$C36)</f>
        <v>0.2</v>
      </c>
      <c r="AK36" s="924" cm="1">
        <f t="array" ref="AK36">INDEX(AP$9:AP$17,$C36)</f>
        <v>7.9</v>
      </c>
    </row>
    <row r="37" spans="1:37" x14ac:dyDescent="0.25">
      <c r="A37" s="875"/>
      <c r="B37" s="988" t="s">
        <v>7651</v>
      </c>
      <c r="C37" s="851">
        <v>1</v>
      </c>
      <c r="D37" s="851">
        <v>0.2</v>
      </c>
      <c r="E37" s="851">
        <v>18.190000000000001</v>
      </c>
      <c r="F37" s="851">
        <v>5.61</v>
      </c>
      <c r="G37" s="851">
        <v>11.41</v>
      </c>
      <c r="H37" s="851">
        <v>4</v>
      </c>
      <c r="I37" s="851">
        <v>6.06</v>
      </c>
      <c r="J37" s="851">
        <v>2.25</v>
      </c>
      <c r="K37" s="851">
        <v>6</v>
      </c>
      <c r="L37" s="851">
        <v>11</v>
      </c>
      <c r="M37" s="851">
        <v>0.45</v>
      </c>
      <c r="N37" s="851">
        <v>1.2</v>
      </c>
      <c r="O37" s="851">
        <v>2.2000000000000002</v>
      </c>
      <c r="P37" s="851">
        <v>3.74</v>
      </c>
      <c r="Q37" s="851">
        <v>4.13</v>
      </c>
      <c r="R37" s="851">
        <v>4.8</v>
      </c>
      <c r="S37" s="851">
        <v>9.9600000000000009</v>
      </c>
      <c r="T37" s="851">
        <v>14.85</v>
      </c>
      <c r="U37" s="851">
        <v>19.440000000000001</v>
      </c>
      <c r="V37" s="851">
        <v>0.62</v>
      </c>
      <c r="W37" s="851">
        <v>1.8</v>
      </c>
      <c r="X37" s="851">
        <v>15</v>
      </c>
      <c r="Y37" s="851">
        <v>30</v>
      </c>
      <c r="Z37" s="856">
        <v>0.9</v>
      </c>
      <c r="AD37" s="965">
        <v>1</v>
      </c>
      <c r="AE37" s="965">
        <v>2</v>
      </c>
      <c r="AF37" s="965">
        <v>50</v>
      </c>
      <c r="AG37" s="854">
        <v>90</v>
      </c>
      <c r="AH37" s="854">
        <v>10</v>
      </c>
      <c r="AI37" s="924" cm="1">
        <f t="array" ref="AI37">INDEX(AN$9:AN$17,$C37)</f>
        <v>3.2</v>
      </c>
      <c r="AJ37" s="924" cm="1">
        <f t="array" ref="AJ37">INDEX(AO$9:AO$17,$C37)</f>
        <v>0.2</v>
      </c>
      <c r="AK37" s="924" cm="1">
        <f t="array" ref="AK37">INDEX(AP$9:AP$17,$C37)</f>
        <v>7.9</v>
      </c>
    </row>
    <row r="38" spans="1:37" x14ac:dyDescent="0.25">
      <c r="A38" s="966"/>
      <c r="B38" s="988" t="s">
        <v>53</v>
      </c>
      <c r="C38" s="851">
        <v>1</v>
      </c>
      <c r="D38" s="851">
        <v>0.4</v>
      </c>
      <c r="E38" s="851">
        <v>37.5</v>
      </c>
      <c r="F38" s="851">
        <v>14.5</v>
      </c>
      <c r="G38" s="851">
        <v>31.25</v>
      </c>
      <c r="H38" s="851">
        <v>7.1</v>
      </c>
      <c r="I38" s="851">
        <v>8.24</v>
      </c>
      <c r="J38" s="851">
        <v>1.8</v>
      </c>
      <c r="K38" s="851">
        <v>6</v>
      </c>
      <c r="L38" s="851">
        <v>11</v>
      </c>
      <c r="M38" s="851">
        <v>0.72</v>
      </c>
      <c r="N38" s="851">
        <v>2.4</v>
      </c>
      <c r="O38" s="851">
        <v>4.4000000000000004</v>
      </c>
      <c r="P38" s="851">
        <v>4.5</v>
      </c>
      <c r="Q38" s="851">
        <v>6.63</v>
      </c>
      <c r="R38" s="851">
        <v>8.7100000000000009</v>
      </c>
      <c r="S38" s="851">
        <v>16.940000000000001</v>
      </c>
      <c r="T38" s="851">
        <v>19.82</v>
      </c>
      <c r="U38" s="851">
        <v>22.57</v>
      </c>
      <c r="V38" s="851">
        <v>2.7</v>
      </c>
      <c r="W38" s="851">
        <v>1.8</v>
      </c>
      <c r="X38" s="851">
        <v>15</v>
      </c>
      <c r="Y38" s="851">
        <v>30</v>
      </c>
      <c r="Z38" s="856">
        <v>0.9</v>
      </c>
      <c r="AD38" s="965">
        <v>1</v>
      </c>
      <c r="AE38" s="965">
        <v>2</v>
      </c>
      <c r="AF38" s="965">
        <v>50</v>
      </c>
      <c r="AG38" s="854">
        <v>90</v>
      </c>
      <c r="AH38" s="854">
        <v>10</v>
      </c>
      <c r="AI38" s="924" cm="1">
        <f t="array" ref="AI38">INDEX(AN$9:AN$17,$C38)</f>
        <v>3.2</v>
      </c>
      <c r="AJ38" s="924" cm="1">
        <f t="array" ref="AJ38">INDEX(AO$9:AO$17,$C38)</f>
        <v>0.2</v>
      </c>
      <c r="AK38" s="924" cm="1">
        <f t="array" ref="AK38">INDEX(AP$9:AP$17,$C38)</f>
        <v>7.9</v>
      </c>
    </row>
    <row r="39" spans="1:37" x14ac:dyDescent="0.25">
      <c r="A39" s="966"/>
      <c r="B39" s="988" t="s">
        <v>54</v>
      </c>
      <c r="C39" s="851">
        <v>1</v>
      </c>
      <c r="D39" s="851">
        <v>1</v>
      </c>
      <c r="E39" s="851">
        <v>54.5</v>
      </c>
      <c r="F39" s="851">
        <v>20.5</v>
      </c>
      <c r="G39" s="851">
        <v>45.5</v>
      </c>
      <c r="H39" s="851">
        <v>9.9</v>
      </c>
      <c r="I39" s="851">
        <v>8.6199999999999992</v>
      </c>
      <c r="J39" s="851">
        <v>1.8</v>
      </c>
      <c r="K39" s="851">
        <v>6</v>
      </c>
      <c r="L39" s="851">
        <v>11</v>
      </c>
      <c r="M39" s="851">
        <v>1.8</v>
      </c>
      <c r="N39" s="851">
        <v>6</v>
      </c>
      <c r="O39" s="851">
        <v>11</v>
      </c>
      <c r="P39" s="851">
        <v>6.6</v>
      </c>
      <c r="Q39" s="851">
        <v>10.14</v>
      </c>
      <c r="R39" s="851">
        <v>13.92</v>
      </c>
      <c r="S39" s="851">
        <v>20.43</v>
      </c>
      <c r="T39" s="851">
        <v>26.64</v>
      </c>
      <c r="U39" s="851">
        <v>30.94</v>
      </c>
      <c r="V39" s="851">
        <v>3.9</v>
      </c>
      <c r="W39" s="851">
        <v>1.8</v>
      </c>
      <c r="X39" s="851">
        <v>15</v>
      </c>
      <c r="Y39" s="851">
        <v>30</v>
      </c>
      <c r="Z39" s="856">
        <v>0.9</v>
      </c>
      <c r="AD39" s="965">
        <v>1</v>
      </c>
      <c r="AE39" s="965">
        <v>2</v>
      </c>
      <c r="AF39" s="965">
        <v>50</v>
      </c>
      <c r="AG39" s="854">
        <v>90</v>
      </c>
      <c r="AH39" s="854">
        <v>10</v>
      </c>
      <c r="AI39" s="924" cm="1">
        <f t="array" ref="AI39">INDEX(AN$9:AN$17,$C39)</f>
        <v>3.2</v>
      </c>
      <c r="AJ39" s="924" cm="1">
        <f t="array" ref="AJ39">INDEX(AO$9:AO$17,$C39)</f>
        <v>0.2</v>
      </c>
      <c r="AK39" s="924" cm="1">
        <f t="array" ref="AK39">INDEX(AP$9:AP$17,$C39)</f>
        <v>7.9</v>
      </c>
    </row>
    <row r="40" spans="1:37" x14ac:dyDescent="0.25">
      <c r="A40" s="875"/>
      <c r="B40" s="988" t="s">
        <v>7817</v>
      </c>
      <c r="C40" s="851">
        <v>1</v>
      </c>
      <c r="D40" s="851">
        <v>1</v>
      </c>
      <c r="E40" s="851">
        <v>64</v>
      </c>
      <c r="F40" s="851">
        <v>21.9</v>
      </c>
      <c r="G40" s="851">
        <v>76.900000000000006</v>
      </c>
      <c r="H40" s="851">
        <v>13.1</v>
      </c>
      <c r="I40" s="851">
        <v>8.19</v>
      </c>
      <c r="J40" s="851">
        <v>5.4</v>
      </c>
      <c r="K40" s="851">
        <v>6</v>
      </c>
      <c r="L40" s="851">
        <v>11</v>
      </c>
      <c r="M40" s="851">
        <v>5.4</v>
      </c>
      <c r="N40" s="851">
        <v>6</v>
      </c>
      <c r="O40" s="851">
        <v>11</v>
      </c>
      <c r="P40" s="851">
        <v>11.4</v>
      </c>
      <c r="Q40" s="851">
        <v>13.59</v>
      </c>
      <c r="R40" s="851">
        <v>17.12</v>
      </c>
      <c r="S40" s="851">
        <v>23.74</v>
      </c>
      <c r="T40" s="851">
        <v>21.53</v>
      </c>
      <c r="U40" s="851">
        <v>26.44</v>
      </c>
      <c r="V40" s="851">
        <v>3.4</v>
      </c>
      <c r="W40" s="851">
        <v>1.8</v>
      </c>
      <c r="X40" s="851">
        <v>15</v>
      </c>
      <c r="Y40" s="851">
        <v>30</v>
      </c>
      <c r="Z40" s="856">
        <v>0.9</v>
      </c>
      <c r="AD40" s="965">
        <v>1</v>
      </c>
      <c r="AE40" s="965">
        <v>2</v>
      </c>
      <c r="AF40" s="965">
        <v>50</v>
      </c>
      <c r="AG40" s="854">
        <v>90</v>
      </c>
      <c r="AH40" s="854">
        <v>10</v>
      </c>
      <c r="AI40" s="924" cm="1">
        <f t="array" ref="AI40">INDEX(AN$9:AN$17,$C40)</f>
        <v>3.2</v>
      </c>
      <c r="AJ40" s="924" cm="1">
        <f t="array" ref="AJ40">INDEX(AO$9:AO$17,$C40)</f>
        <v>0.2</v>
      </c>
      <c r="AK40" s="924" cm="1">
        <f t="array" ref="AK40">INDEX(AP$9:AP$17,$C40)</f>
        <v>7.9</v>
      </c>
    </row>
    <row r="41" spans="1:37" x14ac:dyDescent="0.25">
      <c r="A41" s="875"/>
      <c r="B41" s="988" t="s">
        <v>55</v>
      </c>
      <c r="C41" s="851">
        <v>1</v>
      </c>
      <c r="D41" s="851">
        <v>1.1000000000000001</v>
      </c>
      <c r="E41" s="851">
        <v>105</v>
      </c>
      <c r="F41" s="851">
        <v>31</v>
      </c>
      <c r="G41" s="851">
        <v>129</v>
      </c>
      <c r="H41" s="851">
        <v>20</v>
      </c>
      <c r="I41" s="851">
        <v>8.0399999999999991</v>
      </c>
      <c r="J41" s="851">
        <v>4.55</v>
      </c>
      <c r="K41" s="851">
        <v>6</v>
      </c>
      <c r="L41" s="851">
        <v>11</v>
      </c>
      <c r="M41" s="851">
        <v>5</v>
      </c>
      <c r="N41" s="851">
        <v>6</v>
      </c>
      <c r="O41" s="851">
        <v>11</v>
      </c>
      <c r="P41" s="851">
        <v>15.8</v>
      </c>
      <c r="Q41" s="851">
        <v>19.41</v>
      </c>
      <c r="R41" s="851">
        <v>24.42</v>
      </c>
      <c r="S41" s="851">
        <v>19.43</v>
      </c>
      <c r="T41" s="851">
        <v>17.71</v>
      </c>
      <c r="U41" s="851">
        <v>20.72</v>
      </c>
      <c r="V41" s="851">
        <v>6</v>
      </c>
      <c r="W41" s="851">
        <v>1.8</v>
      </c>
      <c r="X41" s="851">
        <v>15</v>
      </c>
      <c r="Y41" s="851">
        <v>30</v>
      </c>
      <c r="Z41" s="856">
        <v>0.9</v>
      </c>
      <c r="AD41" s="965">
        <v>1</v>
      </c>
      <c r="AE41" s="965">
        <v>2</v>
      </c>
      <c r="AF41" s="965">
        <v>50</v>
      </c>
      <c r="AG41" s="854">
        <v>90</v>
      </c>
      <c r="AH41" s="854">
        <v>10</v>
      </c>
      <c r="AI41" s="924" cm="1">
        <f t="array" ref="AI41">INDEX(AN$9:AN$17,$C41)</f>
        <v>3.2</v>
      </c>
      <c r="AJ41" s="924" cm="1">
        <f t="array" ref="AJ41">INDEX(AO$9:AO$17,$C41)</f>
        <v>0.2</v>
      </c>
      <c r="AK41" s="924" cm="1">
        <f t="array" ref="AK41">INDEX(AP$9:AP$17,$C41)</f>
        <v>7.9</v>
      </c>
    </row>
    <row r="42" spans="1:37" x14ac:dyDescent="0.25">
      <c r="A42" s="882"/>
      <c r="B42" s="988" t="s">
        <v>7848</v>
      </c>
      <c r="C42" s="851">
        <v>2</v>
      </c>
      <c r="D42" s="851">
        <v>0.32</v>
      </c>
      <c r="E42" s="851">
        <v>27.3</v>
      </c>
      <c r="F42" s="851">
        <v>12.6</v>
      </c>
      <c r="G42" s="851">
        <v>12.77</v>
      </c>
      <c r="H42" s="851">
        <v>4.2</v>
      </c>
      <c r="I42" s="851">
        <v>5.5</v>
      </c>
      <c r="J42" s="851">
        <v>6.25</v>
      </c>
      <c r="K42" s="851">
        <v>8</v>
      </c>
      <c r="L42" s="851">
        <v>11</v>
      </c>
      <c r="M42" s="851">
        <v>2</v>
      </c>
      <c r="N42" s="851">
        <v>2.56</v>
      </c>
      <c r="O42" s="851">
        <v>3.52</v>
      </c>
      <c r="P42" s="851">
        <v>3.6</v>
      </c>
      <c r="Q42" s="851">
        <v>4.4800000000000004</v>
      </c>
      <c r="R42" s="851">
        <v>5.48</v>
      </c>
      <c r="S42" s="851">
        <v>23.21</v>
      </c>
      <c r="T42" s="851">
        <v>22.83</v>
      </c>
      <c r="U42" s="851">
        <v>24.38</v>
      </c>
      <c r="V42" s="851">
        <v>1.3</v>
      </c>
      <c r="W42" s="851">
        <v>1.8</v>
      </c>
      <c r="X42" s="851">
        <v>20</v>
      </c>
      <c r="Y42" s="851">
        <v>30</v>
      </c>
      <c r="Z42" s="856">
        <v>0.9</v>
      </c>
      <c r="AD42" s="965">
        <v>1</v>
      </c>
      <c r="AE42" s="965">
        <v>2</v>
      </c>
      <c r="AF42" s="965">
        <v>60</v>
      </c>
      <c r="AG42" s="854">
        <v>90</v>
      </c>
      <c r="AH42" s="854">
        <v>10</v>
      </c>
      <c r="AI42" s="924" cm="1">
        <f t="array" ref="AI42">INDEX(AN$9:AN$17,$C42)</f>
        <v>3.3</v>
      </c>
      <c r="AJ42" s="924" cm="1">
        <f t="array" ref="AJ42">INDEX(AO$9:AO$17,$C42)</f>
        <v>0.2</v>
      </c>
      <c r="AK42" s="924" cm="1">
        <f t="array" ref="AK42">INDEX(AP$9:AP$17,$C42)</f>
        <v>3.1</v>
      </c>
    </row>
    <row r="43" spans="1:37" x14ac:dyDescent="0.25">
      <c r="A43" s="882"/>
      <c r="B43" s="988" t="s">
        <v>7849</v>
      </c>
      <c r="C43" s="851">
        <v>2</v>
      </c>
      <c r="D43" s="851">
        <v>0.32</v>
      </c>
      <c r="E43" s="851">
        <v>24.1</v>
      </c>
      <c r="F43" s="851">
        <v>11.2</v>
      </c>
      <c r="G43" s="851">
        <v>11.58</v>
      </c>
      <c r="H43" s="851">
        <v>4.2</v>
      </c>
      <c r="I43" s="851">
        <v>5.5</v>
      </c>
      <c r="J43" s="851">
        <v>6.25</v>
      </c>
      <c r="K43" s="851">
        <v>8</v>
      </c>
      <c r="L43" s="851">
        <v>11</v>
      </c>
      <c r="M43" s="851">
        <v>2</v>
      </c>
      <c r="N43" s="851">
        <v>2.56</v>
      </c>
      <c r="O43" s="851">
        <v>3.52</v>
      </c>
      <c r="P43" s="851">
        <v>3.6</v>
      </c>
      <c r="Q43" s="851">
        <v>4.4800000000000004</v>
      </c>
      <c r="R43" s="851">
        <v>5.48</v>
      </c>
      <c r="S43" s="851">
        <v>23.21</v>
      </c>
      <c r="T43" s="851">
        <v>22.83</v>
      </c>
      <c r="U43" s="851">
        <v>24.38</v>
      </c>
      <c r="V43" s="851">
        <v>1.3</v>
      </c>
      <c r="W43" s="851">
        <v>1.8</v>
      </c>
      <c r="X43" s="851">
        <v>20</v>
      </c>
      <c r="Y43" s="851">
        <v>30</v>
      </c>
      <c r="Z43" s="856">
        <v>0.9</v>
      </c>
      <c r="AD43" s="965">
        <v>1</v>
      </c>
      <c r="AE43" s="965">
        <v>2</v>
      </c>
      <c r="AF43" s="965">
        <v>60</v>
      </c>
      <c r="AG43" s="854">
        <v>90</v>
      </c>
      <c r="AH43" s="854">
        <v>10</v>
      </c>
      <c r="AI43" s="924" cm="1">
        <f t="array" ref="AI43">INDEX(AN$9:AN$17,$C43)</f>
        <v>3.3</v>
      </c>
      <c r="AJ43" s="924" cm="1">
        <f t="array" ref="AJ43">INDEX(AO$9:AO$17,$C43)</f>
        <v>0.2</v>
      </c>
      <c r="AK43" s="924" cm="1">
        <f t="array" ref="AK43">INDEX(AP$9:AP$17,$C43)</f>
        <v>3.1</v>
      </c>
    </row>
    <row r="44" spans="1:37" x14ac:dyDescent="0.25">
      <c r="A44" s="882"/>
      <c r="B44" s="988" t="s">
        <v>7855</v>
      </c>
      <c r="C44" s="851">
        <v>2</v>
      </c>
      <c r="D44" s="851">
        <v>0.32</v>
      </c>
      <c r="E44" s="851">
        <v>23.1</v>
      </c>
      <c r="F44" s="851">
        <v>10.3</v>
      </c>
      <c r="G44" s="851">
        <v>11.58</v>
      </c>
      <c r="H44" s="851">
        <v>4.2</v>
      </c>
      <c r="I44" s="851">
        <v>5.5</v>
      </c>
      <c r="J44" s="851">
        <v>6.25</v>
      </c>
      <c r="K44" s="851">
        <v>8</v>
      </c>
      <c r="L44" s="851">
        <v>11</v>
      </c>
      <c r="M44" s="851">
        <v>2</v>
      </c>
      <c r="N44" s="851">
        <v>2.56</v>
      </c>
      <c r="O44" s="851">
        <v>3.52</v>
      </c>
      <c r="P44" s="851">
        <v>3.6</v>
      </c>
      <c r="Q44" s="851">
        <v>4.4800000000000004</v>
      </c>
      <c r="R44" s="851">
        <v>5.48</v>
      </c>
      <c r="S44" s="851">
        <v>23.21</v>
      </c>
      <c r="T44" s="851">
        <v>22.83</v>
      </c>
      <c r="U44" s="851">
        <v>24.38</v>
      </c>
      <c r="V44" s="851">
        <v>1.3</v>
      </c>
      <c r="W44" s="851">
        <v>1.8</v>
      </c>
      <c r="X44" s="851">
        <v>20</v>
      </c>
      <c r="Y44" s="851">
        <v>30</v>
      </c>
      <c r="Z44" s="856">
        <v>0.9</v>
      </c>
      <c r="AB44" s="859">
        <v>1</v>
      </c>
      <c r="AD44" s="965">
        <v>1</v>
      </c>
      <c r="AE44" s="965">
        <v>2</v>
      </c>
      <c r="AF44" s="965">
        <v>60</v>
      </c>
      <c r="AG44" s="854">
        <v>90</v>
      </c>
      <c r="AH44" s="854">
        <v>10</v>
      </c>
      <c r="AI44" s="924" cm="1">
        <f t="array" ref="AI44">INDEX(AN$9:AN$17,$C44)</f>
        <v>3.3</v>
      </c>
      <c r="AJ44" s="924" cm="1">
        <f t="array" ref="AJ44">INDEX(AO$9:AO$17,$C44)</f>
        <v>0.2</v>
      </c>
      <c r="AK44" s="924" cm="1">
        <f t="array" ref="AK44">INDEX(AP$9:AP$17,$C44)</f>
        <v>3.1</v>
      </c>
    </row>
    <row r="45" spans="1:37" x14ac:dyDescent="0.25">
      <c r="A45" s="882"/>
      <c r="B45" s="988" t="s">
        <v>7850</v>
      </c>
      <c r="C45" s="851">
        <v>2</v>
      </c>
      <c r="D45" s="851">
        <v>0.32</v>
      </c>
      <c r="E45" s="851">
        <v>27.5</v>
      </c>
      <c r="F45" s="851">
        <v>12.8</v>
      </c>
      <c r="G45" s="851">
        <v>13.13</v>
      </c>
      <c r="H45" s="851">
        <v>4.4000000000000004</v>
      </c>
      <c r="I45" s="851">
        <v>5.5</v>
      </c>
      <c r="J45" s="851">
        <v>6.25</v>
      </c>
      <c r="K45" s="851">
        <v>8</v>
      </c>
      <c r="L45" s="851">
        <v>11</v>
      </c>
      <c r="M45" s="851">
        <v>2</v>
      </c>
      <c r="N45" s="851">
        <v>2.56</v>
      </c>
      <c r="O45" s="851">
        <v>3.52</v>
      </c>
      <c r="P45" s="851">
        <v>3.7</v>
      </c>
      <c r="Q45" s="851">
        <v>4.63</v>
      </c>
      <c r="R45" s="851">
        <v>5.68</v>
      </c>
      <c r="S45" s="851">
        <v>22.83</v>
      </c>
      <c r="T45" s="851">
        <v>22.31</v>
      </c>
      <c r="U45" s="851">
        <v>23.71</v>
      </c>
      <c r="V45" s="851">
        <v>1.4</v>
      </c>
      <c r="W45" s="851">
        <v>1.8</v>
      </c>
      <c r="X45" s="851">
        <v>20</v>
      </c>
      <c r="Y45" s="851">
        <v>30</v>
      </c>
      <c r="Z45" s="856">
        <v>0.9</v>
      </c>
      <c r="AD45" s="965">
        <v>1</v>
      </c>
      <c r="AE45" s="965">
        <v>2</v>
      </c>
      <c r="AF45" s="965">
        <v>60</v>
      </c>
      <c r="AG45" s="854">
        <v>90</v>
      </c>
      <c r="AH45" s="854">
        <v>10</v>
      </c>
      <c r="AI45" s="924" cm="1">
        <f t="array" ref="AI45">INDEX(AN$9:AN$17,$C45)</f>
        <v>3.3</v>
      </c>
      <c r="AJ45" s="924" cm="1">
        <f t="array" ref="AJ45">INDEX(AO$9:AO$17,$C45)</f>
        <v>0.2</v>
      </c>
      <c r="AK45" s="924" cm="1">
        <f t="array" ref="AK45">INDEX(AP$9:AP$17,$C45)</f>
        <v>3.1</v>
      </c>
    </row>
    <row r="46" spans="1:37" x14ac:dyDescent="0.25">
      <c r="A46" s="882"/>
      <c r="B46" s="988" t="s">
        <v>7851</v>
      </c>
      <c r="C46" s="851">
        <v>2</v>
      </c>
      <c r="D46" s="851">
        <v>0.32</v>
      </c>
      <c r="E46" s="851">
        <v>24.2</v>
      </c>
      <c r="F46" s="851">
        <v>11.2</v>
      </c>
      <c r="G46" s="851">
        <v>11.82</v>
      </c>
      <c r="H46" s="851">
        <v>4.4000000000000004</v>
      </c>
      <c r="I46" s="851">
        <v>5.5</v>
      </c>
      <c r="J46" s="851">
        <v>6.25</v>
      </c>
      <c r="K46" s="851">
        <v>8</v>
      </c>
      <c r="L46" s="851">
        <v>11</v>
      </c>
      <c r="M46" s="851">
        <v>2</v>
      </c>
      <c r="N46" s="851">
        <v>2.56</v>
      </c>
      <c r="O46" s="851">
        <v>3.52</v>
      </c>
      <c r="P46" s="851">
        <v>3.7</v>
      </c>
      <c r="Q46" s="851">
        <v>4.63</v>
      </c>
      <c r="R46" s="851">
        <v>5.68</v>
      </c>
      <c r="S46" s="851">
        <v>22.83</v>
      </c>
      <c r="T46" s="851">
        <v>22.31</v>
      </c>
      <c r="U46" s="851">
        <v>23.71</v>
      </c>
      <c r="V46" s="851">
        <v>1.4</v>
      </c>
      <c r="W46" s="851">
        <v>1.8</v>
      </c>
      <c r="X46" s="851">
        <v>20</v>
      </c>
      <c r="Y46" s="851">
        <v>30</v>
      </c>
      <c r="Z46" s="856">
        <v>0.9</v>
      </c>
      <c r="AD46" s="965">
        <v>1</v>
      </c>
      <c r="AE46" s="965">
        <v>2</v>
      </c>
      <c r="AF46" s="965">
        <v>60</v>
      </c>
      <c r="AG46" s="854">
        <v>90</v>
      </c>
      <c r="AH46" s="854">
        <v>10</v>
      </c>
      <c r="AI46" s="924" cm="1">
        <f t="array" ref="AI46">INDEX(AN$9:AN$17,$C46)</f>
        <v>3.3</v>
      </c>
      <c r="AJ46" s="924" cm="1">
        <f t="array" ref="AJ46">INDEX(AO$9:AO$17,$C46)</f>
        <v>0.2</v>
      </c>
      <c r="AK46" s="924" cm="1">
        <f t="array" ref="AK46">INDEX(AP$9:AP$17,$C46)</f>
        <v>3.1</v>
      </c>
    </row>
    <row r="47" spans="1:37" x14ac:dyDescent="0.25">
      <c r="A47" s="882"/>
      <c r="B47" s="988" t="s">
        <v>7854</v>
      </c>
      <c r="C47" s="851">
        <v>2</v>
      </c>
      <c r="D47" s="851">
        <v>0.32</v>
      </c>
      <c r="E47" s="851">
        <v>23.2</v>
      </c>
      <c r="F47" s="851">
        <v>10.3</v>
      </c>
      <c r="G47" s="851">
        <v>11.82</v>
      </c>
      <c r="H47" s="851">
        <v>4.4000000000000004</v>
      </c>
      <c r="I47" s="851">
        <v>5.5</v>
      </c>
      <c r="J47" s="851">
        <v>6.25</v>
      </c>
      <c r="K47" s="851">
        <v>8</v>
      </c>
      <c r="L47" s="851">
        <v>11</v>
      </c>
      <c r="M47" s="851">
        <v>2</v>
      </c>
      <c r="N47" s="851">
        <v>2.56</v>
      </c>
      <c r="O47" s="851">
        <v>3.52</v>
      </c>
      <c r="P47" s="851">
        <v>3.7</v>
      </c>
      <c r="Q47" s="851">
        <v>4.63</v>
      </c>
      <c r="R47" s="851">
        <v>5.68</v>
      </c>
      <c r="S47" s="851">
        <v>22.83</v>
      </c>
      <c r="T47" s="851">
        <v>22.31</v>
      </c>
      <c r="U47" s="851">
        <v>23.71</v>
      </c>
      <c r="V47" s="851">
        <v>1.4</v>
      </c>
      <c r="W47" s="851">
        <v>1.8</v>
      </c>
      <c r="X47" s="851">
        <v>20</v>
      </c>
      <c r="Y47" s="851">
        <v>30</v>
      </c>
      <c r="Z47" s="856">
        <v>0.9</v>
      </c>
      <c r="AB47" s="859">
        <v>1</v>
      </c>
      <c r="AD47" s="965">
        <v>1</v>
      </c>
      <c r="AE47" s="965">
        <v>2</v>
      </c>
      <c r="AF47" s="965">
        <v>60</v>
      </c>
      <c r="AG47" s="854">
        <v>90</v>
      </c>
      <c r="AH47" s="854">
        <v>10</v>
      </c>
      <c r="AI47" s="924" cm="1">
        <f t="array" ref="AI47">INDEX(AN$9:AN$17,$C47)</f>
        <v>3.3</v>
      </c>
      <c r="AJ47" s="924" cm="1">
        <f t="array" ref="AJ47">INDEX(AO$9:AO$17,$C47)</f>
        <v>0.2</v>
      </c>
      <c r="AK47" s="924" cm="1">
        <f t="array" ref="AK47">INDEX(AP$9:AP$17,$C47)</f>
        <v>3.1</v>
      </c>
    </row>
    <row r="48" spans="1:37" x14ac:dyDescent="0.25">
      <c r="A48" s="882"/>
      <c r="B48" s="988" t="s">
        <v>56</v>
      </c>
      <c r="C48" s="851">
        <v>2</v>
      </c>
      <c r="D48" s="851">
        <v>0.4</v>
      </c>
      <c r="E48" s="851">
        <v>41.1</v>
      </c>
      <c r="F48" s="851">
        <v>17.899999999999999</v>
      </c>
      <c r="G48" s="851">
        <v>21.09</v>
      </c>
      <c r="H48" s="851">
        <v>6.5</v>
      </c>
      <c r="I48" s="851">
        <v>5.5</v>
      </c>
      <c r="J48" s="851">
        <v>7.5</v>
      </c>
      <c r="K48" s="851">
        <v>8</v>
      </c>
      <c r="L48" s="851">
        <v>11</v>
      </c>
      <c r="M48" s="851">
        <v>3</v>
      </c>
      <c r="N48" s="851">
        <v>3.2</v>
      </c>
      <c r="O48" s="851">
        <v>4.4000000000000004</v>
      </c>
      <c r="P48" s="851">
        <v>5.2</v>
      </c>
      <c r="Q48" s="851">
        <v>6.47</v>
      </c>
      <c r="R48" s="851">
        <v>8.11</v>
      </c>
      <c r="S48" s="851">
        <v>24.15</v>
      </c>
      <c r="T48" s="851">
        <v>20.72</v>
      </c>
      <c r="U48" s="851">
        <v>21.44</v>
      </c>
      <c r="V48" s="851">
        <v>2.4</v>
      </c>
      <c r="W48" s="851">
        <v>1.8</v>
      </c>
      <c r="X48" s="851">
        <v>20</v>
      </c>
      <c r="Y48" s="851">
        <v>30</v>
      </c>
      <c r="Z48" s="856">
        <v>0.9</v>
      </c>
      <c r="AD48" s="965">
        <v>1</v>
      </c>
      <c r="AE48" s="965">
        <v>2</v>
      </c>
      <c r="AF48" s="965">
        <v>60</v>
      </c>
      <c r="AG48" s="854">
        <v>90</v>
      </c>
      <c r="AH48" s="854">
        <v>10</v>
      </c>
      <c r="AI48" s="924" cm="1">
        <f t="array" ref="AI48">INDEX(AN$9:AN$17,$C48)</f>
        <v>3.3</v>
      </c>
      <c r="AJ48" s="924" cm="1">
        <f t="array" ref="AJ48">INDEX(AO$9:AO$17,$C48)</f>
        <v>0.2</v>
      </c>
      <c r="AK48" s="924" cm="1">
        <f t="array" ref="AK48">INDEX(AP$9:AP$17,$C48)</f>
        <v>3.1</v>
      </c>
    </row>
    <row r="49" spans="1:37" x14ac:dyDescent="0.25">
      <c r="A49" s="882"/>
      <c r="B49" s="988" t="s">
        <v>57</v>
      </c>
      <c r="C49" s="851">
        <v>2</v>
      </c>
      <c r="D49" s="851">
        <v>0.4</v>
      </c>
      <c r="E49" s="851">
        <v>36.799999999999997</v>
      </c>
      <c r="F49" s="851">
        <v>16</v>
      </c>
      <c r="G49" s="851">
        <v>19.52</v>
      </c>
      <c r="H49" s="851">
        <v>6.5</v>
      </c>
      <c r="I49" s="851">
        <v>5.5</v>
      </c>
      <c r="J49" s="851">
        <v>7.5</v>
      </c>
      <c r="K49" s="851">
        <v>8</v>
      </c>
      <c r="L49" s="851">
        <v>11</v>
      </c>
      <c r="M49" s="851">
        <v>3</v>
      </c>
      <c r="N49" s="851">
        <v>3.2</v>
      </c>
      <c r="O49" s="851">
        <v>4.4000000000000004</v>
      </c>
      <c r="P49" s="851">
        <v>5.2</v>
      </c>
      <c r="Q49" s="851">
        <v>6.47</v>
      </c>
      <c r="R49" s="851">
        <v>8.11</v>
      </c>
      <c r="S49" s="851">
        <v>24.15</v>
      </c>
      <c r="T49" s="851">
        <v>20.72</v>
      </c>
      <c r="U49" s="851">
        <v>21.44</v>
      </c>
      <c r="V49" s="851">
        <v>2.4</v>
      </c>
      <c r="W49" s="851">
        <v>1.8</v>
      </c>
      <c r="X49" s="851">
        <v>20</v>
      </c>
      <c r="Y49" s="851">
        <v>30</v>
      </c>
      <c r="Z49" s="856">
        <v>0.9</v>
      </c>
      <c r="AD49" s="965">
        <v>1</v>
      </c>
      <c r="AE49" s="965">
        <v>2</v>
      </c>
      <c r="AF49" s="965">
        <v>60</v>
      </c>
      <c r="AG49" s="854">
        <v>90</v>
      </c>
      <c r="AH49" s="854">
        <v>10</v>
      </c>
      <c r="AI49" s="924" cm="1">
        <f t="array" ref="AI49">INDEX(AN$9:AN$17,$C49)</f>
        <v>3.3</v>
      </c>
      <c r="AJ49" s="924" cm="1">
        <f t="array" ref="AJ49">INDEX(AO$9:AO$17,$C49)</f>
        <v>0.2</v>
      </c>
      <c r="AK49" s="924" cm="1">
        <f t="array" ref="AK49">INDEX(AP$9:AP$17,$C49)</f>
        <v>3.1</v>
      </c>
    </row>
    <row r="50" spans="1:37" x14ac:dyDescent="0.25">
      <c r="A50" s="882"/>
      <c r="B50" s="988" t="s">
        <v>7853</v>
      </c>
      <c r="C50" s="851">
        <v>2</v>
      </c>
      <c r="D50" s="851">
        <v>0.4</v>
      </c>
      <c r="E50" s="851">
        <v>35</v>
      </c>
      <c r="F50" s="851">
        <v>14.7</v>
      </c>
      <c r="G50" s="851">
        <v>19.52</v>
      </c>
      <c r="H50" s="851">
        <v>6.5</v>
      </c>
      <c r="I50" s="851">
        <v>5.5</v>
      </c>
      <c r="J50" s="851">
        <v>7.5</v>
      </c>
      <c r="K50" s="851">
        <v>8</v>
      </c>
      <c r="L50" s="851">
        <v>11</v>
      </c>
      <c r="M50" s="851">
        <v>3</v>
      </c>
      <c r="N50" s="851">
        <v>3.2</v>
      </c>
      <c r="O50" s="851">
        <v>4.4000000000000004</v>
      </c>
      <c r="P50" s="851">
        <v>5.2</v>
      </c>
      <c r="Q50" s="851">
        <v>6.47</v>
      </c>
      <c r="R50" s="851">
        <v>8.11</v>
      </c>
      <c r="S50" s="851">
        <v>24.15</v>
      </c>
      <c r="T50" s="851">
        <v>20.72</v>
      </c>
      <c r="U50" s="851">
        <v>21.44</v>
      </c>
      <c r="V50" s="851">
        <v>2.4</v>
      </c>
      <c r="W50" s="851">
        <v>1.8</v>
      </c>
      <c r="X50" s="851">
        <v>20</v>
      </c>
      <c r="Y50" s="851">
        <v>30</v>
      </c>
      <c r="Z50" s="856">
        <v>0.9</v>
      </c>
      <c r="AB50" s="859">
        <v>1</v>
      </c>
      <c r="AD50" s="965">
        <v>1</v>
      </c>
      <c r="AE50" s="965">
        <v>2</v>
      </c>
      <c r="AF50" s="965">
        <v>60</v>
      </c>
      <c r="AG50" s="854">
        <v>90</v>
      </c>
      <c r="AH50" s="854">
        <v>10</v>
      </c>
      <c r="AI50" s="924" cm="1">
        <f t="array" ref="AI50">INDEX(AN$9:AN$17,$C50)</f>
        <v>3.3</v>
      </c>
      <c r="AJ50" s="924" cm="1">
        <f t="array" ref="AJ50">INDEX(AO$9:AO$17,$C50)</f>
        <v>0.2</v>
      </c>
      <c r="AK50" s="924" cm="1">
        <f t="array" ref="AK50">INDEX(AP$9:AP$17,$C50)</f>
        <v>3.1</v>
      </c>
    </row>
    <row r="51" spans="1:37" x14ac:dyDescent="0.25">
      <c r="A51" s="882"/>
      <c r="B51" s="988" t="s">
        <v>58</v>
      </c>
      <c r="C51" s="851">
        <v>2</v>
      </c>
      <c r="D51" s="851">
        <v>0.42</v>
      </c>
      <c r="E51" s="851">
        <v>42.9</v>
      </c>
      <c r="F51" s="851">
        <v>18.600000000000001</v>
      </c>
      <c r="G51" s="851">
        <v>21.33</v>
      </c>
      <c r="H51" s="851">
        <v>7</v>
      </c>
      <c r="I51" s="851">
        <v>5.5</v>
      </c>
      <c r="J51" s="851">
        <v>7.14</v>
      </c>
      <c r="K51" s="851">
        <v>8</v>
      </c>
      <c r="L51" s="851">
        <v>11</v>
      </c>
      <c r="M51" s="851">
        <v>3</v>
      </c>
      <c r="N51" s="851">
        <v>3.36</v>
      </c>
      <c r="O51" s="851">
        <v>4.62</v>
      </c>
      <c r="P51" s="851">
        <v>5.5</v>
      </c>
      <c r="Q51" s="851">
        <v>6.93</v>
      </c>
      <c r="R51" s="851">
        <v>8.69</v>
      </c>
      <c r="S51" s="851">
        <v>23.27</v>
      </c>
      <c r="T51" s="851">
        <v>20.440000000000001</v>
      </c>
      <c r="U51" s="851">
        <v>21.12</v>
      </c>
      <c r="V51" s="851">
        <v>2.6</v>
      </c>
      <c r="W51" s="851">
        <v>1.8</v>
      </c>
      <c r="X51" s="851">
        <v>20</v>
      </c>
      <c r="Y51" s="851">
        <v>30</v>
      </c>
      <c r="Z51" s="856">
        <v>0.9</v>
      </c>
      <c r="AD51" s="965">
        <v>1</v>
      </c>
      <c r="AE51" s="965">
        <v>2</v>
      </c>
      <c r="AF51" s="965">
        <v>60</v>
      </c>
      <c r="AG51" s="854">
        <v>90</v>
      </c>
      <c r="AH51" s="854">
        <v>10</v>
      </c>
      <c r="AI51" s="924" cm="1">
        <f t="array" ref="AI51">INDEX(AN$9:AN$17,$C51)</f>
        <v>3.3</v>
      </c>
      <c r="AJ51" s="924" cm="1">
        <f t="array" ref="AJ51">INDEX(AO$9:AO$17,$C51)</f>
        <v>0.2</v>
      </c>
      <c r="AK51" s="924" cm="1">
        <f t="array" ref="AK51">INDEX(AP$9:AP$17,$C51)</f>
        <v>3.1</v>
      </c>
    </row>
    <row r="52" spans="1:37" x14ac:dyDescent="0.25">
      <c r="A52" s="882"/>
      <c r="B52" s="988" t="s">
        <v>59</v>
      </c>
      <c r="C52" s="851">
        <v>2</v>
      </c>
      <c r="D52" s="851">
        <v>0.42</v>
      </c>
      <c r="E52" s="851">
        <v>38.4</v>
      </c>
      <c r="F52" s="851">
        <v>16.7</v>
      </c>
      <c r="G52" s="851">
        <v>20.73</v>
      </c>
      <c r="H52" s="851">
        <v>7</v>
      </c>
      <c r="I52" s="851">
        <v>5.5</v>
      </c>
      <c r="J52" s="851">
        <v>7.14</v>
      </c>
      <c r="K52" s="851">
        <v>8</v>
      </c>
      <c r="L52" s="851">
        <v>11</v>
      </c>
      <c r="M52" s="851">
        <v>3</v>
      </c>
      <c r="N52" s="851">
        <v>3.36</v>
      </c>
      <c r="O52" s="851">
        <v>4.62</v>
      </c>
      <c r="P52" s="851">
        <v>5.5</v>
      </c>
      <c r="Q52" s="851">
        <v>6.93</v>
      </c>
      <c r="R52" s="851">
        <v>8.69</v>
      </c>
      <c r="S52" s="851">
        <v>23.27</v>
      </c>
      <c r="T52" s="851">
        <v>20.440000000000001</v>
      </c>
      <c r="U52" s="851">
        <v>21.12</v>
      </c>
      <c r="V52" s="851">
        <v>2.6</v>
      </c>
      <c r="W52" s="851">
        <v>1.8</v>
      </c>
      <c r="X52" s="851">
        <v>20</v>
      </c>
      <c r="Y52" s="851">
        <v>30</v>
      </c>
      <c r="Z52" s="856">
        <v>0.9</v>
      </c>
      <c r="AD52" s="965">
        <v>1</v>
      </c>
      <c r="AE52" s="965">
        <v>2</v>
      </c>
      <c r="AF52" s="965">
        <v>60</v>
      </c>
      <c r="AG52" s="854">
        <v>90</v>
      </c>
      <c r="AH52" s="854">
        <v>10</v>
      </c>
      <c r="AI52" s="924" cm="1">
        <f t="array" ref="AI52">INDEX(AN$9:AN$17,$C52)</f>
        <v>3.3</v>
      </c>
      <c r="AJ52" s="924" cm="1">
        <f t="array" ref="AJ52">INDEX(AO$9:AO$17,$C52)</f>
        <v>0.2</v>
      </c>
      <c r="AK52" s="924" cm="1">
        <f t="array" ref="AK52">INDEX(AP$9:AP$17,$C52)</f>
        <v>3.1</v>
      </c>
    </row>
    <row r="53" spans="1:37" x14ac:dyDescent="0.25">
      <c r="A53" s="882"/>
      <c r="B53" s="988" t="s">
        <v>7852</v>
      </c>
      <c r="C53" s="851">
        <v>2</v>
      </c>
      <c r="D53" s="851">
        <v>0.42</v>
      </c>
      <c r="E53" s="851">
        <v>36.6</v>
      </c>
      <c r="F53" s="851">
        <v>15.1</v>
      </c>
      <c r="G53" s="851">
        <v>20.73</v>
      </c>
      <c r="H53" s="851">
        <v>7</v>
      </c>
      <c r="I53" s="851">
        <v>5.5</v>
      </c>
      <c r="J53" s="851">
        <v>7.14</v>
      </c>
      <c r="K53" s="851">
        <v>8</v>
      </c>
      <c r="L53" s="851">
        <v>11</v>
      </c>
      <c r="M53" s="851">
        <v>3</v>
      </c>
      <c r="N53" s="851">
        <v>3.36</v>
      </c>
      <c r="O53" s="851">
        <v>4.62</v>
      </c>
      <c r="P53" s="851">
        <v>5.5</v>
      </c>
      <c r="Q53" s="851">
        <v>6.93</v>
      </c>
      <c r="R53" s="851">
        <v>8.69</v>
      </c>
      <c r="S53" s="851">
        <v>23.27</v>
      </c>
      <c r="T53" s="851">
        <v>20.440000000000001</v>
      </c>
      <c r="U53" s="851">
        <v>21.12</v>
      </c>
      <c r="V53" s="851">
        <v>2.6</v>
      </c>
      <c r="W53" s="851">
        <v>1.8</v>
      </c>
      <c r="X53" s="851">
        <v>20</v>
      </c>
      <c r="Y53" s="851">
        <v>30</v>
      </c>
      <c r="Z53" s="856">
        <v>0.9</v>
      </c>
      <c r="AB53" s="859">
        <v>1</v>
      </c>
      <c r="AD53" s="965">
        <v>1</v>
      </c>
      <c r="AE53" s="965">
        <v>2</v>
      </c>
      <c r="AF53" s="965">
        <v>60</v>
      </c>
      <c r="AG53" s="854">
        <v>90</v>
      </c>
      <c r="AH53" s="854">
        <v>10</v>
      </c>
      <c r="AI53" s="924" cm="1">
        <f t="array" ref="AI53">INDEX(AN$9:AN$17,$C53)</f>
        <v>3.3</v>
      </c>
      <c r="AJ53" s="924" cm="1">
        <f t="array" ref="AJ53">INDEX(AO$9:AO$17,$C53)</f>
        <v>0.2</v>
      </c>
      <c r="AK53" s="924" cm="1">
        <f t="array" ref="AK53">INDEX(AP$9:AP$17,$C53)</f>
        <v>3.1</v>
      </c>
    </row>
    <row r="54" spans="1:37" x14ac:dyDescent="0.25">
      <c r="A54" s="875"/>
      <c r="B54" s="988" t="s">
        <v>60</v>
      </c>
      <c r="C54" s="851">
        <v>2</v>
      </c>
      <c r="D54" s="851">
        <v>0.03</v>
      </c>
      <c r="E54" s="851">
        <v>4.46</v>
      </c>
      <c r="F54" s="851">
        <v>1.64</v>
      </c>
      <c r="G54" s="851">
        <v>2.73</v>
      </c>
      <c r="H54" s="851">
        <v>0.7</v>
      </c>
      <c r="I54" s="851">
        <v>5.5</v>
      </c>
      <c r="J54" s="851">
        <v>7.67</v>
      </c>
      <c r="K54" s="851">
        <v>8</v>
      </c>
      <c r="L54" s="851">
        <v>11</v>
      </c>
      <c r="M54" s="851">
        <v>0.23</v>
      </c>
      <c r="N54" s="851">
        <v>0.24</v>
      </c>
      <c r="O54" s="851">
        <v>0.33</v>
      </c>
      <c r="P54" s="851">
        <v>0.43</v>
      </c>
      <c r="Q54" s="851">
        <v>0.61</v>
      </c>
      <c r="R54" s="851">
        <v>0.82</v>
      </c>
      <c r="S54" s="851">
        <v>24.28</v>
      </c>
      <c r="T54" s="851">
        <v>18.13</v>
      </c>
      <c r="U54" s="851">
        <v>17.329999999999998</v>
      </c>
      <c r="V54" s="851">
        <v>0.35</v>
      </c>
      <c r="W54" s="851">
        <v>1.8</v>
      </c>
      <c r="X54" s="851">
        <v>20</v>
      </c>
      <c r="Y54" s="851">
        <v>30</v>
      </c>
      <c r="Z54" s="856">
        <v>0.9</v>
      </c>
      <c r="AD54" s="965">
        <v>1</v>
      </c>
      <c r="AE54" s="965">
        <v>2</v>
      </c>
      <c r="AF54" s="965">
        <v>60</v>
      </c>
      <c r="AG54" s="854">
        <v>90</v>
      </c>
      <c r="AH54" s="854">
        <v>10</v>
      </c>
      <c r="AI54" s="924" cm="1">
        <f t="array" ref="AI54">INDEX(AN$9:AN$17,$C54)</f>
        <v>3.3</v>
      </c>
      <c r="AJ54" s="924" cm="1">
        <f t="array" ref="AJ54">INDEX(AO$9:AO$17,$C54)</f>
        <v>0.2</v>
      </c>
      <c r="AK54" s="924" cm="1">
        <f t="array" ref="AK54">INDEX(AP$9:AP$17,$C54)</f>
        <v>3.1</v>
      </c>
    </row>
    <row r="55" spans="1:37" x14ac:dyDescent="0.25">
      <c r="A55" s="875"/>
      <c r="B55" s="988" t="s">
        <v>61</v>
      </c>
      <c r="C55" s="851">
        <v>2</v>
      </c>
      <c r="D55" s="851">
        <v>0.03</v>
      </c>
      <c r="E55" s="851">
        <v>4.1900000000000004</v>
      </c>
      <c r="F55" s="851">
        <v>1.61</v>
      </c>
      <c r="G55" s="851">
        <v>2.61</v>
      </c>
      <c r="H55" s="851">
        <v>0.7</v>
      </c>
      <c r="I55" s="851">
        <v>5.5</v>
      </c>
      <c r="J55" s="851">
        <v>7.67</v>
      </c>
      <c r="K55" s="851">
        <v>8</v>
      </c>
      <c r="L55" s="851">
        <v>11</v>
      </c>
      <c r="M55" s="851">
        <v>0.23</v>
      </c>
      <c r="N55" s="851">
        <v>0.24</v>
      </c>
      <c r="O55" s="851">
        <v>0.33</v>
      </c>
      <c r="P55" s="851">
        <v>0.43</v>
      </c>
      <c r="Q55" s="851">
        <v>0.61</v>
      </c>
      <c r="R55" s="851">
        <v>0.82</v>
      </c>
      <c r="S55" s="851">
        <v>24.28</v>
      </c>
      <c r="T55" s="851">
        <v>18.13</v>
      </c>
      <c r="U55" s="851">
        <v>17.329999999999998</v>
      </c>
      <c r="V55" s="851">
        <v>0.35</v>
      </c>
      <c r="W55" s="851">
        <v>1.8</v>
      </c>
      <c r="X55" s="851">
        <v>20</v>
      </c>
      <c r="Y55" s="851">
        <v>30</v>
      </c>
      <c r="Z55" s="856">
        <v>0.9</v>
      </c>
      <c r="AD55" s="965">
        <v>1</v>
      </c>
      <c r="AE55" s="965">
        <v>2</v>
      </c>
      <c r="AF55" s="965">
        <v>60</v>
      </c>
      <c r="AG55" s="854">
        <v>90</v>
      </c>
      <c r="AH55" s="854">
        <v>10</v>
      </c>
      <c r="AI55" s="924" cm="1">
        <f t="array" ref="AI55">INDEX(AN$9:AN$17,$C55)</f>
        <v>3.3</v>
      </c>
      <c r="AJ55" s="924" cm="1">
        <f t="array" ref="AJ55">INDEX(AO$9:AO$17,$C55)</f>
        <v>0.2</v>
      </c>
      <c r="AK55" s="924" cm="1">
        <f t="array" ref="AK55">INDEX(AP$9:AP$17,$C55)</f>
        <v>3.1</v>
      </c>
    </row>
    <row r="56" spans="1:37" x14ac:dyDescent="0.25">
      <c r="A56" s="875"/>
      <c r="B56" s="988" t="s">
        <v>7856</v>
      </c>
      <c r="C56" s="851">
        <v>2</v>
      </c>
      <c r="D56" s="851">
        <v>0.03</v>
      </c>
      <c r="E56" s="851">
        <v>3.94</v>
      </c>
      <c r="F56" s="851">
        <v>1.46</v>
      </c>
      <c r="G56" s="851">
        <v>2.61</v>
      </c>
      <c r="H56" s="851">
        <v>0.7</v>
      </c>
      <c r="I56" s="851">
        <v>5.5</v>
      </c>
      <c r="J56" s="851">
        <v>7.67</v>
      </c>
      <c r="K56" s="851">
        <v>8</v>
      </c>
      <c r="L56" s="851">
        <v>11</v>
      </c>
      <c r="M56" s="851">
        <v>0.23</v>
      </c>
      <c r="N56" s="851">
        <v>0.24</v>
      </c>
      <c r="O56" s="851">
        <v>0.33</v>
      </c>
      <c r="P56" s="851">
        <v>0.43</v>
      </c>
      <c r="Q56" s="851">
        <v>0.61</v>
      </c>
      <c r="R56" s="851">
        <v>0.82</v>
      </c>
      <c r="S56" s="851">
        <v>24.28</v>
      </c>
      <c r="T56" s="851">
        <v>18.13</v>
      </c>
      <c r="U56" s="851">
        <v>17.329999999999998</v>
      </c>
      <c r="V56" s="851">
        <v>0.35</v>
      </c>
      <c r="W56" s="851">
        <v>1.8</v>
      </c>
      <c r="X56" s="851">
        <v>20</v>
      </c>
      <c r="Y56" s="851">
        <v>30</v>
      </c>
      <c r="Z56" s="856">
        <v>0.9</v>
      </c>
      <c r="AB56" s="859">
        <v>1</v>
      </c>
      <c r="AD56" s="965">
        <v>1</v>
      </c>
      <c r="AE56" s="965">
        <v>2</v>
      </c>
      <c r="AF56" s="965">
        <v>60</v>
      </c>
      <c r="AG56" s="854">
        <v>90</v>
      </c>
      <c r="AH56" s="854">
        <v>10</v>
      </c>
      <c r="AI56" s="924" cm="1">
        <f t="array" ref="AI56">INDEX(AN$9:AN$17,$C56)</f>
        <v>3.3</v>
      </c>
      <c r="AJ56" s="924" cm="1">
        <f t="array" ref="AJ56">INDEX(AO$9:AO$17,$C56)</f>
        <v>0.2</v>
      </c>
      <c r="AK56" s="924" cm="1">
        <f t="array" ref="AK56">INDEX(AP$9:AP$17,$C56)</f>
        <v>3.1</v>
      </c>
    </row>
    <row r="57" spans="1:37" x14ac:dyDescent="0.25">
      <c r="A57" s="875"/>
      <c r="B57" s="988" t="s">
        <v>577</v>
      </c>
      <c r="C57" s="851">
        <v>2</v>
      </c>
      <c r="D57" s="851">
        <v>0.16</v>
      </c>
      <c r="E57" s="851">
        <v>16.39</v>
      </c>
      <c r="F57" s="851">
        <v>9.1</v>
      </c>
      <c r="G57" s="851">
        <v>8.0399999999999991</v>
      </c>
      <c r="H57" s="851">
        <v>2.66</v>
      </c>
      <c r="I57" s="851">
        <v>5.5</v>
      </c>
      <c r="J57" s="851">
        <v>6.63</v>
      </c>
      <c r="K57" s="851">
        <v>8</v>
      </c>
      <c r="L57" s="851">
        <v>11</v>
      </c>
      <c r="M57" s="851">
        <v>1.06</v>
      </c>
      <c r="N57" s="851">
        <v>1.28</v>
      </c>
      <c r="O57" s="851">
        <v>1.76</v>
      </c>
      <c r="P57" s="851">
        <v>1.98</v>
      </c>
      <c r="Q57" s="851">
        <v>2.6</v>
      </c>
      <c r="R57" s="851">
        <v>3.3</v>
      </c>
      <c r="S57" s="851">
        <v>23.23</v>
      </c>
      <c r="T57" s="851">
        <v>20.71</v>
      </c>
      <c r="U57" s="851">
        <v>21.17</v>
      </c>
      <c r="V57" s="851">
        <v>1.06</v>
      </c>
      <c r="W57" s="851">
        <v>1.8</v>
      </c>
      <c r="X57" s="851">
        <v>20</v>
      </c>
      <c r="Y57" s="851">
        <v>30</v>
      </c>
      <c r="Z57" s="856">
        <v>0.9</v>
      </c>
      <c r="AD57" s="965">
        <v>1</v>
      </c>
      <c r="AE57" s="965">
        <v>2</v>
      </c>
      <c r="AF57" s="965">
        <v>60</v>
      </c>
      <c r="AG57" s="907">
        <v>90</v>
      </c>
      <c r="AH57" s="907">
        <v>10</v>
      </c>
      <c r="AI57" s="924" cm="1">
        <f t="array" ref="AI57">INDEX(AN$9:AN$17,$C57)</f>
        <v>3.3</v>
      </c>
      <c r="AJ57" s="924" cm="1">
        <f t="array" ref="AJ57">INDEX(AO$9:AO$17,$C57)</f>
        <v>0.2</v>
      </c>
      <c r="AK57" s="924" cm="1">
        <f t="array" ref="AK57">INDEX(AP$9:AP$17,$C57)</f>
        <v>3.1</v>
      </c>
    </row>
    <row r="58" spans="1:37" x14ac:dyDescent="0.25">
      <c r="A58" s="875"/>
      <c r="B58" s="988" t="s">
        <v>578</v>
      </c>
      <c r="C58" s="851">
        <v>2</v>
      </c>
      <c r="D58" s="851">
        <v>0.16</v>
      </c>
      <c r="E58" s="851">
        <v>14.15</v>
      </c>
      <c r="F58" s="851">
        <v>7.99</v>
      </c>
      <c r="G58" s="851">
        <v>6.88</v>
      </c>
      <c r="H58" s="851">
        <v>2.66</v>
      </c>
      <c r="I58" s="851">
        <v>5.5</v>
      </c>
      <c r="J58" s="851">
        <v>6.63</v>
      </c>
      <c r="K58" s="851">
        <v>8</v>
      </c>
      <c r="L58" s="851">
        <v>11</v>
      </c>
      <c r="M58" s="851">
        <v>1.06</v>
      </c>
      <c r="N58" s="851">
        <v>1.28</v>
      </c>
      <c r="O58" s="851">
        <v>1.76</v>
      </c>
      <c r="P58" s="851">
        <v>1.98</v>
      </c>
      <c r="Q58" s="851">
        <v>2.6</v>
      </c>
      <c r="R58" s="851">
        <v>3.3</v>
      </c>
      <c r="S58" s="851">
        <v>23.23</v>
      </c>
      <c r="T58" s="851">
        <v>20.71</v>
      </c>
      <c r="U58" s="851">
        <v>21.17</v>
      </c>
      <c r="V58" s="851">
        <v>1.06</v>
      </c>
      <c r="W58" s="851">
        <v>1.8</v>
      </c>
      <c r="X58" s="851">
        <v>20</v>
      </c>
      <c r="Y58" s="851">
        <v>30</v>
      </c>
      <c r="Z58" s="856">
        <v>0.9</v>
      </c>
      <c r="AD58" s="965">
        <v>1</v>
      </c>
      <c r="AE58" s="965">
        <v>2</v>
      </c>
      <c r="AF58" s="965">
        <v>60</v>
      </c>
      <c r="AG58" s="907">
        <v>90</v>
      </c>
      <c r="AH58" s="907">
        <v>10</v>
      </c>
      <c r="AI58" s="924" cm="1">
        <f t="array" ref="AI58">INDEX(AN$9:AN$17,$C58)</f>
        <v>3.3</v>
      </c>
      <c r="AJ58" s="924" cm="1">
        <f t="array" ref="AJ58">INDEX(AO$9:AO$17,$C58)</f>
        <v>0.2</v>
      </c>
      <c r="AK58" s="924" cm="1">
        <f t="array" ref="AK58">INDEX(AP$9:AP$17,$C58)</f>
        <v>3.1</v>
      </c>
    </row>
    <row r="59" spans="1:37" x14ac:dyDescent="0.25">
      <c r="A59" s="882"/>
      <c r="B59" s="988" t="s">
        <v>579</v>
      </c>
      <c r="C59" s="851">
        <v>2</v>
      </c>
      <c r="D59" s="851">
        <v>0.14000000000000001</v>
      </c>
      <c r="E59" s="851">
        <v>14.06</v>
      </c>
      <c r="F59" s="851">
        <v>5.96</v>
      </c>
      <c r="G59" s="851">
        <v>7</v>
      </c>
      <c r="H59" s="851">
        <v>1.85</v>
      </c>
      <c r="I59" s="851">
        <v>5.5</v>
      </c>
      <c r="J59" s="851">
        <v>4.43</v>
      </c>
      <c r="K59" s="851">
        <v>6</v>
      </c>
      <c r="L59" s="851">
        <v>11</v>
      </c>
      <c r="M59" s="851">
        <v>0.62</v>
      </c>
      <c r="N59" s="851">
        <v>0.84</v>
      </c>
      <c r="O59" s="851">
        <v>1.54</v>
      </c>
      <c r="P59" s="851">
        <v>1.33</v>
      </c>
      <c r="Q59" s="851">
        <v>1.79</v>
      </c>
      <c r="R59" s="851">
        <v>2.41</v>
      </c>
      <c r="S59" s="851">
        <v>21.28</v>
      </c>
      <c r="T59" s="851">
        <v>20.04</v>
      </c>
      <c r="U59" s="851">
        <v>24.28</v>
      </c>
      <c r="V59" s="851">
        <v>0.74</v>
      </c>
      <c r="W59" s="851">
        <v>1.8</v>
      </c>
      <c r="X59" s="851">
        <v>20</v>
      </c>
      <c r="Y59" s="851">
        <v>30</v>
      </c>
      <c r="Z59" s="856">
        <v>0.9</v>
      </c>
      <c r="AD59" s="965">
        <v>1</v>
      </c>
      <c r="AE59" s="965">
        <v>2</v>
      </c>
      <c r="AF59" s="965">
        <v>60</v>
      </c>
      <c r="AG59" s="854">
        <v>90</v>
      </c>
      <c r="AH59" s="854">
        <v>10</v>
      </c>
      <c r="AI59" s="924" cm="1">
        <f t="array" ref="AI59">INDEX(AN$9:AN$17,$C59)</f>
        <v>3.3</v>
      </c>
      <c r="AJ59" s="924" cm="1">
        <f t="array" ref="AJ59">INDEX(AO$9:AO$17,$C59)</f>
        <v>0.2</v>
      </c>
      <c r="AK59" s="924" cm="1">
        <f t="array" ref="AK59">INDEX(AP$9:AP$17,$C59)</f>
        <v>3.1</v>
      </c>
    </row>
    <row r="60" spans="1:37" x14ac:dyDescent="0.25">
      <c r="A60" s="882"/>
      <c r="B60" s="988" t="s">
        <v>580</v>
      </c>
      <c r="C60" s="851">
        <v>2</v>
      </c>
      <c r="D60" s="851">
        <v>0.14000000000000001</v>
      </c>
      <c r="E60" s="851">
        <v>13.44</v>
      </c>
      <c r="F60" s="851">
        <v>5.0599999999999996</v>
      </c>
      <c r="G60" s="851">
        <v>6.77</v>
      </c>
      <c r="H60" s="851">
        <v>1.85</v>
      </c>
      <c r="I60" s="851">
        <v>5.5</v>
      </c>
      <c r="J60" s="851">
        <v>4.43</v>
      </c>
      <c r="K60" s="851">
        <v>6</v>
      </c>
      <c r="L60" s="851">
        <v>11</v>
      </c>
      <c r="M60" s="851">
        <v>0.62</v>
      </c>
      <c r="N60" s="851">
        <v>0.84</v>
      </c>
      <c r="O60" s="851">
        <v>1.54</v>
      </c>
      <c r="P60" s="851">
        <v>1.33</v>
      </c>
      <c r="Q60" s="851">
        <v>1.79</v>
      </c>
      <c r="R60" s="851">
        <v>2.41</v>
      </c>
      <c r="S60" s="851">
        <v>21.28</v>
      </c>
      <c r="T60" s="851">
        <v>20.04</v>
      </c>
      <c r="U60" s="851">
        <v>24.28</v>
      </c>
      <c r="V60" s="851">
        <v>0.74</v>
      </c>
      <c r="W60" s="851">
        <v>1.8</v>
      </c>
      <c r="X60" s="851">
        <v>20</v>
      </c>
      <c r="Y60" s="851">
        <v>30</v>
      </c>
      <c r="Z60" s="856">
        <v>0.9</v>
      </c>
      <c r="AA60" s="854"/>
      <c r="AD60" s="965">
        <v>1</v>
      </c>
      <c r="AE60" s="965">
        <v>2</v>
      </c>
      <c r="AF60" s="965">
        <v>60</v>
      </c>
      <c r="AG60" s="854">
        <v>90</v>
      </c>
      <c r="AH60" s="854">
        <v>10</v>
      </c>
      <c r="AI60" s="924" cm="1">
        <f t="array" ref="AI60">INDEX(AN$9:AN$17,$C60)</f>
        <v>3.3</v>
      </c>
      <c r="AJ60" s="924" cm="1">
        <f t="array" ref="AJ60">INDEX(AO$9:AO$17,$C60)</f>
        <v>0.2</v>
      </c>
      <c r="AK60" s="924" cm="1">
        <f t="array" ref="AK60">INDEX(AP$9:AP$17,$C60)</f>
        <v>3.1</v>
      </c>
    </row>
    <row r="61" spans="1:37" x14ac:dyDescent="0.25">
      <c r="A61" s="882"/>
      <c r="B61" s="988" t="s">
        <v>7857</v>
      </c>
      <c r="C61" s="851">
        <v>2</v>
      </c>
      <c r="D61" s="851">
        <v>0.14000000000000001</v>
      </c>
      <c r="E61" s="851">
        <v>12.08</v>
      </c>
      <c r="F61" s="851">
        <v>4.8099999999999996</v>
      </c>
      <c r="G61" s="851">
        <v>6.57</v>
      </c>
      <c r="H61" s="851">
        <v>1.85</v>
      </c>
      <c r="I61" s="851">
        <v>5.5</v>
      </c>
      <c r="J61" s="851">
        <v>4.43</v>
      </c>
      <c r="K61" s="851">
        <v>6</v>
      </c>
      <c r="L61" s="851">
        <v>11</v>
      </c>
      <c r="M61" s="851">
        <v>0.62</v>
      </c>
      <c r="N61" s="851">
        <v>0.84</v>
      </c>
      <c r="O61" s="851">
        <v>1.54</v>
      </c>
      <c r="P61" s="851">
        <v>1.33</v>
      </c>
      <c r="Q61" s="851">
        <v>1.79</v>
      </c>
      <c r="R61" s="851">
        <v>2.41</v>
      </c>
      <c r="S61" s="851">
        <v>21.28</v>
      </c>
      <c r="T61" s="851">
        <v>20.04</v>
      </c>
      <c r="U61" s="851">
        <v>24.28</v>
      </c>
      <c r="V61" s="851">
        <v>0.74</v>
      </c>
      <c r="W61" s="851">
        <v>1.8</v>
      </c>
      <c r="X61" s="851">
        <v>20</v>
      </c>
      <c r="Y61" s="851">
        <v>30</v>
      </c>
      <c r="Z61" s="856">
        <v>0.9</v>
      </c>
      <c r="AA61" s="854"/>
      <c r="AB61" s="859">
        <v>1</v>
      </c>
      <c r="AD61" s="965">
        <v>1</v>
      </c>
      <c r="AE61" s="965">
        <v>2</v>
      </c>
      <c r="AF61" s="965">
        <v>60</v>
      </c>
      <c r="AG61" s="854">
        <v>90</v>
      </c>
      <c r="AH61" s="854">
        <v>10</v>
      </c>
      <c r="AI61" s="924" cm="1">
        <f t="array" ref="AI61">INDEX(AN$9:AN$17,$C61)</f>
        <v>3.3</v>
      </c>
      <c r="AJ61" s="924" cm="1">
        <f t="array" ref="AJ61">INDEX(AO$9:AO$17,$C61)</f>
        <v>0.2</v>
      </c>
      <c r="AK61" s="924" cm="1">
        <f t="array" ref="AK61">INDEX(AP$9:AP$17,$C61)</f>
        <v>3.1</v>
      </c>
    </row>
    <row r="62" spans="1:37" x14ac:dyDescent="0.25">
      <c r="A62" s="882"/>
      <c r="B62" s="988" t="s">
        <v>7858</v>
      </c>
      <c r="C62" s="851">
        <v>2</v>
      </c>
      <c r="D62" s="851">
        <v>0.14000000000000001</v>
      </c>
      <c r="E62" s="851">
        <v>11.47</v>
      </c>
      <c r="F62" s="851">
        <v>4.33</v>
      </c>
      <c r="G62" s="851">
        <v>6.08</v>
      </c>
      <c r="H62" s="851">
        <v>1.85</v>
      </c>
      <c r="I62" s="851">
        <v>5.5</v>
      </c>
      <c r="J62" s="851">
        <v>4.43</v>
      </c>
      <c r="K62" s="851">
        <v>6</v>
      </c>
      <c r="L62" s="851">
        <v>11</v>
      </c>
      <c r="M62" s="851">
        <v>0.62</v>
      </c>
      <c r="N62" s="851">
        <v>0.84</v>
      </c>
      <c r="O62" s="851">
        <v>1.54</v>
      </c>
      <c r="P62" s="851">
        <v>1.33</v>
      </c>
      <c r="Q62" s="851">
        <v>1.79</v>
      </c>
      <c r="R62" s="851">
        <v>2.41</v>
      </c>
      <c r="S62" s="851">
        <v>21.28</v>
      </c>
      <c r="T62" s="851">
        <v>20.04</v>
      </c>
      <c r="U62" s="851">
        <v>24.28</v>
      </c>
      <c r="V62" s="851">
        <v>0.74</v>
      </c>
      <c r="W62" s="851">
        <v>1.8</v>
      </c>
      <c r="X62" s="851">
        <v>20</v>
      </c>
      <c r="Y62" s="851">
        <v>30</v>
      </c>
      <c r="Z62" s="856">
        <v>0.9</v>
      </c>
      <c r="AA62" s="854"/>
      <c r="AB62" s="967">
        <v>1</v>
      </c>
      <c r="AD62" s="965">
        <v>1</v>
      </c>
      <c r="AE62" s="965">
        <v>2</v>
      </c>
      <c r="AF62" s="965">
        <v>60</v>
      </c>
      <c r="AG62" s="854">
        <v>90</v>
      </c>
      <c r="AH62" s="854">
        <v>10</v>
      </c>
      <c r="AI62" s="924" cm="1">
        <f t="array" ref="AI62">INDEX(AN$9:AN$17,$C62)</f>
        <v>3.3</v>
      </c>
      <c r="AJ62" s="924" cm="1">
        <f t="array" ref="AJ62">INDEX(AO$9:AO$17,$C62)</f>
        <v>0.2</v>
      </c>
      <c r="AK62" s="924" cm="1">
        <f t="array" ref="AK62">INDEX(AP$9:AP$17,$C62)</f>
        <v>3.1</v>
      </c>
    </row>
    <row r="63" spans="1:37" x14ac:dyDescent="0.25">
      <c r="A63" s="882"/>
      <c r="B63" s="988" t="s">
        <v>62</v>
      </c>
      <c r="C63" s="851">
        <v>2</v>
      </c>
      <c r="D63" s="851">
        <v>0.14000000000000001</v>
      </c>
      <c r="E63" s="851">
        <v>15.41</v>
      </c>
      <c r="F63" s="851">
        <v>6.28</v>
      </c>
      <c r="G63" s="851">
        <v>7.53</v>
      </c>
      <c r="H63" s="851">
        <v>1.89</v>
      </c>
      <c r="I63" s="851">
        <v>5.5</v>
      </c>
      <c r="J63" s="851">
        <v>4.5</v>
      </c>
      <c r="K63" s="851">
        <v>6</v>
      </c>
      <c r="L63" s="851">
        <v>11</v>
      </c>
      <c r="M63" s="851">
        <v>0.63</v>
      </c>
      <c r="N63" s="851">
        <v>0.84</v>
      </c>
      <c r="O63" s="851">
        <v>1.54</v>
      </c>
      <c r="P63" s="851">
        <v>1.36</v>
      </c>
      <c r="Q63" s="851">
        <v>1.82</v>
      </c>
      <c r="R63" s="851">
        <v>2.4500000000000002</v>
      </c>
      <c r="S63" s="851">
        <v>21.18</v>
      </c>
      <c r="T63" s="851">
        <v>19.82</v>
      </c>
      <c r="U63" s="851">
        <v>23.97</v>
      </c>
      <c r="V63" s="851">
        <v>0.76</v>
      </c>
      <c r="W63" s="851">
        <v>1.8</v>
      </c>
      <c r="X63" s="851">
        <v>20</v>
      </c>
      <c r="Y63" s="851">
        <v>30</v>
      </c>
      <c r="Z63" s="856">
        <v>0.9</v>
      </c>
      <c r="AA63" s="854"/>
      <c r="AD63" s="965">
        <v>1</v>
      </c>
      <c r="AE63" s="965">
        <v>2</v>
      </c>
      <c r="AF63" s="965">
        <v>60</v>
      </c>
      <c r="AG63" s="854">
        <v>90</v>
      </c>
      <c r="AH63" s="854">
        <v>10</v>
      </c>
      <c r="AI63" s="924" cm="1">
        <f t="array" ref="AI63">INDEX(AN$9:AN$17,$C63)</f>
        <v>3.3</v>
      </c>
      <c r="AJ63" s="924" cm="1">
        <f t="array" ref="AJ63">INDEX(AO$9:AO$17,$C63)</f>
        <v>0.2</v>
      </c>
      <c r="AK63" s="924" cm="1">
        <f t="array" ref="AK63">INDEX(AP$9:AP$17,$C63)</f>
        <v>3.1</v>
      </c>
    </row>
    <row r="64" spans="1:37" x14ac:dyDescent="0.25">
      <c r="A64" s="882"/>
      <c r="B64" s="988" t="s">
        <v>63</v>
      </c>
      <c r="C64" s="851">
        <v>2</v>
      </c>
      <c r="D64" s="851">
        <v>0.14000000000000001</v>
      </c>
      <c r="E64" s="851">
        <v>14.78</v>
      </c>
      <c r="F64" s="851">
        <v>5.56</v>
      </c>
      <c r="G64" s="851">
        <v>7.27</v>
      </c>
      <c r="H64" s="851">
        <v>1.89</v>
      </c>
      <c r="I64" s="851">
        <v>5.5</v>
      </c>
      <c r="J64" s="851">
        <v>4.5</v>
      </c>
      <c r="K64" s="851">
        <v>6</v>
      </c>
      <c r="L64" s="851">
        <v>11</v>
      </c>
      <c r="M64" s="851">
        <v>0.63</v>
      </c>
      <c r="N64" s="851">
        <v>0.84</v>
      </c>
      <c r="O64" s="851">
        <v>1.54</v>
      </c>
      <c r="P64" s="851">
        <v>1.36</v>
      </c>
      <c r="Q64" s="851">
        <v>1.82</v>
      </c>
      <c r="R64" s="851">
        <v>2.4500000000000002</v>
      </c>
      <c r="S64" s="851">
        <v>21.18</v>
      </c>
      <c r="T64" s="851">
        <v>19.82</v>
      </c>
      <c r="U64" s="851">
        <v>23.97</v>
      </c>
      <c r="V64" s="851">
        <v>0.76</v>
      </c>
      <c r="W64" s="851">
        <v>1.8</v>
      </c>
      <c r="X64" s="851">
        <v>20</v>
      </c>
      <c r="Y64" s="851">
        <v>30</v>
      </c>
      <c r="Z64" s="856">
        <v>0.9</v>
      </c>
      <c r="AA64" s="854"/>
      <c r="AD64" s="965">
        <v>1</v>
      </c>
      <c r="AE64" s="965">
        <v>2</v>
      </c>
      <c r="AF64" s="965">
        <v>60</v>
      </c>
      <c r="AG64" s="854">
        <v>90</v>
      </c>
      <c r="AH64" s="854">
        <v>10</v>
      </c>
      <c r="AI64" s="924" cm="1">
        <f t="array" ref="AI64">INDEX(AN$9:AN$17,$C64)</f>
        <v>3.3</v>
      </c>
      <c r="AJ64" s="924" cm="1">
        <f t="array" ref="AJ64">INDEX(AO$9:AO$17,$C64)</f>
        <v>0.2</v>
      </c>
      <c r="AK64" s="924" cm="1">
        <f t="array" ref="AK64">INDEX(AP$9:AP$17,$C64)</f>
        <v>3.1</v>
      </c>
    </row>
    <row r="65" spans="1:37" x14ac:dyDescent="0.25">
      <c r="A65" s="882"/>
      <c r="B65" s="988" t="s">
        <v>7859</v>
      </c>
      <c r="C65" s="851">
        <v>2</v>
      </c>
      <c r="D65" s="851">
        <v>0.14000000000000001</v>
      </c>
      <c r="E65" s="851">
        <v>13.39</v>
      </c>
      <c r="F65" s="851">
        <v>4.95</v>
      </c>
      <c r="G65" s="851">
        <v>7.06</v>
      </c>
      <c r="H65" s="851">
        <v>1.89</v>
      </c>
      <c r="I65" s="851">
        <v>5.5</v>
      </c>
      <c r="J65" s="851">
        <v>4.5</v>
      </c>
      <c r="K65" s="851">
        <v>6</v>
      </c>
      <c r="L65" s="851">
        <v>11</v>
      </c>
      <c r="M65" s="851">
        <v>0.63</v>
      </c>
      <c r="N65" s="851">
        <v>0.84</v>
      </c>
      <c r="O65" s="851">
        <v>1.54</v>
      </c>
      <c r="P65" s="851">
        <v>1.36</v>
      </c>
      <c r="Q65" s="851">
        <v>1.82</v>
      </c>
      <c r="R65" s="851">
        <v>2.4500000000000002</v>
      </c>
      <c r="S65" s="851">
        <v>21.18</v>
      </c>
      <c r="T65" s="851">
        <v>19.82</v>
      </c>
      <c r="U65" s="851">
        <v>23.97</v>
      </c>
      <c r="V65" s="851">
        <v>0.76</v>
      </c>
      <c r="W65" s="851">
        <v>1.8</v>
      </c>
      <c r="X65" s="851">
        <v>20</v>
      </c>
      <c r="Y65" s="851">
        <v>30</v>
      </c>
      <c r="Z65" s="856">
        <v>0.9</v>
      </c>
      <c r="AA65" s="854"/>
      <c r="AB65" s="967">
        <v>1</v>
      </c>
      <c r="AD65" s="965">
        <v>1</v>
      </c>
      <c r="AE65" s="965">
        <v>2</v>
      </c>
      <c r="AF65" s="965">
        <v>60</v>
      </c>
      <c r="AG65" s="854">
        <v>90</v>
      </c>
      <c r="AH65" s="854">
        <v>10</v>
      </c>
      <c r="AI65" s="924" cm="1">
        <f t="array" ref="AI65">INDEX(AN$9:AN$17,$C65)</f>
        <v>3.3</v>
      </c>
      <c r="AJ65" s="924" cm="1">
        <f t="array" ref="AJ65">INDEX(AO$9:AO$17,$C65)</f>
        <v>0.2</v>
      </c>
      <c r="AK65" s="924" cm="1">
        <f t="array" ref="AK65">INDEX(AP$9:AP$17,$C65)</f>
        <v>3.1</v>
      </c>
    </row>
    <row r="66" spans="1:37" x14ac:dyDescent="0.25">
      <c r="A66" s="882"/>
      <c r="B66" s="988" t="s">
        <v>7860</v>
      </c>
      <c r="C66" s="851">
        <v>2</v>
      </c>
      <c r="D66" s="851">
        <v>0.14000000000000001</v>
      </c>
      <c r="E66" s="851">
        <v>12</v>
      </c>
      <c r="F66" s="851">
        <v>4.4800000000000004</v>
      </c>
      <c r="G66" s="851">
        <v>6.53</v>
      </c>
      <c r="H66" s="851">
        <v>1.89</v>
      </c>
      <c r="I66" s="851">
        <v>5.5</v>
      </c>
      <c r="J66" s="851">
        <v>4.5</v>
      </c>
      <c r="K66" s="851">
        <v>6</v>
      </c>
      <c r="L66" s="851">
        <v>11</v>
      </c>
      <c r="M66" s="851">
        <v>0.63</v>
      </c>
      <c r="N66" s="851">
        <v>0.84</v>
      </c>
      <c r="O66" s="851">
        <v>1.54</v>
      </c>
      <c r="P66" s="851">
        <v>1.36</v>
      </c>
      <c r="Q66" s="851">
        <v>1.82</v>
      </c>
      <c r="R66" s="851">
        <v>2.4500000000000002</v>
      </c>
      <c r="S66" s="851">
        <v>21.18</v>
      </c>
      <c r="T66" s="851">
        <v>19.82</v>
      </c>
      <c r="U66" s="851">
        <v>23.97</v>
      </c>
      <c r="V66" s="851">
        <v>0.76</v>
      </c>
      <c r="W66" s="851">
        <v>1.8</v>
      </c>
      <c r="X66" s="851">
        <v>20</v>
      </c>
      <c r="Y66" s="851">
        <v>30</v>
      </c>
      <c r="Z66" s="856">
        <v>0.9</v>
      </c>
      <c r="AA66" s="854"/>
      <c r="AB66" s="967">
        <v>1</v>
      </c>
      <c r="AD66" s="965">
        <v>1</v>
      </c>
      <c r="AE66" s="965">
        <v>2</v>
      </c>
      <c r="AF66" s="965">
        <v>60</v>
      </c>
      <c r="AG66" s="854">
        <v>90</v>
      </c>
      <c r="AH66" s="854">
        <v>10</v>
      </c>
      <c r="AI66" s="924" cm="1">
        <f t="array" ref="AI66">INDEX(AN$9:AN$17,$C66)</f>
        <v>3.3</v>
      </c>
      <c r="AJ66" s="924" cm="1">
        <f t="array" ref="AJ66">INDEX(AO$9:AO$17,$C66)</f>
        <v>0.2</v>
      </c>
      <c r="AK66" s="924" cm="1">
        <f t="array" ref="AK66">INDEX(AP$9:AP$17,$C66)</f>
        <v>3.1</v>
      </c>
    </row>
    <row r="67" spans="1:37" x14ac:dyDescent="0.25">
      <c r="A67" s="882"/>
      <c r="B67" s="988" t="s">
        <v>7845</v>
      </c>
      <c r="C67" s="851">
        <v>2</v>
      </c>
      <c r="D67" s="851">
        <v>0.14000000000000001</v>
      </c>
      <c r="E67" s="851">
        <v>16.239999999999998</v>
      </c>
      <c r="F67" s="851">
        <v>6.55</v>
      </c>
      <c r="G67" s="851">
        <v>8.0299999999999994</v>
      </c>
      <c r="H67" s="851">
        <v>1.95</v>
      </c>
      <c r="I67" s="851">
        <v>5.5</v>
      </c>
      <c r="J67" s="851">
        <v>4.6399999999999997</v>
      </c>
      <c r="K67" s="851">
        <v>6</v>
      </c>
      <c r="L67" s="851">
        <v>11</v>
      </c>
      <c r="M67" s="851">
        <v>0.65</v>
      </c>
      <c r="N67" s="851">
        <v>0.84</v>
      </c>
      <c r="O67" s="851">
        <v>1.54</v>
      </c>
      <c r="P67" s="851">
        <v>1.4</v>
      </c>
      <c r="Q67" s="851">
        <v>1.87</v>
      </c>
      <c r="R67" s="851">
        <v>2.5099999999999998</v>
      </c>
      <c r="S67" s="851">
        <v>21.23</v>
      </c>
      <c r="T67" s="851">
        <v>19.46</v>
      </c>
      <c r="U67" s="851">
        <v>23.53</v>
      </c>
      <c r="V67" s="851">
        <v>0.78</v>
      </c>
      <c r="W67" s="851">
        <v>1.8</v>
      </c>
      <c r="X67" s="851">
        <v>20</v>
      </c>
      <c r="Y67" s="851">
        <v>30</v>
      </c>
      <c r="Z67" s="856">
        <v>0.9</v>
      </c>
      <c r="AA67" s="854"/>
      <c r="AD67" s="965">
        <v>1</v>
      </c>
      <c r="AE67" s="965">
        <v>2</v>
      </c>
      <c r="AF67" s="965">
        <v>60</v>
      </c>
      <c r="AG67" s="854">
        <v>90</v>
      </c>
      <c r="AH67" s="854">
        <v>10</v>
      </c>
      <c r="AI67" s="924" cm="1">
        <f t="array" ref="AI67">INDEX(AN$9:AN$17,$C67)</f>
        <v>3.3</v>
      </c>
      <c r="AJ67" s="924" cm="1">
        <f t="array" ref="AJ67">INDEX(AO$9:AO$17,$C67)</f>
        <v>0.2</v>
      </c>
      <c r="AK67" s="924" cm="1">
        <f t="array" ref="AK67">INDEX(AP$9:AP$17,$C67)</f>
        <v>3.1</v>
      </c>
    </row>
    <row r="68" spans="1:37" x14ac:dyDescent="0.25">
      <c r="A68" s="875"/>
      <c r="B68" s="988" t="s">
        <v>7846</v>
      </c>
      <c r="C68" s="851">
        <v>2</v>
      </c>
      <c r="D68" s="851">
        <v>0.14000000000000001</v>
      </c>
      <c r="E68" s="851">
        <v>15.59</v>
      </c>
      <c r="F68" s="851">
        <v>5.72</v>
      </c>
      <c r="G68" s="851">
        <v>7.78</v>
      </c>
      <c r="H68" s="851">
        <v>1.95</v>
      </c>
      <c r="I68" s="851">
        <v>5.5</v>
      </c>
      <c r="J68" s="851">
        <v>4.6399999999999997</v>
      </c>
      <c r="K68" s="851">
        <v>6</v>
      </c>
      <c r="L68" s="851">
        <v>11</v>
      </c>
      <c r="M68" s="851">
        <v>0.65</v>
      </c>
      <c r="N68" s="851">
        <v>0.84</v>
      </c>
      <c r="O68" s="851">
        <v>1.54</v>
      </c>
      <c r="P68" s="851">
        <v>1.4</v>
      </c>
      <c r="Q68" s="851">
        <v>1.87</v>
      </c>
      <c r="R68" s="851">
        <v>2.5099999999999998</v>
      </c>
      <c r="S68" s="851">
        <v>21.23</v>
      </c>
      <c r="T68" s="851">
        <v>19.46</v>
      </c>
      <c r="U68" s="851">
        <v>23.53</v>
      </c>
      <c r="V68" s="851">
        <v>0.78</v>
      </c>
      <c r="W68" s="851">
        <v>1.8</v>
      </c>
      <c r="X68" s="851">
        <v>20</v>
      </c>
      <c r="Y68" s="851">
        <v>30</v>
      </c>
      <c r="Z68" s="856">
        <v>0.9</v>
      </c>
      <c r="AA68" s="854"/>
      <c r="AD68" s="965">
        <v>1</v>
      </c>
      <c r="AE68" s="965">
        <v>2</v>
      </c>
      <c r="AF68" s="965">
        <v>60</v>
      </c>
      <c r="AG68" s="854">
        <v>90</v>
      </c>
      <c r="AH68" s="854">
        <v>10</v>
      </c>
      <c r="AI68" s="924" cm="1">
        <f t="array" ref="AI68">INDEX(AN$9:AN$17,$C68)</f>
        <v>3.3</v>
      </c>
      <c r="AJ68" s="924" cm="1">
        <f t="array" ref="AJ68">INDEX(AO$9:AO$17,$C68)</f>
        <v>0.2</v>
      </c>
      <c r="AK68" s="924" cm="1">
        <f t="array" ref="AK68">INDEX(AP$9:AP$17,$C68)</f>
        <v>3.1</v>
      </c>
    </row>
    <row r="69" spans="1:37" x14ac:dyDescent="0.25">
      <c r="A69" s="875"/>
      <c r="B69" s="988" t="s">
        <v>7861</v>
      </c>
      <c r="C69" s="851">
        <v>2</v>
      </c>
      <c r="D69" s="851">
        <v>0.14000000000000001</v>
      </c>
      <c r="E69" s="851">
        <v>14.03</v>
      </c>
      <c r="F69" s="851">
        <v>5.07</v>
      </c>
      <c r="G69" s="851">
        <v>7.55</v>
      </c>
      <c r="H69" s="851">
        <v>1.95</v>
      </c>
      <c r="I69" s="851">
        <v>5.5</v>
      </c>
      <c r="J69" s="851">
        <v>4.6399999999999997</v>
      </c>
      <c r="K69" s="851">
        <v>6</v>
      </c>
      <c r="L69" s="851">
        <v>11</v>
      </c>
      <c r="M69" s="851">
        <v>0.65</v>
      </c>
      <c r="N69" s="851">
        <v>0.84</v>
      </c>
      <c r="O69" s="851">
        <v>1.54</v>
      </c>
      <c r="P69" s="851">
        <v>1.4</v>
      </c>
      <c r="Q69" s="851">
        <v>1.87</v>
      </c>
      <c r="R69" s="851">
        <v>2.5099999999999998</v>
      </c>
      <c r="S69" s="851">
        <v>21.23</v>
      </c>
      <c r="T69" s="851">
        <v>19.46</v>
      </c>
      <c r="U69" s="851">
        <v>23.53</v>
      </c>
      <c r="V69" s="851">
        <v>0.78</v>
      </c>
      <c r="W69" s="851">
        <v>1.8</v>
      </c>
      <c r="X69" s="851">
        <v>20</v>
      </c>
      <c r="Y69" s="851">
        <v>30</v>
      </c>
      <c r="Z69" s="856">
        <v>0.9</v>
      </c>
      <c r="AA69" s="854"/>
      <c r="AB69" s="967">
        <v>1</v>
      </c>
      <c r="AD69" s="965">
        <v>1</v>
      </c>
      <c r="AE69" s="965">
        <v>2</v>
      </c>
      <c r="AF69" s="965">
        <v>60</v>
      </c>
      <c r="AG69" s="854">
        <v>90</v>
      </c>
      <c r="AH69" s="854">
        <v>10</v>
      </c>
      <c r="AI69" s="924" cm="1">
        <f t="array" ref="AI69">INDEX(AN$9:AN$17,$C69)</f>
        <v>3.3</v>
      </c>
      <c r="AJ69" s="924" cm="1">
        <f t="array" ref="AJ69">INDEX(AO$9:AO$17,$C69)</f>
        <v>0.2</v>
      </c>
      <c r="AK69" s="924" cm="1">
        <f t="array" ref="AK69">INDEX(AP$9:AP$17,$C69)</f>
        <v>3.1</v>
      </c>
    </row>
    <row r="70" spans="1:37" x14ac:dyDescent="0.25">
      <c r="A70" s="875"/>
      <c r="B70" s="988" t="s">
        <v>7862</v>
      </c>
      <c r="C70" s="851">
        <v>2</v>
      </c>
      <c r="D70" s="851">
        <v>0.14000000000000001</v>
      </c>
      <c r="E70" s="851">
        <v>12.6</v>
      </c>
      <c r="F70" s="851">
        <v>4.6399999999999997</v>
      </c>
      <c r="G70" s="851">
        <v>6.98</v>
      </c>
      <c r="H70" s="851">
        <v>1.95</v>
      </c>
      <c r="I70" s="851">
        <v>5.5</v>
      </c>
      <c r="J70" s="851">
        <v>4.6399999999999997</v>
      </c>
      <c r="K70" s="851">
        <v>6</v>
      </c>
      <c r="L70" s="851">
        <v>11</v>
      </c>
      <c r="M70" s="851">
        <v>0.65</v>
      </c>
      <c r="N70" s="851">
        <v>0.84</v>
      </c>
      <c r="O70" s="851">
        <v>1.54</v>
      </c>
      <c r="P70" s="851">
        <v>1.4</v>
      </c>
      <c r="Q70" s="851">
        <v>1.87</v>
      </c>
      <c r="R70" s="851">
        <v>2.5099999999999998</v>
      </c>
      <c r="S70" s="851">
        <v>21.23</v>
      </c>
      <c r="T70" s="851">
        <v>19.46</v>
      </c>
      <c r="U70" s="851">
        <v>23.53</v>
      </c>
      <c r="V70" s="851">
        <v>0.78</v>
      </c>
      <c r="W70" s="851">
        <v>1.8</v>
      </c>
      <c r="X70" s="851">
        <v>20</v>
      </c>
      <c r="Y70" s="851">
        <v>30</v>
      </c>
      <c r="Z70" s="856">
        <v>0.9</v>
      </c>
      <c r="AA70" s="854"/>
      <c r="AB70" s="859">
        <v>1</v>
      </c>
      <c r="AD70" s="965">
        <v>1</v>
      </c>
      <c r="AE70" s="965">
        <v>2</v>
      </c>
      <c r="AF70" s="965">
        <v>60</v>
      </c>
      <c r="AG70" s="854">
        <v>90</v>
      </c>
      <c r="AH70" s="854">
        <v>10</v>
      </c>
      <c r="AI70" s="924" cm="1">
        <f t="array" ref="AI70">INDEX(AN$9:AN$17,$C70)</f>
        <v>3.3</v>
      </c>
      <c r="AJ70" s="924" cm="1">
        <f t="array" ref="AJ70">INDEX(AO$9:AO$17,$C70)</f>
        <v>0.2</v>
      </c>
      <c r="AK70" s="924" cm="1">
        <f t="array" ref="AK70">INDEX(AP$9:AP$17,$C70)</f>
        <v>3.1</v>
      </c>
    </row>
    <row r="71" spans="1:37" s="969" customFormat="1" x14ac:dyDescent="0.25">
      <c r="A71" s="968"/>
      <c r="B71" s="988" t="s">
        <v>64</v>
      </c>
      <c r="C71" s="851">
        <v>2</v>
      </c>
      <c r="D71" s="851">
        <v>0.3</v>
      </c>
      <c r="E71" s="851">
        <v>22.1</v>
      </c>
      <c r="F71" s="851">
        <v>9.6199999999999992</v>
      </c>
      <c r="G71" s="851">
        <v>8.8000000000000007</v>
      </c>
      <c r="H71" s="851">
        <v>3.6</v>
      </c>
      <c r="I71" s="851">
        <v>5.5</v>
      </c>
      <c r="J71" s="851">
        <v>3.33</v>
      </c>
      <c r="K71" s="851">
        <v>6</v>
      </c>
      <c r="L71" s="851">
        <v>11</v>
      </c>
      <c r="M71" s="851">
        <v>1</v>
      </c>
      <c r="N71" s="851">
        <v>1.8</v>
      </c>
      <c r="O71" s="851">
        <v>3.3</v>
      </c>
      <c r="P71" s="851">
        <v>2.46</v>
      </c>
      <c r="Q71" s="851">
        <v>3.51</v>
      </c>
      <c r="R71" s="851">
        <v>4.8</v>
      </c>
      <c r="S71" s="851">
        <v>19.71</v>
      </c>
      <c r="T71" s="851">
        <v>21.35</v>
      </c>
      <c r="U71" s="851">
        <v>25.71</v>
      </c>
      <c r="V71" s="851">
        <v>1.5</v>
      </c>
      <c r="W71" s="851">
        <v>1.8</v>
      </c>
      <c r="X71" s="851">
        <v>20</v>
      </c>
      <c r="Y71" s="851">
        <v>30</v>
      </c>
      <c r="Z71" s="911">
        <v>0.9</v>
      </c>
      <c r="AB71" s="970"/>
      <c r="AC71" s="970"/>
      <c r="AD71" s="971">
        <v>1</v>
      </c>
      <c r="AE71" s="971">
        <v>2</v>
      </c>
      <c r="AF71" s="971">
        <v>60</v>
      </c>
      <c r="AG71" s="969">
        <v>90</v>
      </c>
      <c r="AH71" s="969">
        <v>10</v>
      </c>
      <c r="AI71" s="924" cm="1">
        <f t="array" ref="AI71">INDEX(AN$9:AN$17,$C71)</f>
        <v>3.3</v>
      </c>
      <c r="AJ71" s="924" cm="1">
        <f t="array" ref="AJ71">INDEX(AO$9:AO$17,$C71)</f>
        <v>0.2</v>
      </c>
      <c r="AK71" s="924" cm="1">
        <f t="array" ref="AK71">INDEX(AP$9:AP$17,$C71)</f>
        <v>3.1</v>
      </c>
    </row>
    <row r="72" spans="1:37" s="973" customFormat="1" x14ac:dyDescent="0.25">
      <c r="A72" s="966"/>
      <c r="B72" s="988" t="s">
        <v>65</v>
      </c>
      <c r="C72" s="851">
        <v>3</v>
      </c>
      <c r="D72" s="851">
        <v>4.0000000000000001E-3</v>
      </c>
      <c r="E72" s="851">
        <v>0.81</v>
      </c>
      <c r="F72" s="851">
        <v>0.42</v>
      </c>
      <c r="G72" s="851">
        <v>0.4</v>
      </c>
      <c r="H72" s="851"/>
      <c r="I72" s="851"/>
      <c r="J72" s="851">
        <v>0.89</v>
      </c>
      <c r="K72" s="851">
        <v>0.89</v>
      </c>
      <c r="L72" s="851">
        <v>0.89</v>
      </c>
      <c r="M72" s="851">
        <v>3.5500000000000002E-3</v>
      </c>
      <c r="N72" s="851">
        <v>3.5500000000000002E-3</v>
      </c>
      <c r="O72" s="851">
        <v>3.5500000000000002E-3</v>
      </c>
      <c r="P72" s="851">
        <v>2.3400000000000001E-2</v>
      </c>
      <c r="Q72" s="851">
        <v>2.3400000000000001E-2</v>
      </c>
      <c r="R72" s="851">
        <v>2.3400000000000001E-2</v>
      </c>
      <c r="S72" s="851">
        <v>50</v>
      </c>
      <c r="T72" s="851">
        <v>50</v>
      </c>
      <c r="U72" s="851">
        <v>50</v>
      </c>
      <c r="V72" s="851"/>
      <c r="W72" s="851"/>
      <c r="X72" s="851">
        <v>40</v>
      </c>
      <c r="Y72" s="851">
        <v>40</v>
      </c>
      <c r="Z72" s="972">
        <v>0.7</v>
      </c>
      <c r="AB72" s="974"/>
      <c r="AC72" s="974"/>
      <c r="AD72" s="975">
        <v>5</v>
      </c>
      <c r="AE72" s="975">
        <v>5</v>
      </c>
      <c r="AF72" s="975">
        <v>50</v>
      </c>
      <c r="AG72" s="973">
        <v>90</v>
      </c>
      <c r="AH72" s="973">
        <v>45</v>
      </c>
      <c r="AI72" s="924" cm="1">
        <f t="array" ref="AI72">INDEX(AN$9:AN$17,$C72)</f>
        <v>0</v>
      </c>
      <c r="AJ72" s="924" cm="1">
        <f t="array" ref="AJ72">INDEX(AO$9:AO$17,$C72)</f>
        <v>0</v>
      </c>
      <c r="AK72" s="924" cm="1">
        <f t="array" ref="AK72">INDEX(AP$9:AP$17,$C72)</f>
        <v>0</v>
      </c>
    </row>
    <row r="73" spans="1:37" s="880" customFormat="1" x14ac:dyDescent="0.25">
      <c r="A73" s="875"/>
      <c r="B73" s="988" t="s">
        <v>66</v>
      </c>
      <c r="C73" s="851">
        <v>3</v>
      </c>
      <c r="D73" s="851">
        <v>4.0000000000000001E-3</v>
      </c>
      <c r="E73" s="851">
        <v>0.78</v>
      </c>
      <c r="F73" s="851">
        <v>0.37</v>
      </c>
      <c r="G73" s="851">
        <v>0.4</v>
      </c>
      <c r="H73" s="851"/>
      <c r="I73" s="851"/>
      <c r="J73" s="851">
        <v>0.88</v>
      </c>
      <c r="K73" s="851">
        <v>0.88</v>
      </c>
      <c r="L73" s="851">
        <v>0.88</v>
      </c>
      <c r="M73" s="851">
        <v>3.5100000000000001E-3</v>
      </c>
      <c r="N73" s="851">
        <v>3.5100000000000001E-3</v>
      </c>
      <c r="O73" s="851">
        <v>3.5100000000000001E-3</v>
      </c>
      <c r="P73" s="851">
        <v>2.3400000000000001E-2</v>
      </c>
      <c r="Q73" s="851">
        <v>2.3400000000000001E-2</v>
      </c>
      <c r="R73" s="851">
        <v>2.3400000000000001E-2</v>
      </c>
      <c r="S73" s="851">
        <v>50</v>
      </c>
      <c r="T73" s="851">
        <v>50</v>
      </c>
      <c r="U73" s="851">
        <v>50</v>
      </c>
      <c r="V73" s="851"/>
      <c r="W73" s="851"/>
      <c r="X73" s="851">
        <v>40</v>
      </c>
      <c r="Y73" s="851">
        <v>40</v>
      </c>
      <c r="Z73" s="861">
        <v>0.7</v>
      </c>
      <c r="AB73" s="886"/>
      <c r="AC73" s="886"/>
      <c r="AD73" s="965">
        <v>5</v>
      </c>
      <c r="AE73" s="965">
        <v>5</v>
      </c>
      <c r="AF73" s="965">
        <v>50</v>
      </c>
      <c r="AG73" s="880">
        <v>90</v>
      </c>
      <c r="AH73" s="880">
        <v>45</v>
      </c>
      <c r="AI73" s="924" cm="1">
        <f t="array" ref="AI73">INDEX(AN$9:AN$17,$C73)</f>
        <v>0</v>
      </c>
      <c r="AJ73" s="924" cm="1">
        <f t="array" ref="AJ73">INDEX(AO$9:AO$17,$C73)</f>
        <v>0</v>
      </c>
      <c r="AK73" s="924" cm="1">
        <f t="array" ref="AK73">INDEX(AP$9:AP$17,$C73)</f>
        <v>0</v>
      </c>
    </row>
    <row r="74" spans="1:37" s="880" customFormat="1" x14ac:dyDescent="0.25">
      <c r="A74" s="875"/>
      <c r="B74" s="988" t="s">
        <v>67</v>
      </c>
      <c r="C74" s="851">
        <v>3</v>
      </c>
      <c r="D74" s="851">
        <v>4.0000000000000001E-3</v>
      </c>
      <c r="E74" s="851">
        <v>0.28999999999999998</v>
      </c>
      <c r="F74" s="851">
        <v>0.19</v>
      </c>
      <c r="G74" s="851">
        <v>0.17</v>
      </c>
      <c r="H74" s="851"/>
      <c r="I74" s="851"/>
      <c r="J74" s="851">
        <v>0.51</v>
      </c>
      <c r="K74" s="851">
        <v>0.51</v>
      </c>
      <c r="L74" s="851">
        <v>0.51</v>
      </c>
      <c r="M74" s="851">
        <v>2.0200000000000001E-3</v>
      </c>
      <c r="N74" s="851">
        <v>2.0200000000000001E-3</v>
      </c>
      <c r="O74" s="851">
        <v>2.0200000000000001E-3</v>
      </c>
      <c r="P74" s="851">
        <v>7.4000000000000003E-3</v>
      </c>
      <c r="Q74" s="851">
        <v>7.4000000000000003E-3</v>
      </c>
      <c r="R74" s="851">
        <v>7.4000000000000003E-3</v>
      </c>
      <c r="S74" s="851">
        <v>50</v>
      </c>
      <c r="T74" s="851">
        <v>50</v>
      </c>
      <c r="U74" s="851">
        <v>50</v>
      </c>
      <c r="V74" s="851"/>
      <c r="W74" s="851"/>
      <c r="X74" s="851">
        <v>40</v>
      </c>
      <c r="Y74" s="851">
        <v>40</v>
      </c>
      <c r="Z74" s="861">
        <v>0.7</v>
      </c>
      <c r="AB74" s="886"/>
      <c r="AC74" s="886"/>
      <c r="AD74" s="965">
        <v>5</v>
      </c>
      <c r="AE74" s="965">
        <v>5</v>
      </c>
      <c r="AF74" s="965">
        <v>50</v>
      </c>
      <c r="AG74" s="880">
        <v>90</v>
      </c>
      <c r="AH74" s="880">
        <v>45</v>
      </c>
      <c r="AI74" s="924" cm="1">
        <f t="array" ref="AI74">INDEX(AN$9:AN$17,$C74)</f>
        <v>0</v>
      </c>
      <c r="AJ74" s="924" cm="1">
        <f t="array" ref="AJ74">INDEX(AO$9:AO$17,$C74)</f>
        <v>0</v>
      </c>
      <c r="AK74" s="924" cm="1">
        <f t="array" ref="AK74">INDEX(AP$9:AP$17,$C74)</f>
        <v>0</v>
      </c>
    </row>
    <row r="75" spans="1:37" s="880" customFormat="1" x14ac:dyDescent="0.25">
      <c r="A75" s="875"/>
      <c r="B75" s="988" t="s">
        <v>68</v>
      </c>
      <c r="C75" s="851">
        <v>3</v>
      </c>
      <c r="D75" s="851">
        <v>4.0000000000000001E-3</v>
      </c>
      <c r="E75" s="851">
        <v>0.27</v>
      </c>
      <c r="F75" s="851">
        <v>0.16</v>
      </c>
      <c r="G75" s="851">
        <v>0.16</v>
      </c>
      <c r="H75" s="851"/>
      <c r="I75" s="851"/>
      <c r="J75" s="851">
        <v>0.51</v>
      </c>
      <c r="K75" s="851">
        <v>0.51</v>
      </c>
      <c r="L75" s="851">
        <v>0.51</v>
      </c>
      <c r="M75" s="851">
        <v>2.0200000000000001E-3</v>
      </c>
      <c r="N75" s="851">
        <v>2.0200000000000001E-3</v>
      </c>
      <c r="O75" s="851">
        <v>2.0200000000000001E-3</v>
      </c>
      <c r="P75" s="851">
        <v>7.4000000000000003E-3</v>
      </c>
      <c r="Q75" s="851">
        <v>7.4000000000000003E-3</v>
      </c>
      <c r="R75" s="851">
        <v>7.4000000000000003E-3</v>
      </c>
      <c r="S75" s="851">
        <v>50</v>
      </c>
      <c r="T75" s="851">
        <v>50</v>
      </c>
      <c r="U75" s="851">
        <v>50</v>
      </c>
      <c r="V75" s="851"/>
      <c r="W75" s="851"/>
      <c r="X75" s="851">
        <v>40</v>
      </c>
      <c r="Y75" s="851">
        <v>40</v>
      </c>
      <c r="Z75" s="861">
        <v>0.7</v>
      </c>
      <c r="AB75" s="886"/>
      <c r="AC75" s="886"/>
      <c r="AD75" s="965">
        <v>5</v>
      </c>
      <c r="AE75" s="965">
        <v>5</v>
      </c>
      <c r="AF75" s="965">
        <v>50</v>
      </c>
      <c r="AG75" s="880">
        <v>90</v>
      </c>
      <c r="AH75" s="880">
        <v>45</v>
      </c>
      <c r="AI75" s="924" cm="1">
        <f t="array" ref="AI75">INDEX(AN$9:AN$17,$C75)</f>
        <v>0</v>
      </c>
      <c r="AJ75" s="924" cm="1">
        <f t="array" ref="AJ75">INDEX(AO$9:AO$17,$C75)</f>
        <v>0</v>
      </c>
      <c r="AK75" s="924" cm="1">
        <f t="array" ref="AK75">INDEX(AP$9:AP$17,$C75)</f>
        <v>0</v>
      </c>
    </row>
    <row r="76" spans="1:37" s="880" customFormat="1" x14ac:dyDescent="0.25">
      <c r="A76" s="882"/>
      <c r="B76" s="988" t="s">
        <v>69</v>
      </c>
      <c r="C76" s="851">
        <v>3</v>
      </c>
      <c r="D76" s="851">
        <v>4.0000000000000001E-3</v>
      </c>
      <c r="E76" s="851">
        <v>0.52</v>
      </c>
      <c r="F76" s="851">
        <v>0.25</v>
      </c>
      <c r="G76" s="851">
        <v>0.28000000000000003</v>
      </c>
      <c r="H76" s="851"/>
      <c r="I76" s="851"/>
      <c r="J76" s="851">
        <v>0.47</v>
      </c>
      <c r="K76" s="851">
        <v>0.47</v>
      </c>
      <c r="L76" s="851">
        <v>0.47</v>
      </c>
      <c r="M76" s="851">
        <v>1.8600000000000001E-3</v>
      </c>
      <c r="N76" s="851">
        <v>1.8600000000000001E-3</v>
      </c>
      <c r="O76" s="851">
        <v>1.8600000000000001E-3</v>
      </c>
      <c r="P76" s="851">
        <v>1.4800000000000001E-2</v>
      </c>
      <c r="Q76" s="851">
        <v>1.4800000000000001E-2</v>
      </c>
      <c r="R76" s="851">
        <v>1.4800000000000001E-2</v>
      </c>
      <c r="S76" s="851">
        <v>60</v>
      </c>
      <c r="T76" s="851">
        <v>60</v>
      </c>
      <c r="U76" s="851">
        <v>60</v>
      </c>
      <c r="V76" s="851"/>
      <c r="W76" s="851"/>
      <c r="X76" s="851">
        <v>40</v>
      </c>
      <c r="Y76" s="851">
        <v>40</v>
      </c>
      <c r="Z76" s="861">
        <v>0.7</v>
      </c>
      <c r="AB76" s="886"/>
      <c r="AC76" s="886"/>
      <c r="AD76" s="965">
        <v>5</v>
      </c>
      <c r="AE76" s="965">
        <v>5</v>
      </c>
      <c r="AF76" s="965">
        <v>50</v>
      </c>
      <c r="AG76" s="880">
        <v>90</v>
      </c>
      <c r="AH76" s="880">
        <v>45</v>
      </c>
      <c r="AI76" s="924" cm="1">
        <f t="array" ref="AI76">INDEX(AN$9:AN$17,$C76)</f>
        <v>0</v>
      </c>
      <c r="AJ76" s="924" cm="1">
        <f t="array" ref="AJ76">INDEX(AO$9:AO$17,$C76)</f>
        <v>0</v>
      </c>
      <c r="AK76" s="924" cm="1">
        <f t="array" ref="AK76">INDEX(AP$9:AP$17,$C76)</f>
        <v>0</v>
      </c>
    </row>
    <row r="77" spans="1:37" s="880" customFormat="1" x14ac:dyDescent="0.25">
      <c r="A77" s="882"/>
      <c r="B77" s="988" t="s">
        <v>70</v>
      </c>
      <c r="C77" s="851">
        <v>3</v>
      </c>
      <c r="D77" s="851">
        <v>4.0000000000000001E-3</v>
      </c>
      <c r="E77" s="851">
        <v>0.48</v>
      </c>
      <c r="F77" s="851">
        <v>0.23</v>
      </c>
      <c r="G77" s="851">
        <v>0.28000000000000003</v>
      </c>
      <c r="H77" s="851"/>
      <c r="I77" s="851"/>
      <c r="J77" s="851">
        <v>0.47</v>
      </c>
      <c r="K77" s="851">
        <v>0.47</v>
      </c>
      <c r="L77" s="851">
        <v>0.47</v>
      </c>
      <c r="M77" s="851">
        <v>1.8600000000000001E-3</v>
      </c>
      <c r="N77" s="851">
        <v>1.8600000000000001E-3</v>
      </c>
      <c r="O77" s="851">
        <v>1.8600000000000001E-3</v>
      </c>
      <c r="P77" s="851">
        <v>1.4800000000000001E-2</v>
      </c>
      <c r="Q77" s="851">
        <v>1.4800000000000001E-2</v>
      </c>
      <c r="R77" s="851">
        <v>1.4800000000000001E-2</v>
      </c>
      <c r="S77" s="851">
        <v>60</v>
      </c>
      <c r="T77" s="851">
        <v>60</v>
      </c>
      <c r="U77" s="851">
        <v>60</v>
      </c>
      <c r="V77" s="851"/>
      <c r="W77" s="851"/>
      <c r="X77" s="851">
        <v>40</v>
      </c>
      <c r="Y77" s="851">
        <v>40</v>
      </c>
      <c r="Z77" s="861">
        <v>0.7</v>
      </c>
      <c r="AB77" s="886"/>
      <c r="AC77" s="886"/>
      <c r="AD77" s="965">
        <v>5</v>
      </c>
      <c r="AE77" s="965">
        <v>5</v>
      </c>
      <c r="AF77" s="965">
        <v>50</v>
      </c>
      <c r="AG77" s="880">
        <v>90</v>
      </c>
      <c r="AH77" s="880">
        <v>45</v>
      </c>
      <c r="AI77" s="924" cm="1">
        <f t="array" ref="AI77">INDEX(AN$9:AN$17,$C77)</f>
        <v>0</v>
      </c>
      <c r="AJ77" s="924" cm="1">
        <f t="array" ref="AJ77">INDEX(AO$9:AO$17,$C77)</f>
        <v>0</v>
      </c>
      <c r="AK77" s="924" cm="1">
        <f t="array" ref="AK77">INDEX(AP$9:AP$17,$C77)</f>
        <v>0</v>
      </c>
    </row>
    <row r="78" spans="1:37" s="880" customFormat="1" x14ac:dyDescent="0.25">
      <c r="A78" s="882"/>
      <c r="B78" s="988" t="s">
        <v>71</v>
      </c>
      <c r="C78" s="851">
        <v>3</v>
      </c>
      <c r="D78" s="851">
        <v>4.0000000000000001E-3</v>
      </c>
      <c r="E78" s="851">
        <v>2.42</v>
      </c>
      <c r="F78" s="851">
        <v>1.37</v>
      </c>
      <c r="G78" s="851">
        <v>1.17</v>
      </c>
      <c r="H78" s="851"/>
      <c r="I78" s="851"/>
      <c r="J78" s="851">
        <v>5.43</v>
      </c>
      <c r="K78" s="851">
        <v>5.43</v>
      </c>
      <c r="L78" s="851">
        <v>5.43</v>
      </c>
      <c r="M78" s="851">
        <v>2.1700000000000001E-2</v>
      </c>
      <c r="N78" s="851">
        <v>2.1700000000000001E-2</v>
      </c>
      <c r="O78" s="851">
        <v>2.1700000000000001E-2</v>
      </c>
      <c r="P78" s="851">
        <v>5.4699999999999999E-2</v>
      </c>
      <c r="Q78" s="851">
        <v>5.4699999999999999E-2</v>
      </c>
      <c r="R78" s="851">
        <v>5.4699999999999999E-2</v>
      </c>
      <c r="S78" s="851">
        <v>50</v>
      </c>
      <c r="T78" s="851">
        <v>50</v>
      </c>
      <c r="U78" s="851">
        <v>50</v>
      </c>
      <c r="V78" s="851"/>
      <c r="W78" s="851"/>
      <c r="X78" s="851">
        <v>40</v>
      </c>
      <c r="Y78" s="851">
        <v>40</v>
      </c>
      <c r="Z78" s="861">
        <v>0.7</v>
      </c>
      <c r="AB78" s="886"/>
      <c r="AC78" s="886"/>
      <c r="AD78" s="965">
        <v>5</v>
      </c>
      <c r="AE78" s="965">
        <v>5</v>
      </c>
      <c r="AF78" s="965">
        <v>50</v>
      </c>
      <c r="AG78" s="880">
        <v>90</v>
      </c>
      <c r="AH78" s="880">
        <v>45</v>
      </c>
      <c r="AI78" s="924" cm="1">
        <f t="array" ref="AI78">INDEX(AN$9:AN$17,$C78)</f>
        <v>0</v>
      </c>
      <c r="AJ78" s="924" cm="1">
        <f t="array" ref="AJ78">INDEX(AO$9:AO$17,$C78)</f>
        <v>0</v>
      </c>
      <c r="AK78" s="924" cm="1">
        <f t="array" ref="AK78">INDEX(AP$9:AP$17,$C78)</f>
        <v>0</v>
      </c>
    </row>
    <row r="79" spans="1:37" s="880" customFormat="1" x14ac:dyDescent="0.25">
      <c r="A79" s="882"/>
      <c r="B79" s="988" t="s">
        <v>72</v>
      </c>
      <c r="C79" s="851">
        <v>3</v>
      </c>
      <c r="D79" s="851">
        <v>4.0000000000000001E-3</v>
      </c>
      <c r="E79" s="851">
        <v>2.25</v>
      </c>
      <c r="F79" s="851">
        <v>1.06</v>
      </c>
      <c r="G79" s="851">
        <v>1.1100000000000001</v>
      </c>
      <c r="H79" s="851"/>
      <c r="I79" s="851"/>
      <c r="J79" s="851">
        <v>5.43</v>
      </c>
      <c r="K79" s="851">
        <v>5.43</v>
      </c>
      <c r="L79" s="851">
        <v>5.43</v>
      </c>
      <c r="M79" s="851">
        <v>2.1700000000000001E-2</v>
      </c>
      <c r="N79" s="851">
        <v>2.1700000000000001E-2</v>
      </c>
      <c r="O79" s="851">
        <v>2.1700000000000001E-2</v>
      </c>
      <c r="P79" s="851">
        <v>5.4699999999999999E-2</v>
      </c>
      <c r="Q79" s="851">
        <v>5.4699999999999999E-2</v>
      </c>
      <c r="R79" s="851">
        <v>5.4699999999999999E-2</v>
      </c>
      <c r="S79" s="851">
        <v>50</v>
      </c>
      <c r="T79" s="851">
        <v>50</v>
      </c>
      <c r="U79" s="851">
        <v>50</v>
      </c>
      <c r="V79" s="851"/>
      <c r="W79" s="851"/>
      <c r="X79" s="851">
        <v>40</v>
      </c>
      <c r="Y79" s="851">
        <v>40</v>
      </c>
      <c r="Z79" s="861">
        <v>0.7</v>
      </c>
      <c r="AB79" s="886"/>
      <c r="AC79" s="886"/>
      <c r="AD79" s="965">
        <v>5</v>
      </c>
      <c r="AE79" s="965">
        <v>5</v>
      </c>
      <c r="AF79" s="965">
        <v>50</v>
      </c>
      <c r="AG79" s="880">
        <v>90</v>
      </c>
      <c r="AH79" s="880">
        <v>45</v>
      </c>
      <c r="AI79" s="924" cm="1">
        <f t="array" ref="AI79">INDEX(AN$9:AN$17,$C79)</f>
        <v>0</v>
      </c>
      <c r="AJ79" s="924" cm="1">
        <f t="array" ref="AJ79">INDEX(AO$9:AO$17,$C79)</f>
        <v>0</v>
      </c>
      <c r="AK79" s="924" cm="1">
        <f t="array" ref="AK79">INDEX(AP$9:AP$17,$C79)</f>
        <v>0</v>
      </c>
    </row>
    <row r="80" spans="1:37" s="880" customFormat="1" x14ac:dyDescent="0.25">
      <c r="A80" s="882"/>
      <c r="B80" s="988" t="s">
        <v>73</v>
      </c>
      <c r="C80" s="851">
        <v>3</v>
      </c>
      <c r="D80" s="851">
        <v>4.0000000000000001E-3</v>
      </c>
      <c r="E80" s="851">
        <v>1.72</v>
      </c>
      <c r="F80" s="851">
        <v>0.94</v>
      </c>
      <c r="G80" s="851">
        <v>0.96</v>
      </c>
      <c r="H80" s="851"/>
      <c r="I80" s="851"/>
      <c r="J80" s="851">
        <v>4.3499999999999996</v>
      </c>
      <c r="K80" s="851">
        <v>4.3499999999999996</v>
      </c>
      <c r="L80" s="851">
        <v>4.3499999999999996</v>
      </c>
      <c r="M80" s="851">
        <v>1.7399999999999999E-2</v>
      </c>
      <c r="N80" s="851">
        <v>1.7399999999999999E-2</v>
      </c>
      <c r="O80" s="851">
        <v>1.7399999999999999E-2</v>
      </c>
      <c r="P80" s="851">
        <v>6.0900000000000003E-2</v>
      </c>
      <c r="Q80" s="851">
        <v>6.0900000000000003E-2</v>
      </c>
      <c r="R80" s="851">
        <v>6.0900000000000003E-2</v>
      </c>
      <c r="S80" s="851">
        <v>50</v>
      </c>
      <c r="T80" s="851">
        <v>50</v>
      </c>
      <c r="U80" s="851">
        <v>50</v>
      </c>
      <c r="V80" s="851"/>
      <c r="W80" s="851"/>
      <c r="X80" s="851">
        <v>40</v>
      </c>
      <c r="Y80" s="851">
        <v>40</v>
      </c>
      <c r="Z80" s="861">
        <v>0.7</v>
      </c>
      <c r="AB80" s="886"/>
      <c r="AC80" s="886"/>
      <c r="AD80" s="965">
        <v>5</v>
      </c>
      <c r="AE80" s="965">
        <v>5</v>
      </c>
      <c r="AF80" s="965">
        <v>50</v>
      </c>
      <c r="AG80" s="880">
        <v>90</v>
      </c>
      <c r="AH80" s="880">
        <v>45</v>
      </c>
      <c r="AI80" s="924" cm="1">
        <f t="array" ref="AI80">INDEX(AN$9:AN$17,$C80)</f>
        <v>0</v>
      </c>
      <c r="AJ80" s="924" cm="1">
        <f t="array" ref="AJ80">INDEX(AO$9:AO$17,$C80)</f>
        <v>0</v>
      </c>
      <c r="AK80" s="924" cm="1">
        <f t="array" ref="AK80">INDEX(AP$9:AP$17,$C80)</f>
        <v>0</v>
      </c>
    </row>
    <row r="81" spans="1:37" s="880" customFormat="1" x14ac:dyDescent="0.25">
      <c r="A81" s="882"/>
      <c r="B81" s="988" t="s">
        <v>74</v>
      </c>
      <c r="C81" s="851">
        <v>3</v>
      </c>
      <c r="D81" s="851">
        <v>4.0000000000000001E-3</v>
      </c>
      <c r="E81" s="851">
        <v>1.62</v>
      </c>
      <c r="F81" s="851">
        <v>0.66</v>
      </c>
      <c r="G81" s="851">
        <v>0.92</v>
      </c>
      <c r="H81" s="851"/>
      <c r="I81" s="851"/>
      <c r="J81" s="851">
        <v>4.3499999999999996</v>
      </c>
      <c r="K81" s="851">
        <v>4.3499999999999996</v>
      </c>
      <c r="L81" s="851">
        <v>4.3499999999999996</v>
      </c>
      <c r="M81" s="851">
        <v>1.7399999999999999E-2</v>
      </c>
      <c r="N81" s="851">
        <v>1.7399999999999999E-2</v>
      </c>
      <c r="O81" s="851">
        <v>1.7399999999999999E-2</v>
      </c>
      <c r="P81" s="851">
        <v>6.0900000000000003E-2</v>
      </c>
      <c r="Q81" s="851">
        <v>6.0900000000000003E-2</v>
      </c>
      <c r="R81" s="851">
        <v>6.0900000000000003E-2</v>
      </c>
      <c r="S81" s="851">
        <v>50</v>
      </c>
      <c r="T81" s="851">
        <v>50</v>
      </c>
      <c r="U81" s="851">
        <v>50</v>
      </c>
      <c r="V81" s="851"/>
      <c r="W81" s="851"/>
      <c r="X81" s="851">
        <v>40</v>
      </c>
      <c r="Y81" s="851">
        <v>40</v>
      </c>
      <c r="Z81" s="861">
        <v>0.7</v>
      </c>
      <c r="AB81" s="886"/>
      <c r="AC81" s="886"/>
      <c r="AD81" s="965">
        <v>5</v>
      </c>
      <c r="AE81" s="965">
        <v>5</v>
      </c>
      <c r="AF81" s="965">
        <v>50</v>
      </c>
      <c r="AG81" s="880">
        <v>90</v>
      </c>
      <c r="AH81" s="880">
        <v>45</v>
      </c>
      <c r="AI81" s="924" cm="1">
        <f t="array" ref="AI81">INDEX(AN$9:AN$17,$C81)</f>
        <v>0</v>
      </c>
      <c r="AJ81" s="924" cm="1">
        <f t="array" ref="AJ81">INDEX(AO$9:AO$17,$C81)</f>
        <v>0</v>
      </c>
      <c r="AK81" s="924" cm="1">
        <f t="array" ref="AK81">INDEX(AP$9:AP$17,$C81)</f>
        <v>0</v>
      </c>
    </row>
    <row r="82" spans="1:37" s="880" customFormat="1" x14ac:dyDescent="0.25">
      <c r="A82" s="875"/>
      <c r="B82" s="988" t="s">
        <v>75</v>
      </c>
      <c r="C82" s="851">
        <v>3</v>
      </c>
      <c r="D82" s="851">
        <v>4.0000000000000001E-3</v>
      </c>
      <c r="E82" s="851">
        <v>1.87</v>
      </c>
      <c r="F82" s="851">
        <v>0.57999999999999996</v>
      </c>
      <c r="G82" s="851">
        <v>1.79</v>
      </c>
      <c r="H82" s="851"/>
      <c r="I82" s="851"/>
      <c r="J82" s="851">
        <v>13.33</v>
      </c>
      <c r="K82" s="851">
        <v>13.33</v>
      </c>
      <c r="L82" s="851">
        <v>13.33</v>
      </c>
      <c r="M82" s="851">
        <v>5.33E-2</v>
      </c>
      <c r="N82" s="851">
        <v>5.33E-2</v>
      </c>
      <c r="O82" s="851">
        <v>5.33E-2</v>
      </c>
      <c r="P82" s="851">
        <v>0.1053</v>
      </c>
      <c r="Q82" s="851">
        <v>0.1053</v>
      </c>
      <c r="R82" s="851">
        <v>0.1053</v>
      </c>
      <c r="S82" s="851">
        <v>30</v>
      </c>
      <c r="T82" s="851">
        <v>30</v>
      </c>
      <c r="U82" s="851">
        <v>30</v>
      </c>
      <c r="V82" s="851"/>
      <c r="W82" s="851"/>
      <c r="X82" s="851">
        <v>40</v>
      </c>
      <c r="Y82" s="851">
        <v>40</v>
      </c>
      <c r="Z82" s="861">
        <v>0.7</v>
      </c>
      <c r="AB82" s="886"/>
      <c r="AC82" s="886"/>
      <c r="AD82" s="965">
        <v>5</v>
      </c>
      <c r="AE82" s="965">
        <v>5</v>
      </c>
      <c r="AF82" s="965">
        <v>50</v>
      </c>
      <c r="AG82" s="880">
        <v>90</v>
      </c>
      <c r="AH82" s="880">
        <v>45</v>
      </c>
      <c r="AI82" s="924" cm="1">
        <f t="array" ref="AI82">INDEX(AN$9:AN$17,$C82)</f>
        <v>0</v>
      </c>
      <c r="AJ82" s="924" cm="1">
        <f t="array" ref="AJ82">INDEX(AO$9:AO$17,$C82)</f>
        <v>0</v>
      </c>
      <c r="AK82" s="924" cm="1">
        <f t="array" ref="AK82">INDEX(AP$9:AP$17,$C82)</f>
        <v>0</v>
      </c>
    </row>
    <row r="83" spans="1:37" s="880" customFormat="1" x14ac:dyDescent="0.25">
      <c r="A83" s="875"/>
      <c r="B83" s="988" t="s">
        <v>76</v>
      </c>
      <c r="C83" s="851">
        <v>3</v>
      </c>
      <c r="D83" s="851">
        <v>4.0000000000000001E-3</v>
      </c>
      <c r="E83" s="851">
        <v>0.71</v>
      </c>
      <c r="F83" s="851">
        <v>0.4</v>
      </c>
      <c r="G83" s="851">
        <v>0.38</v>
      </c>
      <c r="H83" s="851"/>
      <c r="I83" s="851"/>
      <c r="J83" s="851">
        <v>1.6</v>
      </c>
      <c r="K83" s="851">
        <v>1.6</v>
      </c>
      <c r="L83" s="851">
        <v>1.6</v>
      </c>
      <c r="M83" s="851">
        <v>6.4000000000000003E-3</v>
      </c>
      <c r="N83" s="851">
        <v>6.4000000000000003E-3</v>
      </c>
      <c r="O83" s="851">
        <v>6.4000000000000003E-3</v>
      </c>
      <c r="P83" s="851">
        <v>6.7400000000000002E-2</v>
      </c>
      <c r="Q83" s="851">
        <v>6.7400000000000002E-2</v>
      </c>
      <c r="R83" s="851">
        <v>6.7400000000000002E-2</v>
      </c>
      <c r="S83" s="851">
        <v>30</v>
      </c>
      <c r="T83" s="851">
        <v>30</v>
      </c>
      <c r="U83" s="851">
        <v>30</v>
      </c>
      <c r="V83" s="851"/>
      <c r="W83" s="851"/>
      <c r="X83" s="851">
        <v>40</v>
      </c>
      <c r="Y83" s="851">
        <v>40</v>
      </c>
      <c r="Z83" s="861">
        <v>0.7</v>
      </c>
      <c r="AB83" s="886"/>
      <c r="AC83" s="886"/>
      <c r="AD83" s="965">
        <v>5</v>
      </c>
      <c r="AE83" s="965">
        <v>5</v>
      </c>
      <c r="AF83" s="965">
        <v>50</v>
      </c>
      <c r="AG83" s="880">
        <v>90</v>
      </c>
      <c r="AH83" s="880">
        <v>45</v>
      </c>
      <c r="AI83" s="924" cm="1">
        <f t="array" ref="AI83">INDEX(AN$9:AN$17,$C83)</f>
        <v>0</v>
      </c>
      <c r="AJ83" s="924" cm="1">
        <f t="array" ref="AJ83">INDEX(AO$9:AO$17,$C83)</f>
        <v>0</v>
      </c>
      <c r="AK83" s="924" cm="1">
        <f t="array" ref="AK83">INDEX(AP$9:AP$17,$C83)</f>
        <v>0</v>
      </c>
    </row>
    <row r="84" spans="1:37" s="880" customFormat="1" x14ac:dyDescent="0.25">
      <c r="A84" s="875"/>
      <c r="B84" s="988" t="s">
        <v>77</v>
      </c>
      <c r="C84" s="851">
        <v>3</v>
      </c>
      <c r="D84" s="851">
        <v>4.0000000000000001E-3</v>
      </c>
      <c r="E84" s="851">
        <v>0.63</v>
      </c>
      <c r="F84" s="851">
        <v>0.4</v>
      </c>
      <c r="G84" s="851">
        <v>0.31</v>
      </c>
      <c r="H84" s="851"/>
      <c r="I84" s="851"/>
      <c r="J84" s="851">
        <v>1.5</v>
      </c>
      <c r="K84" s="851">
        <v>1.5</v>
      </c>
      <c r="L84" s="851">
        <v>1.5</v>
      </c>
      <c r="M84" s="851">
        <v>6.0000000000000001E-3</v>
      </c>
      <c r="N84" s="851">
        <v>6.0000000000000001E-3</v>
      </c>
      <c r="O84" s="851">
        <v>6.0000000000000001E-3</v>
      </c>
      <c r="P84" s="851">
        <v>0.05</v>
      </c>
      <c r="Q84" s="851">
        <v>0.05</v>
      </c>
      <c r="R84" s="851">
        <v>0.05</v>
      </c>
      <c r="S84" s="851">
        <v>30</v>
      </c>
      <c r="T84" s="851">
        <v>30</v>
      </c>
      <c r="U84" s="851">
        <v>30</v>
      </c>
      <c r="V84" s="851"/>
      <c r="W84" s="851"/>
      <c r="X84" s="851">
        <v>40</v>
      </c>
      <c r="Y84" s="851">
        <v>40</v>
      </c>
      <c r="Z84" s="861">
        <v>0.7</v>
      </c>
      <c r="AB84" s="886"/>
      <c r="AC84" s="886"/>
      <c r="AD84" s="965">
        <v>5</v>
      </c>
      <c r="AE84" s="965">
        <v>5</v>
      </c>
      <c r="AF84" s="965">
        <v>50</v>
      </c>
      <c r="AG84" s="880">
        <v>90</v>
      </c>
      <c r="AH84" s="880">
        <v>45</v>
      </c>
      <c r="AI84" s="924" cm="1">
        <f t="array" ref="AI84">INDEX(AN$9:AN$17,$C84)</f>
        <v>0</v>
      </c>
      <c r="AJ84" s="924" cm="1">
        <f t="array" ref="AJ84">INDEX(AO$9:AO$17,$C84)</f>
        <v>0</v>
      </c>
      <c r="AK84" s="924" cm="1">
        <f t="array" ref="AK84">INDEX(AP$9:AP$17,$C84)</f>
        <v>0</v>
      </c>
    </row>
    <row r="85" spans="1:37" x14ac:dyDescent="0.25">
      <c r="A85" s="875"/>
      <c r="B85" s="988" t="s">
        <v>581</v>
      </c>
      <c r="C85" s="851">
        <v>4</v>
      </c>
      <c r="D85" s="851">
        <v>6.6000000000000003E-2</v>
      </c>
      <c r="E85" s="851">
        <v>6.78</v>
      </c>
      <c r="F85" s="851">
        <v>2.1800000000000002</v>
      </c>
      <c r="G85" s="851">
        <v>7.42</v>
      </c>
      <c r="H85" s="851"/>
      <c r="I85" s="851"/>
      <c r="J85" s="851">
        <v>3.03</v>
      </c>
      <c r="K85" s="851">
        <v>3.03</v>
      </c>
      <c r="L85" s="851">
        <v>3.03</v>
      </c>
      <c r="M85" s="851">
        <v>0.2</v>
      </c>
      <c r="N85" s="851">
        <v>0.2</v>
      </c>
      <c r="O85" s="851">
        <v>0.2</v>
      </c>
      <c r="P85" s="851">
        <v>0.38</v>
      </c>
      <c r="Q85" s="851">
        <v>0.38</v>
      </c>
      <c r="R85" s="851">
        <v>0.38</v>
      </c>
      <c r="S85" s="851">
        <v>50</v>
      </c>
      <c r="T85" s="851">
        <v>50</v>
      </c>
      <c r="U85" s="851">
        <v>50</v>
      </c>
      <c r="V85" s="851"/>
      <c r="W85" s="851"/>
      <c r="X85" s="851">
        <v>45</v>
      </c>
      <c r="Y85" s="851">
        <v>45</v>
      </c>
      <c r="Z85" s="856">
        <v>0.9</v>
      </c>
      <c r="AA85" s="854"/>
      <c r="AD85" s="965">
        <v>1</v>
      </c>
      <c r="AE85" s="965">
        <v>2</v>
      </c>
      <c r="AF85" s="965">
        <v>50</v>
      </c>
      <c r="AG85" s="854">
        <v>90</v>
      </c>
      <c r="AH85" s="854">
        <v>10</v>
      </c>
      <c r="AI85" s="924" cm="1">
        <f t="array" ref="AI85">INDEX(AN$9:AN$17,$C85)</f>
        <v>0</v>
      </c>
      <c r="AJ85" s="924" cm="1">
        <f t="array" ref="AJ85">INDEX(AO$9:AO$17,$C85)</f>
        <v>0</v>
      </c>
      <c r="AK85" s="924" cm="1">
        <f t="array" ref="AK85">INDEX(AP$9:AP$17,$C85)</f>
        <v>0</v>
      </c>
    </row>
    <row r="86" spans="1:37" x14ac:dyDescent="0.25">
      <c r="A86" s="875"/>
      <c r="B86" s="988" t="s">
        <v>78</v>
      </c>
      <c r="C86" s="851">
        <v>4</v>
      </c>
      <c r="D86" s="851">
        <v>0.1</v>
      </c>
      <c r="E86" s="851">
        <v>14.17</v>
      </c>
      <c r="F86" s="851">
        <v>4.29</v>
      </c>
      <c r="G86" s="851">
        <v>15.5</v>
      </c>
      <c r="H86" s="851"/>
      <c r="I86" s="851"/>
      <c r="J86" s="851">
        <v>4</v>
      </c>
      <c r="K86" s="851">
        <v>4</v>
      </c>
      <c r="L86" s="851">
        <v>4</v>
      </c>
      <c r="M86" s="851">
        <v>0.4</v>
      </c>
      <c r="N86" s="851">
        <v>0.4</v>
      </c>
      <c r="O86" s="851">
        <v>0.4</v>
      </c>
      <c r="P86" s="851">
        <v>0.73</v>
      </c>
      <c r="Q86" s="851">
        <v>0.73</v>
      </c>
      <c r="R86" s="851">
        <v>0.73</v>
      </c>
      <c r="S86" s="851">
        <v>50</v>
      </c>
      <c r="T86" s="851">
        <v>50</v>
      </c>
      <c r="U86" s="851">
        <v>50</v>
      </c>
      <c r="V86" s="851"/>
      <c r="W86" s="851"/>
      <c r="X86" s="851">
        <v>45</v>
      </c>
      <c r="Y86" s="851">
        <v>45</v>
      </c>
      <c r="Z86" s="856">
        <v>0.9</v>
      </c>
      <c r="AA86" s="854"/>
      <c r="AD86" s="965">
        <v>1</v>
      </c>
      <c r="AE86" s="965">
        <v>2</v>
      </c>
      <c r="AF86" s="965">
        <v>50</v>
      </c>
      <c r="AG86" s="854">
        <v>90</v>
      </c>
      <c r="AH86" s="854">
        <v>10</v>
      </c>
      <c r="AI86" s="924" cm="1">
        <f t="array" ref="AI86">INDEX(AN$9:AN$17,$C86)</f>
        <v>0</v>
      </c>
      <c r="AJ86" s="924" cm="1">
        <f t="array" ref="AJ86">INDEX(AO$9:AO$17,$C86)</f>
        <v>0</v>
      </c>
      <c r="AK86" s="924" cm="1">
        <f t="array" ref="AK86">INDEX(AP$9:AP$17,$C86)</f>
        <v>0</v>
      </c>
    </row>
    <row r="87" spans="1:37" x14ac:dyDescent="0.25">
      <c r="A87" s="875"/>
      <c r="B87" s="988" t="s">
        <v>79</v>
      </c>
      <c r="C87" s="851">
        <v>5</v>
      </c>
      <c r="D87" s="851">
        <v>0.12</v>
      </c>
      <c r="E87" s="851">
        <v>15.2</v>
      </c>
      <c r="F87" s="851">
        <v>5.73</v>
      </c>
      <c r="G87" s="851">
        <v>18</v>
      </c>
      <c r="H87" s="851"/>
      <c r="I87" s="851"/>
      <c r="J87" s="851">
        <v>5</v>
      </c>
      <c r="K87" s="851">
        <v>5</v>
      </c>
      <c r="L87" s="851">
        <v>5</v>
      </c>
      <c r="M87" s="851">
        <v>0.6</v>
      </c>
      <c r="N87" s="851">
        <v>0.6</v>
      </c>
      <c r="O87" s="851">
        <v>0.6</v>
      </c>
      <c r="P87" s="851">
        <v>1</v>
      </c>
      <c r="Q87" s="851">
        <v>1</v>
      </c>
      <c r="R87" s="851">
        <v>1</v>
      </c>
      <c r="S87" s="851">
        <v>50</v>
      </c>
      <c r="T87" s="851">
        <v>50</v>
      </c>
      <c r="U87" s="851">
        <v>50</v>
      </c>
      <c r="V87" s="851"/>
      <c r="W87" s="851"/>
      <c r="X87" s="851">
        <v>45</v>
      </c>
      <c r="Y87" s="851">
        <v>45</v>
      </c>
      <c r="Z87" s="856">
        <v>0.9</v>
      </c>
      <c r="AA87" s="854"/>
      <c r="AD87" s="965">
        <v>1</v>
      </c>
      <c r="AE87" s="965">
        <v>2</v>
      </c>
      <c r="AF87" s="965">
        <v>50</v>
      </c>
      <c r="AG87" s="854">
        <v>90</v>
      </c>
      <c r="AH87" s="854">
        <v>10</v>
      </c>
      <c r="AI87" s="924" cm="1">
        <f t="array" ref="AI87">INDEX(AN$9:AN$17,$C87)</f>
        <v>0</v>
      </c>
      <c r="AJ87" s="924" cm="1">
        <f t="array" ref="AJ87">INDEX(AO$9:AO$17,$C87)</f>
        <v>0</v>
      </c>
      <c r="AK87" s="924" cm="1">
        <f t="array" ref="AK87">INDEX(AP$9:AP$17,$C87)</f>
        <v>0</v>
      </c>
    </row>
    <row r="88" spans="1:37" x14ac:dyDescent="0.25">
      <c r="A88" s="875"/>
      <c r="B88" s="988" t="s">
        <v>80</v>
      </c>
      <c r="C88" s="851">
        <v>6</v>
      </c>
      <c r="D88" s="851">
        <v>0.7</v>
      </c>
      <c r="E88" s="851">
        <v>33.4</v>
      </c>
      <c r="F88" s="851">
        <v>15.35</v>
      </c>
      <c r="G88" s="851">
        <v>50.97</v>
      </c>
      <c r="H88" s="851"/>
      <c r="I88" s="851"/>
      <c r="J88" s="851">
        <v>5.71</v>
      </c>
      <c r="K88" s="851">
        <v>5.71</v>
      </c>
      <c r="L88" s="851">
        <v>5.71</v>
      </c>
      <c r="M88" s="851">
        <v>4</v>
      </c>
      <c r="N88" s="851">
        <v>4</v>
      </c>
      <c r="O88" s="851">
        <v>4</v>
      </c>
      <c r="P88" s="851">
        <v>6.8</v>
      </c>
      <c r="Q88" s="851">
        <v>6.8</v>
      </c>
      <c r="R88" s="851">
        <v>6.8</v>
      </c>
      <c r="S88" s="851">
        <v>30</v>
      </c>
      <c r="T88" s="851">
        <v>30</v>
      </c>
      <c r="U88" s="851">
        <v>30</v>
      </c>
      <c r="V88" s="851"/>
      <c r="W88" s="851"/>
      <c r="X88" s="851">
        <v>45</v>
      </c>
      <c r="Y88" s="851">
        <v>45</v>
      </c>
      <c r="Z88" s="856">
        <v>0.7</v>
      </c>
      <c r="AA88" s="854"/>
      <c r="AD88" s="965">
        <v>1</v>
      </c>
      <c r="AE88" s="965">
        <v>2</v>
      </c>
      <c r="AF88" s="965">
        <v>50</v>
      </c>
      <c r="AG88" s="854">
        <v>90</v>
      </c>
      <c r="AH88" s="854">
        <v>10</v>
      </c>
      <c r="AI88" s="924" cm="1">
        <f t="array" ref="AI88">INDEX(AN$9:AN$17,$C88)</f>
        <v>0</v>
      </c>
      <c r="AJ88" s="924" cm="1">
        <f t="array" ref="AJ88">INDEX(AO$9:AO$17,$C88)</f>
        <v>0</v>
      </c>
      <c r="AK88" s="924" cm="1">
        <f t="array" ref="AK88">INDEX(AP$9:AP$17,$C88)</f>
        <v>0</v>
      </c>
    </row>
    <row r="89" spans="1:37" x14ac:dyDescent="0.25">
      <c r="A89" s="875"/>
      <c r="B89" s="988" t="s">
        <v>81</v>
      </c>
      <c r="C89" s="851">
        <v>6</v>
      </c>
      <c r="D89" s="851">
        <v>1.1000000000000001</v>
      </c>
      <c r="E89" s="851">
        <v>53.6</v>
      </c>
      <c r="F89" s="851">
        <v>23.37</v>
      </c>
      <c r="G89" s="851">
        <v>67</v>
      </c>
      <c r="H89" s="851"/>
      <c r="I89" s="851"/>
      <c r="J89" s="851">
        <v>5.45</v>
      </c>
      <c r="K89" s="851">
        <v>5.45</v>
      </c>
      <c r="L89" s="851">
        <v>5.45</v>
      </c>
      <c r="M89" s="851">
        <v>6</v>
      </c>
      <c r="N89" s="851">
        <v>6</v>
      </c>
      <c r="O89" s="851">
        <v>6</v>
      </c>
      <c r="P89" s="851">
        <v>11.2</v>
      </c>
      <c r="Q89" s="851">
        <v>11.2</v>
      </c>
      <c r="R89" s="851">
        <v>11.2</v>
      </c>
      <c r="S89" s="851">
        <v>30</v>
      </c>
      <c r="T89" s="851">
        <v>30</v>
      </c>
      <c r="U89" s="851">
        <v>30</v>
      </c>
      <c r="V89" s="851"/>
      <c r="W89" s="851"/>
      <c r="X89" s="851">
        <v>45</v>
      </c>
      <c r="Y89" s="851">
        <v>45</v>
      </c>
      <c r="Z89" s="856">
        <v>0.7</v>
      </c>
      <c r="AA89" s="854"/>
      <c r="AD89" s="965">
        <v>1</v>
      </c>
      <c r="AE89" s="965">
        <v>2</v>
      </c>
      <c r="AF89" s="965">
        <v>50</v>
      </c>
      <c r="AG89" s="854">
        <v>90</v>
      </c>
      <c r="AH89" s="854">
        <v>10</v>
      </c>
      <c r="AI89" s="924" cm="1">
        <f t="array" ref="AI89">INDEX(AN$9:AN$17,$C89)</f>
        <v>0</v>
      </c>
      <c r="AJ89" s="924" cm="1">
        <f t="array" ref="AJ89">INDEX(AO$9:AO$17,$C89)</f>
        <v>0</v>
      </c>
      <c r="AK89" s="924" cm="1">
        <f t="array" ref="AK89">INDEX(AP$9:AP$17,$C89)</f>
        <v>0</v>
      </c>
    </row>
    <row r="90" spans="1:37" x14ac:dyDescent="0.25">
      <c r="A90" s="875"/>
      <c r="B90" s="988" t="s">
        <v>82</v>
      </c>
      <c r="C90" s="851">
        <v>7</v>
      </c>
      <c r="D90" s="851">
        <v>3.2000000000000001E-2</v>
      </c>
      <c r="E90" s="851">
        <v>9.6999999999999993</v>
      </c>
      <c r="F90" s="851">
        <v>5.4</v>
      </c>
      <c r="G90" s="851">
        <v>8.3000000000000007</v>
      </c>
      <c r="H90" s="851"/>
      <c r="I90" s="851"/>
      <c r="J90" s="851">
        <v>10</v>
      </c>
      <c r="K90" s="851">
        <v>10</v>
      </c>
      <c r="L90" s="851">
        <v>10</v>
      </c>
      <c r="M90" s="851">
        <v>0.32</v>
      </c>
      <c r="N90" s="851">
        <v>0.32</v>
      </c>
      <c r="O90" s="851">
        <v>0.32</v>
      </c>
      <c r="P90" s="851">
        <v>1.22</v>
      </c>
      <c r="Q90" s="851">
        <v>1.22</v>
      </c>
      <c r="R90" s="851">
        <v>1.22</v>
      </c>
      <c r="S90" s="851">
        <v>30</v>
      </c>
      <c r="T90" s="851">
        <v>30</v>
      </c>
      <c r="U90" s="851">
        <v>30</v>
      </c>
      <c r="V90" s="851"/>
      <c r="W90" s="851"/>
      <c r="X90" s="851">
        <v>45</v>
      </c>
      <c r="Y90" s="851">
        <v>45</v>
      </c>
      <c r="Z90" s="856">
        <v>0.9</v>
      </c>
      <c r="AA90" s="854"/>
      <c r="AD90" s="965">
        <v>5</v>
      </c>
      <c r="AE90" s="965">
        <v>5</v>
      </c>
      <c r="AF90" s="965">
        <v>50</v>
      </c>
      <c r="AG90" s="854">
        <v>90</v>
      </c>
      <c r="AH90" s="854">
        <v>10</v>
      </c>
      <c r="AI90" s="924" cm="1">
        <f t="array" ref="AI90">INDEX(AN$9:AN$17,$C90)</f>
        <v>0</v>
      </c>
      <c r="AJ90" s="924" cm="1">
        <f t="array" ref="AJ90">INDEX(AO$9:AO$17,$C90)</f>
        <v>0</v>
      </c>
      <c r="AK90" s="924" cm="1">
        <f t="array" ref="AK90">INDEX(AP$9:AP$17,$C90)</f>
        <v>0</v>
      </c>
    </row>
    <row r="91" spans="1:37" x14ac:dyDescent="0.25">
      <c r="A91" s="976"/>
      <c r="B91" s="988" t="s">
        <v>582</v>
      </c>
      <c r="C91" s="851">
        <v>8</v>
      </c>
      <c r="D91" s="851">
        <v>0.23</v>
      </c>
      <c r="E91" s="851">
        <v>21.6</v>
      </c>
      <c r="F91" s="851">
        <v>6.19</v>
      </c>
      <c r="G91" s="851">
        <v>24</v>
      </c>
      <c r="H91" s="851"/>
      <c r="I91" s="851"/>
      <c r="J91" s="851"/>
      <c r="K91" s="851"/>
      <c r="L91" s="851"/>
      <c r="M91" s="851"/>
      <c r="N91" s="851"/>
      <c r="O91" s="851"/>
      <c r="P91" s="851"/>
      <c r="Q91" s="851"/>
      <c r="R91" s="851"/>
      <c r="S91" s="851"/>
      <c r="T91" s="851"/>
      <c r="U91" s="851"/>
      <c r="V91" s="851"/>
      <c r="W91" s="851"/>
      <c r="X91" s="851">
        <v>45</v>
      </c>
      <c r="Y91" s="851">
        <v>45</v>
      </c>
      <c r="Z91" s="856">
        <v>0.9</v>
      </c>
      <c r="AA91" s="854"/>
      <c r="AD91" s="965">
        <v>1</v>
      </c>
      <c r="AE91" s="965">
        <v>2</v>
      </c>
      <c r="AF91" s="965">
        <v>50</v>
      </c>
      <c r="AG91" s="854">
        <v>90</v>
      </c>
      <c r="AH91" s="854">
        <v>10</v>
      </c>
      <c r="AI91" s="924" cm="1">
        <f t="array" ref="AI91">INDEX(AN$9:AN$17,$C91)</f>
        <v>0</v>
      </c>
      <c r="AJ91" s="924" cm="1">
        <f t="array" ref="AJ91">INDEX(AO$9:AO$17,$C91)</f>
        <v>0</v>
      </c>
      <c r="AK91" s="924" cm="1">
        <f t="array" ref="AK91">INDEX(AP$9:AP$17,$C91)</f>
        <v>0</v>
      </c>
    </row>
    <row r="92" spans="1:37" x14ac:dyDescent="0.25">
      <c r="A92" s="976"/>
      <c r="B92" s="988" t="s">
        <v>83</v>
      </c>
      <c r="C92" s="851">
        <v>8</v>
      </c>
      <c r="D92" s="851">
        <v>0.15</v>
      </c>
      <c r="E92" s="851">
        <v>15.83</v>
      </c>
      <c r="F92" s="851">
        <v>4.5</v>
      </c>
      <c r="G92" s="851">
        <v>17.600000000000001</v>
      </c>
      <c r="H92" s="851"/>
      <c r="I92" s="851"/>
      <c r="J92" s="851"/>
      <c r="K92" s="851"/>
      <c r="L92" s="851"/>
      <c r="M92" s="851"/>
      <c r="N92" s="851"/>
      <c r="O92" s="851"/>
      <c r="P92" s="851"/>
      <c r="Q92" s="851"/>
      <c r="R92" s="851"/>
      <c r="S92" s="851"/>
      <c r="T92" s="851"/>
      <c r="U92" s="851"/>
      <c r="V92" s="851"/>
      <c r="W92" s="851"/>
      <c r="X92" s="851">
        <v>45</v>
      </c>
      <c r="Y92" s="851">
        <v>45</v>
      </c>
      <c r="Z92" s="856">
        <v>0.9</v>
      </c>
      <c r="AA92" s="854"/>
      <c r="AD92" s="965">
        <v>1</v>
      </c>
      <c r="AE92" s="965">
        <v>2</v>
      </c>
      <c r="AF92" s="965">
        <v>50</v>
      </c>
      <c r="AG92" s="854">
        <v>90</v>
      </c>
      <c r="AH92" s="854">
        <v>10</v>
      </c>
      <c r="AI92" s="924" cm="1">
        <f t="array" ref="AI92">INDEX(AN$9:AN$17,$C92)</f>
        <v>0</v>
      </c>
      <c r="AJ92" s="924" cm="1">
        <f t="array" ref="AJ92">INDEX(AO$9:AO$17,$C92)</f>
        <v>0</v>
      </c>
      <c r="AK92" s="924" cm="1">
        <f t="array" ref="AK92">INDEX(AP$9:AP$17,$C92)</f>
        <v>0</v>
      </c>
    </row>
    <row r="93" spans="1:37" x14ac:dyDescent="0.25">
      <c r="A93" s="976"/>
      <c r="B93" s="988" t="s">
        <v>583</v>
      </c>
      <c r="C93" s="851">
        <v>8</v>
      </c>
      <c r="D93" s="851">
        <v>0.45</v>
      </c>
      <c r="E93" s="851">
        <v>31</v>
      </c>
      <c r="F93" s="851">
        <v>9.9</v>
      </c>
      <c r="G93" s="851">
        <v>36.9</v>
      </c>
      <c r="H93" s="851"/>
      <c r="I93" s="851"/>
      <c r="J93" s="851"/>
      <c r="K93" s="851"/>
      <c r="L93" s="851"/>
      <c r="M93" s="851"/>
      <c r="N93" s="851"/>
      <c r="O93" s="851"/>
      <c r="P93" s="851"/>
      <c r="Q93" s="851"/>
      <c r="R93" s="851"/>
      <c r="S93" s="851"/>
      <c r="T93" s="851"/>
      <c r="U93" s="851"/>
      <c r="V93" s="851"/>
      <c r="W93" s="851"/>
      <c r="X93" s="851">
        <v>45</v>
      </c>
      <c r="Y93" s="851">
        <v>45</v>
      </c>
      <c r="Z93" s="856">
        <v>0.9</v>
      </c>
      <c r="AA93" s="854"/>
      <c r="AD93" s="965">
        <v>1</v>
      </c>
      <c r="AE93" s="965">
        <v>2</v>
      </c>
      <c r="AF93" s="965">
        <v>50</v>
      </c>
      <c r="AG93" s="907">
        <v>90</v>
      </c>
      <c r="AH93" s="907">
        <v>10</v>
      </c>
      <c r="AI93" s="924" cm="1">
        <f t="array" ref="AI93">INDEX(AN$9:AN$17,$C93)</f>
        <v>0</v>
      </c>
      <c r="AJ93" s="924" cm="1">
        <f t="array" ref="AJ93">INDEX(AO$9:AO$17,$C93)</f>
        <v>0</v>
      </c>
      <c r="AK93" s="924" cm="1">
        <f t="array" ref="AK93">INDEX(AP$9:AP$17,$C93)</f>
        <v>0</v>
      </c>
    </row>
    <row r="94" spans="1:37" x14ac:dyDescent="0.25">
      <c r="A94" s="977"/>
      <c r="B94" s="988" t="s">
        <v>84</v>
      </c>
      <c r="C94" s="851">
        <v>8</v>
      </c>
      <c r="D94" s="851">
        <v>0.3</v>
      </c>
      <c r="E94" s="851">
        <v>22.7</v>
      </c>
      <c r="F94" s="851">
        <v>7.2</v>
      </c>
      <c r="G94" s="851">
        <v>27</v>
      </c>
      <c r="H94" s="851"/>
      <c r="I94" s="851"/>
      <c r="J94" s="851"/>
      <c r="K94" s="851"/>
      <c r="L94" s="851"/>
      <c r="M94" s="851"/>
      <c r="N94" s="851"/>
      <c r="O94" s="851"/>
      <c r="P94" s="851"/>
      <c r="Q94" s="851"/>
      <c r="R94" s="851"/>
      <c r="S94" s="851"/>
      <c r="T94" s="851"/>
      <c r="U94" s="851"/>
      <c r="V94" s="851"/>
      <c r="W94" s="851"/>
      <c r="X94" s="851">
        <v>45</v>
      </c>
      <c r="Y94" s="851">
        <v>45</v>
      </c>
      <c r="Z94" s="856">
        <v>0.9</v>
      </c>
      <c r="AA94" s="854"/>
      <c r="AD94" s="965">
        <v>1</v>
      </c>
      <c r="AE94" s="965">
        <v>2</v>
      </c>
      <c r="AF94" s="965">
        <v>50</v>
      </c>
      <c r="AG94" s="854">
        <v>90</v>
      </c>
      <c r="AH94" s="854">
        <v>10</v>
      </c>
      <c r="AI94" s="924" cm="1">
        <f t="array" ref="AI94">INDEX(AN$9:AN$17,$C94)</f>
        <v>0</v>
      </c>
      <c r="AJ94" s="924" cm="1">
        <f t="array" ref="AJ94">INDEX(AO$9:AO$17,$C94)</f>
        <v>0</v>
      </c>
      <c r="AK94" s="924" cm="1">
        <f t="array" ref="AK94">INDEX(AP$9:AP$17,$C94)</f>
        <v>0</v>
      </c>
    </row>
    <row r="95" spans="1:37" x14ac:dyDescent="0.25">
      <c r="A95" s="977"/>
      <c r="B95" s="988" t="s">
        <v>7847</v>
      </c>
      <c r="C95" s="851">
        <v>9</v>
      </c>
      <c r="D95" s="851">
        <v>0.28000000000000003</v>
      </c>
      <c r="E95" s="851">
        <v>22.7</v>
      </c>
      <c r="F95" s="851">
        <v>7.2</v>
      </c>
      <c r="G95" s="851">
        <v>27</v>
      </c>
      <c r="H95" s="851"/>
      <c r="I95" s="851"/>
      <c r="J95" s="851">
        <v>7.14</v>
      </c>
      <c r="K95" s="851">
        <v>7.14</v>
      </c>
      <c r="L95" s="851">
        <v>7.14</v>
      </c>
      <c r="M95" s="851">
        <v>2</v>
      </c>
      <c r="N95" s="851">
        <v>2</v>
      </c>
      <c r="O95" s="851">
        <v>2</v>
      </c>
      <c r="P95" s="851">
        <v>3.4</v>
      </c>
      <c r="Q95" s="851">
        <v>3.4</v>
      </c>
      <c r="R95" s="851">
        <v>3.4</v>
      </c>
      <c r="S95" s="851">
        <v>40</v>
      </c>
      <c r="T95" s="851">
        <v>40</v>
      </c>
      <c r="U95" s="851">
        <v>40</v>
      </c>
      <c r="V95" s="851"/>
      <c r="W95" s="851"/>
      <c r="X95" s="851">
        <v>45</v>
      </c>
      <c r="Y95" s="851">
        <v>45</v>
      </c>
      <c r="Z95" s="856">
        <v>0.9</v>
      </c>
      <c r="AA95" s="854"/>
      <c r="AD95" s="965">
        <v>1</v>
      </c>
      <c r="AE95" s="965">
        <v>2</v>
      </c>
      <c r="AF95" s="965">
        <v>50</v>
      </c>
      <c r="AG95" s="854">
        <v>90</v>
      </c>
      <c r="AH95" s="854">
        <v>10</v>
      </c>
      <c r="AI95" s="924" cm="1">
        <f t="array" ref="AI95">INDEX(AN$9:AN$17,$C95)</f>
        <v>0</v>
      </c>
      <c r="AJ95" s="924" cm="1">
        <f t="array" ref="AJ95">INDEX(AO$9:AO$17,$C95)</f>
        <v>0</v>
      </c>
      <c r="AK95" s="924" cm="1">
        <f t="array" ref="AK95">INDEX(AP$9:AP$17,$C95)</f>
        <v>0</v>
      </c>
    </row>
    <row r="96" spans="1:37" ht="13.8" thickBot="1" x14ac:dyDescent="0.3">
      <c r="A96" s="978"/>
      <c r="B96" s="988" t="s">
        <v>584</v>
      </c>
      <c r="C96" s="851">
        <v>9</v>
      </c>
      <c r="D96" s="851">
        <v>0.14000000000000001</v>
      </c>
      <c r="E96" s="851">
        <v>11.35</v>
      </c>
      <c r="F96" s="851">
        <v>3.6</v>
      </c>
      <c r="G96" s="851">
        <v>13.5</v>
      </c>
      <c r="H96" s="851"/>
      <c r="I96" s="851"/>
      <c r="J96" s="851">
        <v>7.14</v>
      </c>
      <c r="K96" s="851">
        <v>7.14</v>
      </c>
      <c r="L96" s="851">
        <v>7.14</v>
      </c>
      <c r="M96" s="851">
        <v>1</v>
      </c>
      <c r="N96" s="851">
        <v>1</v>
      </c>
      <c r="O96" s="851">
        <v>1</v>
      </c>
      <c r="P96" s="851">
        <v>1.7</v>
      </c>
      <c r="Q96" s="851">
        <v>1.7</v>
      </c>
      <c r="R96" s="851">
        <v>1.7</v>
      </c>
      <c r="S96" s="851">
        <v>40</v>
      </c>
      <c r="T96" s="851">
        <v>40</v>
      </c>
      <c r="U96" s="851">
        <v>40</v>
      </c>
      <c r="V96" s="851"/>
      <c r="W96" s="851"/>
      <c r="X96" s="851">
        <v>45</v>
      </c>
      <c r="Y96" s="851">
        <v>45</v>
      </c>
      <c r="Z96" s="856">
        <v>0.9</v>
      </c>
      <c r="AA96" s="854"/>
      <c r="AD96" s="965">
        <v>1</v>
      </c>
      <c r="AE96" s="965">
        <v>2</v>
      </c>
      <c r="AF96" s="965">
        <v>50</v>
      </c>
      <c r="AG96" s="854">
        <v>90</v>
      </c>
      <c r="AH96" s="854">
        <v>10</v>
      </c>
      <c r="AI96" s="924" cm="1">
        <f t="array" ref="AI96">INDEX(AN$9:AN$17,$C96)</f>
        <v>0</v>
      </c>
      <c r="AJ96" s="924" cm="1">
        <f t="array" ref="AJ96">INDEX(AO$9:AO$17,$C96)</f>
        <v>0</v>
      </c>
      <c r="AK96" s="924" cm="1">
        <f t="array" ref="AK96">INDEX(AP$9:AP$17,$C96)</f>
        <v>0</v>
      </c>
    </row>
    <row r="97" spans="2:37" s="859" customFormat="1" x14ac:dyDescent="0.25">
      <c r="B97" s="535" t="str">
        <f>+'Abweichende Werte'!AB5</f>
        <v>--</v>
      </c>
      <c r="C97" s="907">
        <v>2</v>
      </c>
      <c r="D97" s="979">
        <f>IF('Abweichende Werte'!C20="",0,'Abweichende Werte'!C20)</f>
        <v>0</v>
      </c>
      <c r="E97" s="979">
        <f>IF('Abweichende Werte'!D20="",0,'Abweichende Werte'!D20)</f>
        <v>0</v>
      </c>
      <c r="F97" s="979">
        <f>IF('Abweichende Werte'!E20="",0,'Abweichende Werte'!E20)</f>
        <v>0</v>
      </c>
      <c r="G97" s="979">
        <f>IF('Abweichende Werte'!F20="",0,'Abweichende Werte'!F20)</f>
        <v>0</v>
      </c>
      <c r="H97" s="979">
        <f>IF('Abweichende Werte'!G20="",0,'Abweichende Werte'!G20)</f>
        <v>0</v>
      </c>
      <c r="I97" s="979">
        <f>+IF('Abweichende Werte'!L20="",0,'Abweichende Werte'!L20)</f>
        <v>0</v>
      </c>
      <c r="J97" s="979">
        <f>IFERROR(IF($C97&gt;2,$L97,IF('Abweichende Werte'!Q20="",0,'Abweichende Werte'!Q20/$D97)),0)</f>
        <v>0</v>
      </c>
      <c r="K97" s="979">
        <f>IFERROR(IF($C97&gt;2,$L97,IF('Abweichende Werte'!R20="",0,'Abweichende Werte'!R20/$D97)),0)</f>
        <v>0</v>
      </c>
      <c r="L97" s="979">
        <f>IFERROR(IF('Abweichende Werte'!S20="",0,'Abweichende Werte'!S20/D97),0)</f>
        <v>0</v>
      </c>
      <c r="P97" s="979">
        <f>IF($C97&gt;2,$R97,IF('Abweichende Werte'!I20="",0,'Abweichende Werte'!I20))</f>
        <v>0</v>
      </c>
      <c r="Q97" s="979">
        <f>IF($C97&gt;2,$R97,IF('Abweichende Werte'!J20="",0,'Abweichende Werte'!J20))</f>
        <v>0</v>
      </c>
      <c r="R97" s="979">
        <f>+IF('Abweichende Werte'!K20="",0,'Abweichende Werte'!K20)</f>
        <v>0</v>
      </c>
      <c r="S97" s="979">
        <f>IF($C97&gt;2,$U97,IF('Abweichende Werte'!N20="",0,'Abweichende Werte'!N20))</f>
        <v>0</v>
      </c>
      <c r="T97" s="979">
        <f>IF($C97&gt;2,$U97,IF('Abweichende Werte'!O20="",0,'Abweichende Werte'!O20))</f>
        <v>0</v>
      </c>
      <c r="U97" s="979">
        <f>IF('Abweichende Werte'!P20="",0,'Abweichende Werte'!P20)</f>
        <v>0</v>
      </c>
      <c r="V97" s="979">
        <f>IF('Abweichende Werte'!H20="",0,'Abweichende Werte'!H20)</f>
        <v>0</v>
      </c>
      <c r="W97" s="979">
        <f>IF('Abweichende Werte'!M20="",0,'Abweichende Werte'!M20)</f>
        <v>0</v>
      </c>
      <c r="X97" s="859">
        <f t="shared" ref="X97:Z106" si="16">IF($C97=1,X$31,IF($C97=2,X$43,IF($C97=3,X$73,X$86)))</f>
        <v>20</v>
      </c>
      <c r="Y97" s="859">
        <f t="shared" si="16"/>
        <v>30</v>
      </c>
      <c r="Z97" s="859">
        <f t="shared" si="16"/>
        <v>0.9</v>
      </c>
      <c r="AB97" s="859" t="str">
        <f>IF(OR('Abweichende Werte'!F5='Abweichende Werte'!$Y$10,'Abweichende Werte'!F5='Abweichende Werte'!$Y$11),1,"")</f>
        <v/>
      </c>
      <c r="AD97" s="859">
        <f>IF($C97=1,AD$31,IF($C97=2,AD$43,IF($C97=3,AD$73,AD$86)))</f>
        <v>1</v>
      </c>
      <c r="AE97" s="859">
        <f>IF($C97=1,AE$31,IF($C97=2,AE$43,IF($C97=3,AE$73,AE$86)))</f>
        <v>2</v>
      </c>
      <c r="AF97" s="859">
        <f>IF($C97=1,AF$31,IF($C97=2,AF$43,IF($C97=3,AF$73,AF$86)))</f>
        <v>60</v>
      </c>
      <c r="AG97" s="859">
        <f t="shared" ref="AG97:AH106" si="17">IF($C97=1,AG$31,IF($C97=2,AG$43,IF($C97=3,AG$73,AG$86)))</f>
        <v>90</v>
      </c>
      <c r="AH97" s="859">
        <f t="shared" si="17"/>
        <v>10</v>
      </c>
      <c r="AI97" s="924" cm="1">
        <f t="array" ref="AI97">INDEX(AN$9:AN$17,$C97)</f>
        <v>3.3</v>
      </c>
      <c r="AJ97" s="924" cm="1">
        <f t="array" ref="AJ97">INDEX(AO$9:AO$17,$C97)</f>
        <v>0.2</v>
      </c>
      <c r="AK97" s="924" cm="1">
        <f t="array" ref="AK97">INDEX(AP$9:AP$17,$C97)</f>
        <v>3.1</v>
      </c>
    </row>
    <row r="98" spans="2:37" s="859" customFormat="1" x14ac:dyDescent="0.25">
      <c r="B98" s="535" t="str">
        <f>+'Abweichende Werte'!AB6</f>
        <v>--</v>
      </c>
      <c r="C98" s="907">
        <v>2</v>
      </c>
      <c r="D98" s="979">
        <f>IF('Abweichende Werte'!C21="",0,'Abweichende Werte'!C21)</f>
        <v>0</v>
      </c>
      <c r="E98" s="979">
        <f>IF('Abweichende Werte'!D21="",0,'Abweichende Werte'!D21)</f>
        <v>0</v>
      </c>
      <c r="F98" s="979">
        <f>IF('Abweichende Werte'!E21="",0,'Abweichende Werte'!E21)</f>
        <v>0</v>
      </c>
      <c r="G98" s="979">
        <f>IF('Abweichende Werte'!F21="",0,'Abweichende Werte'!F21)</f>
        <v>0</v>
      </c>
      <c r="H98" s="979">
        <f>IF('Abweichende Werte'!G21="",0,'Abweichende Werte'!G21)</f>
        <v>0</v>
      </c>
      <c r="I98" s="979">
        <f>+IF('Abweichende Werte'!L21="",0,'Abweichende Werte'!L21)</f>
        <v>0</v>
      </c>
      <c r="J98" s="979">
        <f>IFERROR(IF($C98&gt;2,$L98,IF('Abweichende Werte'!Q21="",0,'Abweichende Werte'!Q21/$D98)),0)</f>
        <v>0</v>
      </c>
      <c r="K98" s="979">
        <f>IFERROR(IF($C98&gt;2,$L98,IF('Abweichende Werte'!R21="",0,'Abweichende Werte'!R21/$D98)),0)</f>
        <v>0</v>
      </c>
      <c r="L98" s="979">
        <f>IFERROR(IF('Abweichende Werte'!S21="",0,'Abweichende Werte'!S21/D98),0)</f>
        <v>0</v>
      </c>
      <c r="P98" s="979">
        <f>IF($C98&gt;2,$R98,IF('Abweichende Werte'!I21="",0,'Abweichende Werte'!I21))</f>
        <v>0</v>
      </c>
      <c r="Q98" s="979">
        <f>IF($C98&gt;2,$R98,IF('Abweichende Werte'!J21="",0,'Abweichende Werte'!J21))</f>
        <v>0</v>
      </c>
      <c r="R98" s="979">
        <f>+IF('Abweichende Werte'!K21="",0,'Abweichende Werte'!K21)</f>
        <v>0</v>
      </c>
      <c r="S98" s="979">
        <f>IF($C98&gt;2,$U98,IF('Abweichende Werte'!N21="",0,'Abweichende Werte'!N21))</f>
        <v>0</v>
      </c>
      <c r="T98" s="979">
        <f>IF($C98&gt;2,$U98,IF('Abweichende Werte'!O21="",0,'Abweichende Werte'!O21))</f>
        <v>0</v>
      </c>
      <c r="U98" s="979">
        <f>IF('Abweichende Werte'!P21="",0,'Abweichende Werte'!P21)</f>
        <v>0</v>
      </c>
      <c r="V98" s="979">
        <f>IF('Abweichende Werte'!H21="",0,'Abweichende Werte'!H21)</f>
        <v>0</v>
      </c>
      <c r="W98" s="979">
        <f>IF('Abweichende Werte'!M21="",0,'Abweichende Werte'!M21)</f>
        <v>0</v>
      </c>
      <c r="X98" s="859">
        <f t="shared" si="16"/>
        <v>20</v>
      </c>
      <c r="Y98" s="859">
        <f t="shared" si="16"/>
        <v>30</v>
      </c>
      <c r="Z98" s="859">
        <f t="shared" si="16"/>
        <v>0.9</v>
      </c>
      <c r="AB98" s="859" t="str">
        <f>IF(OR('Abweichende Werte'!F6='Abweichende Werte'!$Y$10,'Abweichende Werte'!F6='Abweichende Werte'!$Y$11),1,"")</f>
        <v/>
      </c>
      <c r="AD98" s="859">
        <f t="shared" ref="AD98:AD106" si="18">IF($C98=1,AD$31,IF($C98=2,AD$43,IF($C98=3,AD$73,AD$86)))</f>
        <v>1</v>
      </c>
      <c r="AE98" s="859">
        <f t="shared" ref="AE98:AF106" si="19">IF($C98=1,AE$31,IF($C98=2,AE$43,IF($C98=3,AE$73,AE$86)))</f>
        <v>2</v>
      </c>
      <c r="AF98" s="859">
        <f t="shared" si="19"/>
        <v>60</v>
      </c>
      <c r="AG98" s="859">
        <f t="shared" si="17"/>
        <v>90</v>
      </c>
      <c r="AH98" s="859">
        <f t="shared" si="17"/>
        <v>10</v>
      </c>
      <c r="AI98" s="924" cm="1">
        <f t="array" ref="AI98">INDEX(AN$9:AN$17,$C98)</f>
        <v>3.3</v>
      </c>
      <c r="AJ98" s="924" cm="1">
        <f t="array" ref="AJ98">INDEX(AO$9:AO$17,$C98)</f>
        <v>0.2</v>
      </c>
      <c r="AK98" s="924" cm="1">
        <f t="array" ref="AK98">INDEX(AP$9:AP$17,$C98)</f>
        <v>3.1</v>
      </c>
    </row>
    <row r="99" spans="2:37" s="859" customFormat="1" x14ac:dyDescent="0.25">
      <c r="B99" s="535" t="str">
        <f>+'Abweichende Werte'!AB7</f>
        <v>--</v>
      </c>
      <c r="C99" s="907">
        <v>2</v>
      </c>
      <c r="D99" s="979">
        <f>IF('Abweichende Werte'!C22="",0,'Abweichende Werte'!C22)</f>
        <v>0</v>
      </c>
      <c r="E99" s="979">
        <f>IF('Abweichende Werte'!D22="",0,'Abweichende Werte'!D22)</f>
        <v>0</v>
      </c>
      <c r="F99" s="979">
        <f>IF('Abweichende Werte'!E22="",0,'Abweichende Werte'!E22)</f>
        <v>0</v>
      </c>
      <c r="G99" s="979">
        <f>IF('Abweichende Werte'!F22="",0,'Abweichende Werte'!F22)</f>
        <v>0</v>
      </c>
      <c r="H99" s="979">
        <f>IF('Abweichende Werte'!G22="",0,'Abweichende Werte'!G22)</f>
        <v>0</v>
      </c>
      <c r="I99" s="979">
        <f>+IF('Abweichende Werte'!L22="",0,'Abweichende Werte'!L22)</f>
        <v>0</v>
      </c>
      <c r="J99" s="979">
        <f>IFERROR(IF($C99&gt;2,$L99,IF('Abweichende Werte'!Q22="",0,'Abweichende Werte'!Q22/$D99)),0)</f>
        <v>0</v>
      </c>
      <c r="K99" s="979">
        <f>IFERROR(IF($C99&gt;2,$L99,IF('Abweichende Werte'!R22="",0,'Abweichende Werte'!R22/$D99)),0)</f>
        <v>0</v>
      </c>
      <c r="L99" s="979">
        <f>IFERROR(IF('Abweichende Werte'!S22="",0,'Abweichende Werte'!S22/D99),0)</f>
        <v>0</v>
      </c>
      <c r="P99" s="979">
        <f>IF($C99&gt;2,$R99,IF('Abweichende Werte'!I22="",0,'Abweichende Werte'!I22))</f>
        <v>0</v>
      </c>
      <c r="Q99" s="979">
        <f>IF($C99&gt;2,$R99,IF('Abweichende Werte'!J22="",0,'Abweichende Werte'!J22))</f>
        <v>0</v>
      </c>
      <c r="R99" s="979">
        <f>+IF('Abweichende Werte'!K22="",0,'Abweichende Werte'!K22)</f>
        <v>0</v>
      </c>
      <c r="S99" s="979">
        <f>IF($C99&gt;2,$U99,IF('Abweichende Werte'!N22="",0,'Abweichende Werte'!N22))</f>
        <v>0</v>
      </c>
      <c r="T99" s="979">
        <f>IF($C99&gt;2,$U99,IF('Abweichende Werte'!O22="",0,'Abweichende Werte'!O22))</f>
        <v>0</v>
      </c>
      <c r="U99" s="979">
        <f>IF('Abweichende Werte'!P22="",0,'Abweichende Werte'!P22)</f>
        <v>0</v>
      </c>
      <c r="V99" s="979">
        <f>IF('Abweichende Werte'!H22="",0,'Abweichende Werte'!H22)</f>
        <v>0</v>
      </c>
      <c r="W99" s="979">
        <f>IF('Abweichende Werte'!M22="",0,'Abweichende Werte'!M22)</f>
        <v>0</v>
      </c>
      <c r="X99" s="859">
        <f t="shared" si="16"/>
        <v>20</v>
      </c>
      <c r="Y99" s="859">
        <f t="shared" si="16"/>
        <v>30</v>
      </c>
      <c r="Z99" s="859">
        <f t="shared" si="16"/>
        <v>0.9</v>
      </c>
      <c r="AB99" s="859" t="str">
        <f>IF(OR('Abweichende Werte'!F7='Abweichende Werte'!$Y$10,'Abweichende Werte'!F7='Abweichende Werte'!$Y$11),1,"")</f>
        <v/>
      </c>
      <c r="AD99" s="859">
        <f t="shared" si="18"/>
        <v>1</v>
      </c>
      <c r="AE99" s="859">
        <f t="shared" si="19"/>
        <v>2</v>
      </c>
      <c r="AF99" s="859">
        <f t="shared" si="19"/>
        <v>60</v>
      </c>
      <c r="AG99" s="859">
        <f t="shared" si="17"/>
        <v>90</v>
      </c>
      <c r="AH99" s="859">
        <f t="shared" si="17"/>
        <v>10</v>
      </c>
      <c r="AI99" s="924" cm="1">
        <f t="array" ref="AI99">INDEX(AN$9:AN$17,$C99)</f>
        <v>3.3</v>
      </c>
      <c r="AJ99" s="924" cm="1">
        <f t="array" ref="AJ99">INDEX(AO$9:AO$17,$C99)</f>
        <v>0.2</v>
      </c>
      <c r="AK99" s="924" cm="1">
        <f t="array" ref="AK99">INDEX(AP$9:AP$17,$C99)</f>
        <v>3.1</v>
      </c>
    </row>
    <row r="100" spans="2:37" s="859" customFormat="1" x14ac:dyDescent="0.25">
      <c r="B100" s="535" t="str">
        <f>+'Abweichende Werte'!AB8</f>
        <v>--</v>
      </c>
      <c r="C100" s="907">
        <v>2</v>
      </c>
      <c r="D100" s="979">
        <f>IF('Abweichende Werte'!C23="",0,'Abweichende Werte'!C23)</f>
        <v>0</v>
      </c>
      <c r="E100" s="979">
        <f>IF('Abweichende Werte'!D23="",0,'Abweichende Werte'!D23)</f>
        <v>0</v>
      </c>
      <c r="F100" s="979">
        <f>IF('Abweichende Werte'!E23="",0,'Abweichende Werte'!E23)</f>
        <v>0</v>
      </c>
      <c r="G100" s="979">
        <f>IF('Abweichende Werte'!F23="",0,'Abweichende Werte'!F23)</f>
        <v>0</v>
      </c>
      <c r="H100" s="979">
        <f>IF('Abweichende Werte'!G23="",0,'Abweichende Werte'!G23)</f>
        <v>0</v>
      </c>
      <c r="I100" s="979">
        <f>+IF('Abweichende Werte'!L23="",0,'Abweichende Werte'!L23)</f>
        <v>0</v>
      </c>
      <c r="J100" s="979">
        <f>IFERROR(IF($C100&gt;2,$L100,IF('Abweichende Werte'!Q23="",0,'Abweichende Werte'!Q23/$D100)),0)</f>
        <v>0</v>
      </c>
      <c r="K100" s="979">
        <f>IFERROR(IF($C100&gt;2,$L100,IF('Abweichende Werte'!R23="",0,'Abweichende Werte'!R23/$D100)),0)</f>
        <v>0</v>
      </c>
      <c r="L100" s="979">
        <f>IFERROR(IF('Abweichende Werte'!S23="",0,'Abweichende Werte'!S23/D100),0)</f>
        <v>0</v>
      </c>
      <c r="P100" s="979">
        <f>IF($C100&gt;2,$R100,IF('Abweichende Werte'!I23="",0,'Abweichende Werte'!I23))</f>
        <v>0</v>
      </c>
      <c r="Q100" s="979">
        <f>IF($C100&gt;2,$R100,IF('Abweichende Werte'!J23="",0,'Abweichende Werte'!J23))</f>
        <v>0</v>
      </c>
      <c r="R100" s="979">
        <f>+IF('Abweichende Werte'!K23="",0,'Abweichende Werte'!K23)</f>
        <v>0</v>
      </c>
      <c r="S100" s="979">
        <f>IF($C100&gt;2,$U100,IF('Abweichende Werte'!N23="",0,'Abweichende Werte'!N23))</f>
        <v>0</v>
      </c>
      <c r="T100" s="979">
        <f>IF($C100&gt;2,$U100,IF('Abweichende Werte'!O23="",0,'Abweichende Werte'!O23))</f>
        <v>0</v>
      </c>
      <c r="U100" s="979">
        <f>IF('Abweichende Werte'!P23="",0,'Abweichende Werte'!P23)</f>
        <v>0</v>
      </c>
      <c r="V100" s="979">
        <f>IF('Abweichende Werte'!H23="",0,'Abweichende Werte'!H23)</f>
        <v>0</v>
      </c>
      <c r="W100" s="979">
        <f>IF('Abweichende Werte'!M23="",0,'Abweichende Werte'!M23)</f>
        <v>0</v>
      </c>
      <c r="X100" s="859">
        <f t="shared" si="16"/>
        <v>20</v>
      </c>
      <c r="Y100" s="859">
        <f t="shared" si="16"/>
        <v>30</v>
      </c>
      <c r="Z100" s="859">
        <f t="shared" si="16"/>
        <v>0.9</v>
      </c>
      <c r="AB100" s="859" t="str">
        <f>IF(OR('Abweichende Werte'!F8='Abweichende Werte'!$Y$10,'Abweichende Werte'!F8='Abweichende Werte'!$Y$11),1,"")</f>
        <v/>
      </c>
      <c r="AD100" s="859">
        <f t="shared" si="18"/>
        <v>1</v>
      </c>
      <c r="AE100" s="859">
        <f t="shared" si="19"/>
        <v>2</v>
      </c>
      <c r="AF100" s="859">
        <f t="shared" si="19"/>
        <v>60</v>
      </c>
      <c r="AG100" s="859">
        <f>IF($C100=1,AG$31,IF($C100=2,AG$43,IF($C100=3,AG$73,AG$86)))</f>
        <v>90</v>
      </c>
      <c r="AH100" s="859">
        <f t="shared" si="17"/>
        <v>10</v>
      </c>
      <c r="AI100" s="924" cm="1">
        <f t="array" ref="AI100">INDEX(AN$9:AN$17,$C100)</f>
        <v>3.3</v>
      </c>
      <c r="AJ100" s="924" cm="1">
        <f t="array" ref="AJ100">INDEX(AO$9:AO$17,$C100)</f>
        <v>0.2</v>
      </c>
      <c r="AK100" s="924" cm="1">
        <f t="array" ref="AK100">INDEX(AP$9:AP$17,$C100)</f>
        <v>3.1</v>
      </c>
    </row>
    <row r="101" spans="2:37" s="859" customFormat="1" x14ac:dyDescent="0.25">
      <c r="B101" s="535" t="str">
        <f>+'Abweichende Werte'!AB9</f>
        <v>--</v>
      </c>
      <c r="C101" s="907">
        <v>2</v>
      </c>
      <c r="D101" s="979">
        <f>IF('Abweichende Werte'!C24="",0,'Abweichende Werte'!C24)</f>
        <v>0</v>
      </c>
      <c r="E101" s="979">
        <f>IF('Abweichende Werte'!D24="",0,'Abweichende Werte'!D24)</f>
        <v>0</v>
      </c>
      <c r="F101" s="979">
        <f>IF('Abweichende Werte'!E24="",0,'Abweichende Werte'!E24)</f>
        <v>0</v>
      </c>
      <c r="G101" s="979">
        <f>IF('Abweichende Werte'!F24="",0,'Abweichende Werte'!F24)</f>
        <v>0</v>
      </c>
      <c r="H101" s="979">
        <f>IF('Abweichende Werte'!G24="",0,'Abweichende Werte'!G24)</f>
        <v>0</v>
      </c>
      <c r="I101" s="979">
        <f>+IF('Abweichende Werte'!L24="",0,'Abweichende Werte'!L24)</f>
        <v>0</v>
      </c>
      <c r="J101" s="979">
        <f>IFERROR(IF($C101&gt;2,$L101,IF('Abweichende Werte'!Q24="",0,'Abweichende Werte'!Q24/$D101)),0)</f>
        <v>0</v>
      </c>
      <c r="K101" s="979">
        <f>IFERROR(IF($C101&gt;2,$L101,IF('Abweichende Werte'!R24="",0,'Abweichende Werte'!R24/$D101)),0)</f>
        <v>0</v>
      </c>
      <c r="L101" s="979">
        <f>IFERROR(IF('Abweichende Werte'!S24="",0,'Abweichende Werte'!S24/D101),0)</f>
        <v>0</v>
      </c>
      <c r="P101" s="979">
        <f>IF($C101&gt;2,$R101,IF('Abweichende Werte'!I24="",0,'Abweichende Werte'!I24))</f>
        <v>0</v>
      </c>
      <c r="Q101" s="979">
        <f>IF($C101&gt;2,$R101,IF('Abweichende Werte'!J24="",0,'Abweichende Werte'!J24))</f>
        <v>0</v>
      </c>
      <c r="R101" s="979">
        <f>+IF('Abweichende Werte'!K24="",0,'Abweichende Werte'!K24)</f>
        <v>0</v>
      </c>
      <c r="S101" s="979">
        <f>IF($C101&gt;2,$U101,IF('Abweichende Werte'!N24="",0,'Abweichende Werte'!N24))</f>
        <v>0</v>
      </c>
      <c r="T101" s="979">
        <f>IF($C101&gt;2,$U101,IF('Abweichende Werte'!O24="",0,'Abweichende Werte'!O24))</f>
        <v>0</v>
      </c>
      <c r="U101" s="979">
        <f>IF('Abweichende Werte'!P24="",0,'Abweichende Werte'!P24)</f>
        <v>0</v>
      </c>
      <c r="V101" s="979">
        <f>IF('Abweichende Werte'!H24="",0,'Abweichende Werte'!H24)</f>
        <v>0</v>
      </c>
      <c r="W101" s="979">
        <f>IF('Abweichende Werte'!M24="",0,'Abweichende Werte'!M24)</f>
        <v>0</v>
      </c>
      <c r="X101" s="859">
        <f t="shared" si="16"/>
        <v>20</v>
      </c>
      <c r="Y101" s="859">
        <f t="shared" si="16"/>
        <v>30</v>
      </c>
      <c r="Z101" s="859">
        <f t="shared" si="16"/>
        <v>0.9</v>
      </c>
      <c r="AB101" s="859" t="str">
        <f>IF(OR('Abweichende Werte'!F9='Abweichende Werte'!$Y$10,'Abweichende Werte'!F9='Abweichende Werte'!$Y$11),1,"")</f>
        <v/>
      </c>
      <c r="AD101" s="859">
        <f t="shared" si="18"/>
        <v>1</v>
      </c>
      <c r="AE101" s="859">
        <f t="shared" si="19"/>
        <v>2</v>
      </c>
      <c r="AF101" s="859">
        <f t="shared" si="19"/>
        <v>60</v>
      </c>
      <c r="AG101" s="859">
        <f t="shared" si="17"/>
        <v>90</v>
      </c>
      <c r="AH101" s="859">
        <f>IF($C101=1,AH$31,IF($C101=2,AH$43,IF($C101=3,AH$73,AH$86)))</f>
        <v>10</v>
      </c>
      <c r="AI101" s="924" cm="1">
        <f t="array" ref="AI101">INDEX(AN$9:AN$17,$C101)</f>
        <v>3.3</v>
      </c>
      <c r="AJ101" s="924" cm="1">
        <f t="array" ref="AJ101">INDEX(AO$9:AO$17,$C101)</f>
        <v>0.2</v>
      </c>
      <c r="AK101" s="924" cm="1">
        <f t="array" ref="AK101">INDEX(AP$9:AP$17,$C101)</f>
        <v>3.1</v>
      </c>
    </row>
    <row r="102" spans="2:37" s="859" customFormat="1" x14ac:dyDescent="0.25">
      <c r="B102" s="535" t="str">
        <f>+'Abweichende Werte'!AB11</f>
        <v>--</v>
      </c>
      <c r="C102" s="907">
        <v>2</v>
      </c>
      <c r="D102" s="979">
        <f>IF('Abweichende Werte'!C25="",0,'Abweichende Werte'!C25)</f>
        <v>0</v>
      </c>
      <c r="E102" s="979">
        <f>IF('Abweichende Werte'!D25="",0,'Abweichende Werte'!D25)</f>
        <v>0</v>
      </c>
      <c r="F102" s="979">
        <f>IF('Abweichende Werte'!E25="",0,'Abweichende Werte'!E25)</f>
        <v>0</v>
      </c>
      <c r="G102" s="979">
        <f>IF('Abweichende Werte'!F25="",0,'Abweichende Werte'!F25)</f>
        <v>0</v>
      </c>
      <c r="H102" s="979">
        <f>IF('Abweichende Werte'!G25="",0,'Abweichende Werte'!G25)</f>
        <v>0</v>
      </c>
      <c r="I102" s="979">
        <f>+IF('Abweichende Werte'!L25="",0,'Abweichende Werte'!L25)</f>
        <v>0</v>
      </c>
      <c r="J102" s="979">
        <f>IFERROR(IF($C102&gt;2,$L102,IF('Abweichende Werte'!Q25="",0,'Abweichende Werte'!Q25/$D102)),0)</f>
        <v>0</v>
      </c>
      <c r="K102" s="979">
        <f>IFERROR(IF($C102&gt;2,$L102,IF('Abweichende Werte'!R25="",0,'Abweichende Werte'!R25/$D102)),0)</f>
        <v>0</v>
      </c>
      <c r="L102" s="979">
        <f>IFERROR(IF('Abweichende Werte'!S25="",0,'Abweichende Werte'!S25/D102),0)</f>
        <v>0</v>
      </c>
      <c r="P102" s="979">
        <f>IF($C102&gt;2,$R102,IF('Abweichende Werte'!I25="",0,'Abweichende Werte'!I25))</f>
        <v>0</v>
      </c>
      <c r="Q102" s="979">
        <f>IF($C102&gt;2,$R102,IF('Abweichende Werte'!J25="",0,'Abweichende Werte'!J25))</f>
        <v>0</v>
      </c>
      <c r="R102" s="979">
        <f>+IF('Abweichende Werte'!K25="",0,'Abweichende Werte'!K25)</f>
        <v>0</v>
      </c>
      <c r="S102" s="979">
        <f>IF($C102&gt;2,$U102,IF('Abweichende Werte'!N25="",0,'Abweichende Werte'!N25))</f>
        <v>0</v>
      </c>
      <c r="T102" s="979">
        <f>IF($C102&gt;2,$U102,IF('Abweichende Werte'!O25="",0,'Abweichende Werte'!O25))</f>
        <v>0</v>
      </c>
      <c r="U102" s="979">
        <f>IF('Abweichende Werte'!P25="",0,'Abweichende Werte'!P25)</f>
        <v>0</v>
      </c>
      <c r="V102" s="979">
        <f>IF('Abweichende Werte'!H25="",0,'Abweichende Werte'!H25)</f>
        <v>0</v>
      </c>
      <c r="W102" s="979">
        <f>IF('Abweichende Werte'!M25="",0,'Abweichende Werte'!M25)</f>
        <v>0</v>
      </c>
      <c r="X102" s="859">
        <f t="shared" si="16"/>
        <v>20</v>
      </c>
      <c r="Y102" s="859">
        <f t="shared" si="16"/>
        <v>30</v>
      </c>
      <c r="Z102" s="859">
        <f t="shared" si="16"/>
        <v>0.9</v>
      </c>
      <c r="AB102" s="859" t="str">
        <f>IF(OR('Abweichende Werte'!F11='Abweichende Werte'!$Y$10,'Abweichende Werte'!F11='Abweichende Werte'!$Y$11),1,"")</f>
        <v/>
      </c>
      <c r="AD102" s="859">
        <f t="shared" si="18"/>
        <v>1</v>
      </c>
      <c r="AE102" s="859">
        <f t="shared" si="19"/>
        <v>2</v>
      </c>
      <c r="AF102" s="859">
        <f t="shared" si="19"/>
        <v>60</v>
      </c>
      <c r="AG102" s="859">
        <f t="shared" si="17"/>
        <v>90</v>
      </c>
      <c r="AH102" s="859">
        <f t="shared" si="17"/>
        <v>10</v>
      </c>
      <c r="AI102" s="924" cm="1">
        <f t="array" ref="AI102">INDEX(AN$9:AN$17,$C102)</f>
        <v>3.3</v>
      </c>
      <c r="AJ102" s="924" cm="1">
        <f t="array" ref="AJ102">INDEX(AO$9:AO$17,$C102)</f>
        <v>0.2</v>
      </c>
      <c r="AK102" s="924" cm="1">
        <f t="array" ref="AK102">INDEX(AP$9:AP$17,$C102)</f>
        <v>3.1</v>
      </c>
    </row>
    <row r="103" spans="2:37" s="859" customFormat="1" x14ac:dyDescent="0.25">
      <c r="B103" s="535" t="str">
        <f>+'Abweichende Werte'!AB12</f>
        <v>--</v>
      </c>
      <c r="C103" s="907">
        <v>2</v>
      </c>
      <c r="D103" s="979">
        <f>IF('Abweichende Werte'!C26="",0,'Abweichende Werte'!C26)</f>
        <v>0</v>
      </c>
      <c r="E103" s="979">
        <f>IF('Abweichende Werte'!D26="",0,'Abweichende Werte'!D26)</f>
        <v>0</v>
      </c>
      <c r="F103" s="979">
        <f>IF('Abweichende Werte'!E26="",0,'Abweichende Werte'!E26)</f>
        <v>0</v>
      </c>
      <c r="G103" s="979">
        <f>IF('Abweichende Werte'!F26="",0,'Abweichende Werte'!F26)</f>
        <v>0</v>
      </c>
      <c r="H103" s="979">
        <f>IF('Abweichende Werte'!G26="",0,'Abweichende Werte'!G26)</f>
        <v>0</v>
      </c>
      <c r="I103" s="979">
        <f>+IF('Abweichende Werte'!L26="",0,'Abweichende Werte'!L26)</f>
        <v>0</v>
      </c>
      <c r="J103" s="979">
        <f>IFERROR(IF($C103&gt;2,$L103,IF('Abweichende Werte'!Q26="",0,'Abweichende Werte'!Q26/$D103)),0)</f>
        <v>0</v>
      </c>
      <c r="K103" s="979">
        <f>IFERROR(IF($C103&gt;2,$L103,IF('Abweichende Werte'!R26="",0,'Abweichende Werte'!R26/$D103)),0)</f>
        <v>0</v>
      </c>
      <c r="L103" s="979">
        <f>IFERROR(IF('Abweichende Werte'!S26="",0,'Abweichende Werte'!S26/D103),0)</f>
        <v>0</v>
      </c>
      <c r="P103" s="979">
        <f>IF($C103&gt;2,$R103,IF('Abweichende Werte'!I26="",0,'Abweichende Werte'!I26))</f>
        <v>0</v>
      </c>
      <c r="Q103" s="979">
        <f>IF($C103&gt;2,$R103,IF('Abweichende Werte'!J26="",0,'Abweichende Werte'!J26))</f>
        <v>0</v>
      </c>
      <c r="R103" s="979">
        <f>+IF('Abweichende Werte'!K26="",0,'Abweichende Werte'!K26)</f>
        <v>0</v>
      </c>
      <c r="S103" s="979">
        <f>IF($C103&gt;2,$U103,IF('Abweichende Werte'!N26="",0,'Abweichende Werte'!N26))</f>
        <v>0</v>
      </c>
      <c r="T103" s="979">
        <f>IF($C103&gt;2,$U103,IF('Abweichende Werte'!O26="",0,'Abweichende Werte'!O26))</f>
        <v>0</v>
      </c>
      <c r="U103" s="979">
        <f>IF('Abweichende Werte'!P26="",0,'Abweichende Werte'!P26)</f>
        <v>0</v>
      </c>
      <c r="V103" s="979">
        <f>IF('Abweichende Werte'!H26="",0,'Abweichende Werte'!H26)</f>
        <v>0</v>
      </c>
      <c r="W103" s="979">
        <f>IF('Abweichende Werte'!M26="",0,'Abweichende Werte'!M26)</f>
        <v>0</v>
      </c>
      <c r="X103" s="859">
        <f t="shared" si="16"/>
        <v>20</v>
      </c>
      <c r="Y103" s="859">
        <f t="shared" si="16"/>
        <v>30</v>
      </c>
      <c r="Z103" s="859">
        <f t="shared" si="16"/>
        <v>0.9</v>
      </c>
      <c r="AB103" s="859" t="str">
        <f>IF(OR('Abweichende Werte'!F12='Abweichende Werte'!$Y$10,'Abweichende Werte'!F12='Abweichende Werte'!$Y$11),1,"")</f>
        <v/>
      </c>
      <c r="AD103" s="859">
        <f t="shared" si="18"/>
        <v>1</v>
      </c>
      <c r="AE103" s="859">
        <f t="shared" si="19"/>
        <v>2</v>
      </c>
      <c r="AF103" s="859">
        <f t="shared" si="19"/>
        <v>60</v>
      </c>
      <c r="AG103" s="859">
        <f t="shared" si="17"/>
        <v>90</v>
      </c>
      <c r="AH103" s="859">
        <f t="shared" si="17"/>
        <v>10</v>
      </c>
      <c r="AI103" s="924" cm="1">
        <f t="array" ref="AI103">INDEX(AN$9:AN$17,$C103)</f>
        <v>3.3</v>
      </c>
      <c r="AJ103" s="924" cm="1">
        <f t="array" ref="AJ103">INDEX(AO$9:AO$17,$C103)</f>
        <v>0.2</v>
      </c>
      <c r="AK103" s="924" cm="1">
        <f t="array" ref="AK103">INDEX(AP$9:AP$17,$C103)</f>
        <v>3.1</v>
      </c>
    </row>
    <row r="104" spans="2:37" s="859" customFormat="1" x14ac:dyDescent="0.25">
      <c r="B104" s="535" t="str">
        <f>+'Abweichende Werte'!X27</f>
        <v xml:space="preserve"> -- - </v>
      </c>
      <c r="C104" s="859">
        <f>+'Abweichende Werte'!V27</f>
        <v>1</v>
      </c>
      <c r="D104" s="979">
        <f>IF('Abweichende Werte'!C27="",0,'Abweichende Werte'!C27)</f>
        <v>0</v>
      </c>
      <c r="E104" s="979">
        <f>IF('Abweichende Werte'!D27="",0,'Abweichende Werte'!D27)</f>
        <v>0</v>
      </c>
      <c r="F104" s="979">
        <f>IF('Abweichende Werte'!E27="",0,'Abweichende Werte'!E27)</f>
        <v>0</v>
      </c>
      <c r="G104" s="979">
        <f>IF('Abweichende Werte'!F27="",0,'Abweichende Werte'!F27)</f>
        <v>0</v>
      </c>
      <c r="H104" s="979">
        <f>IF('Abweichende Werte'!G27="",0,'Abweichende Werte'!G27)</f>
        <v>0</v>
      </c>
      <c r="I104" s="979">
        <f>+IF('Abweichende Werte'!L27="",0,'Abweichende Werte'!L27)</f>
        <v>0</v>
      </c>
      <c r="J104" s="979">
        <f>IFERROR(IF($C104&gt;2,$L104,IF('Abweichende Werte'!Q27="",0,'Abweichende Werte'!Q27/$D104)),0)</f>
        <v>0</v>
      </c>
      <c r="K104" s="979">
        <f>IFERROR(IF($C104&gt;2,$L104,IF('Abweichende Werte'!R27="",0,'Abweichende Werte'!R27/$D104)),0)</f>
        <v>0</v>
      </c>
      <c r="L104" s="979">
        <f>IFERROR(IF('Abweichende Werte'!S27="",0,'Abweichende Werte'!S27/D104),0)</f>
        <v>0</v>
      </c>
      <c r="P104" s="979">
        <f>IF($C104&gt;2,$R104,IF('Abweichende Werte'!I27="",0,'Abweichende Werte'!I27))</f>
        <v>0</v>
      </c>
      <c r="Q104" s="979">
        <f>IF($C104&gt;2,$R104,IF('Abweichende Werte'!J27="",0,'Abweichende Werte'!J27))</f>
        <v>0</v>
      </c>
      <c r="R104" s="979">
        <f>+IF('Abweichende Werte'!K27="",0,'Abweichende Werte'!K27)</f>
        <v>0</v>
      </c>
      <c r="S104" s="979">
        <f>IF($C104&gt;2,$U104,IF('Abweichende Werte'!N27="",0,'Abweichende Werte'!N27))</f>
        <v>0</v>
      </c>
      <c r="T104" s="979">
        <f>IF($C104&gt;2,$U104,IF('Abweichende Werte'!O27="",0,'Abweichende Werte'!O27))</f>
        <v>0</v>
      </c>
      <c r="U104" s="979">
        <f>IF('Abweichende Werte'!P27="",0,'Abweichende Werte'!P27)</f>
        <v>0</v>
      </c>
      <c r="V104" s="979">
        <f>IF('Abweichende Werte'!H27="",0,'Abweichende Werte'!H27)</f>
        <v>0</v>
      </c>
      <c r="W104" s="979">
        <f>IF('Abweichende Werte'!M27="",0,'Abweichende Werte'!M27)</f>
        <v>0</v>
      </c>
      <c r="X104" s="859">
        <f t="shared" si="16"/>
        <v>15</v>
      </c>
      <c r="Y104" s="859">
        <f t="shared" si="16"/>
        <v>30</v>
      </c>
      <c r="Z104" s="859">
        <f t="shared" si="16"/>
        <v>0.9</v>
      </c>
      <c r="AD104" s="859">
        <f t="shared" si="18"/>
        <v>1</v>
      </c>
      <c r="AE104" s="859">
        <f t="shared" si="19"/>
        <v>2</v>
      </c>
      <c r="AF104" s="859">
        <f t="shared" si="19"/>
        <v>50</v>
      </c>
      <c r="AG104" s="859">
        <f t="shared" si="17"/>
        <v>90</v>
      </c>
      <c r="AH104" s="859">
        <f t="shared" si="17"/>
        <v>10</v>
      </c>
      <c r="AI104" s="924" cm="1">
        <f t="array" ref="AI104">INDEX(AN$9:AN$17,$C104)</f>
        <v>3.2</v>
      </c>
      <c r="AJ104" s="924" cm="1">
        <f t="array" ref="AJ104">INDEX(AO$9:AO$17,$C104)</f>
        <v>0.2</v>
      </c>
      <c r="AK104" s="924" cm="1">
        <f t="array" ref="AK104">INDEX(AP$9:AP$17,$C104)</f>
        <v>7.9</v>
      </c>
    </row>
    <row r="105" spans="2:37" x14ac:dyDescent="0.25">
      <c r="B105" s="535" t="str">
        <f>+'Abweichende Werte'!X28</f>
        <v xml:space="preserve"> -- - </v>
      </c>
      <c r="C105" s="859">
        <f>+'Abweichende Werte'!V28</f>
        <v>1</v>
      </c>
      <c r="D105" s="979">
        <f>IF('Abweichende Werte'!C28="",0,'Abweichende Werte'!C28)</f>
        <v>0</v>
      </c>
      <c r="E105" s="979">
        <f>IF('Abweichende Werte'!D28="",0,'Abweichende Werte'!D28)</f>
        <v>0</v>
      </c>
      <c r="F105" s="979">
        <f>IF('Abweichende Werte'!E28="",0,'Abweichende Werte'!E28)</f>
        <v>0</v>
      </c>
      <c r="G105" s="979">
        <f>IF('Abweichende Werte'!F28="",0,'Abweichende Werte'!F28)</f>
        <v>0</v>
      </c>
      <c r="H105" s="979">
        <f>IF('Abweichende Werte'!G28="",0,'Abweichende Werte'!G28)</f>
        <v>0</v>
      </c>
      <c r="I105" s="979">
        <f>+IF('Abweichende Werte'!L28="",0,'Abweichende Werte'!L28)</f>
        <v>0</v>
      </c>
      <c r="J105" s="979">
        <f>IFERROR(IF($C105&gt;2,$L105,IF('Abweichende Werte'!Q28="",0,'Abweichende Werte'!Q28/$D105)),0)</f>
        <v>0</v>
      </c>
      <c r="K105" s="979">
        <f>IFERROR(IF($C105&gt;2,$L105,IF('Abweichende Werte'!R28="",0,'Abweichende Werte'!R28/$D105)),0)</f>
        <v>0</v>
      </c>
      <c r="L105" s="979">
        <f>IFERROR(IF('Abweichende Werte'!S28="",0,'Abweichende Werte'!S28/D105),0)</f>
        <v>0</v>
      </c>
      <c r="M105" s="859"/>
      <c r="N105" s="859"/>
      <c r="O105" s="859"/>
      <c r="P105" s="979">
        <f>IF($C105&gt;2,$R105,IF('Abweichende Werte'!I28="",0,'Abweichende Werte'!I28))</f>
        <v>0</v>
      </c>
      <c r="Q105" s="979">
        <f>IF($C105&gt;2,$R105,IF('Abweichende Werte'!J28="",0,'Abweichende Werte'!J28))</f>
        <v>0</v>
      </c>
      <c r="R105" s="979">
        <f>+IF('Abweichende Werte'!K28="",0,'Abweichende Werte'!K28)</f>
        <v>0</v>
      </c>
      <c r="S105" s="979">
        <f>IF($C105&gt;2,$U105,IF('Abweichende Werte'!N28="",0,'Abweichende Werte'!N28))</f>
        <v>0</v>
      </c>
      <c r="T105" s="979">
        <f>IF($C105&gt;2,$U105,IF('Abweichende Werte'!O28="",0,'Abweichende Werte'!O28))</f>
        <v>0</v>
      </c>
      <c r="U105" s="979">
        <f>IF('Abweichende Werte'!P28="",0,'Abweichende Werte'!P28)</f>
        <v>0</v>
      </c>
      <c r="V105" s="979">
        <f>IF('Abweichende Werte'!H28="",0,'Abweichende Werte'!H28)</f>
        <v>0</v>
      </c>
      <c r="W105" s="979">
        <f>IF('Abweichende Werte'!M28="",0,'Abweichende Werte'!M28)</f>
        <v>0</v>
      </c>
      <c r="X105" s="859">
        <f t="shared" si="16"/>
        <v>15</v>
      </c>
      <c r="Y105" s="859">
        <f t="shared" si="16"/>
        <v>30</v>
      </c>
      <c r="Z105" s="859">
        <f t="shared" si="16"/>
        <v>0.9</v>
      </c>
      <c r="AD105" s="859">
        <f t="shared" si="18"/>
        <v>1</v>
      </c>
      <c r="AE105" s="859">
        <f t="shared" si="19"/>
        <v>2</v>
      </c>
      <c r="AF105" s="859">
        <f t="shared" si="19"/>
        <v>50</v>
      </c>
      <c r="AG105" s="859">
        <f t="shared" si="17"/>
        <v>90</v>
      </c>
      <c r="AH105" s="859">
        <f t="shared" si="17"/>
        <v>10</v>
      </c>
      <c r="AI105" s="924" cm="1">
        <f t="array" ref="AI105">INDEX(AN$9:AN$17,$C105)</f>
        <v>3.2</v>
      </c>
      <c r="AJ105" s="924" cm="1">
        <f t="array" ref="AJ105">INDEX(AO$9:AO$17,$C105)</f>
        <v>0.2</v>
      </c>
      <c r="AK105" s="924" cm="1">
        <f t="array" ref="AK105">INDEX(AP$9:AP$17,$C105)</f>
        <v>7.9</v>
      </c>
    </row>
    <row r="106" spans="2:37" x14ac:dyDescent="0.25">
      <c r="B106" s="535" t="str">
        <f>+'Abweichende Werte'!X29</f>
        <v xml:space="preserve"> -- - </v>
      </c>
      <c r="C106" s="859">
        <f>+'Abweichende Werte'!V29</f>
        <v>1</v>
      </c>
      <c r="D106" s="979">
        <f>IF('Abweichende Werte'!C29="",0,'Abweichende Werte'!C29)</f>
        <v>0</v>
      </c>
      <c r="E106" s="979">
        <f>IF('Abweichende Werte'!D29="",0,'Abweichende Werte'!D29)</f>
        <v>0</v>
      </c>
      <c r="F106" s="979">
        <f>IF('Abweichende Werte'!E29="",0,'Abweichende Werte'!E29)</f>
        <v>0</v>
      </c>
      <c r="G106" s="979">
        <f>IF('Abweichende Werte'!F29="",0,'Abweichende Werte'!F29)</f>
        <v>0</v>
      </c>
      <c r="H106" s="979">
        <f>IF('Abweichende Werte'!G29="",0,'Abweichende Werte'!G29)</f>
        <v>0</v>
      </c>
      <c r="I106" s="979">
        <f>+IF('Abweichende Werte'!L29="",0,'Abweichende Werte'!L29)</f>
        <v>0</v>
      </c>
      <c r="J106" s="979">
        <f>IFERROR(IF($C106&gt;2,$L106,IF('Abweichende Werte'!Q29="",0,'Abweichende Werte'!Q29/$D106)),0)</f>
        <v>0</v>
      </c>
      <c r="K106" s="979">
        <f>IFERROR(IF($C106&gt;2,$L106,IF('Abweichende Werte'!R29="",0,'Abweichende Werte'!R29/$D106)),0)</f>
        <v>0</v>
      </c>
      <c r="L106" s="979">
        <f>IFERROR(IF('Abweichende Werte'!S29="",0,'Abweichende Werte'!S29/D106),0)</f>
        <v>0</v>
      </c>
      <c r="M106" s="859"/>
      <c r="N106" s="859"/>
      <c r="O106" s="859"/>
      <c r="P106" s="979">
        <f>IF($C106&gt;2,$R106,IF('Abweichende Werte'!I29="",0,'Abweichende Werte'!I29))</f>
        <v>0</v>
      </c>
      <c r="Q106" s="979">
        <f>IF($C106&gt;2,$R106,IF('Abweichende Werte'!J29="",0,'Abweichende Werte'!J29))</f>
        <v>0</v>
      </c>
      <c r="R106" s="979">
        <f>+IF('Abweichende Werte'!K29="",0,'Abweichende Werte'!K29)</f>
        <v>0</v>
      </c>
      <c r="S106" s="979">
        <f>IF($C106&gt;2,$U106,IF('Abweichende Werte'!N29="",0,'Abweichende Werte'!N29))</f>
        <v>0</v>
      </c>
      <c r="T106" s="979">
        <f>IF($C106&gt;2,$U106,IF('Abweichende Werte'!O29="",0,'Abweichende Werte'!O29))</f>
        <v>0</v>
      </c>
      <c r="U106" s="979">
        <f>IF('Abweichende Werte'!P29="",0,'Abweichende Werte'!P29)</f>
        <v>0</v>
      </c>
      <c r="V106" s="979">
        <f>IF('Abweichende Werte'!H29="",0,'Abweichende Werte'!H29)</f>
        <v>0</v>
      </c>
      <c r="W106" s="979">
        <f>IF('Abweichende Werte'!M29="",0,'Abweichende Werte'!M29)</f>
        <v>0</v>
      </c>
      <c r="X106" s="859">
        <f t="shared" si="16"/>
        <v>15</v>
      </c>
      <c r="Y106" s="859">
        <f t="shared" si="16"/>
        <v>30</v>
      </c>
      <c r="Z106" s="859">
        <f t="shared" si="16"/>
        <v>0.9</v>
      </c>
      <c r="AA106" s="854"/>
      <c r="AD106" s="859">
        <f t="shared" si="18"/>
        <v>1</v>
      </c>
      <c r="AE106" s="859">
        <f t="shared" si="19"/>
        <v>2</v>
      </c>
      <c r="AF106" s="859">
        <f t="shared" si="19"/>
        <v>50</v>
      </c>
      <c r="AG106" s="859">
        <f t="shared" si="17"/>
        <v>90</v>
      </c>
      <c r="AH106" s="859">
        <f t="shared" si="17"/>
        <v>10</v>
      </c>
      <c r="AI106" s="924" cm="1">
        <f t="array" ref="AI106">INDEX(AN$9:AN$17,$C106)</f>
        <v>3.2</v>
      </c>
      <c r="AJ106" s="924" cm="1">
        <f t="array" ref="AJ106">INDEX(AO$9:AO$17,$C106)</f>
        <v>0.2</v>
      </c>
      <c r="AK106" s="924" cm="1">
        <f t="array" ref="AK106">INDEX(AP$9:AP$17,$C106)</f>
        <v>7.9</v>
      </c>
    </row>
    <row r="107" spans="2:37" x14ac:dyDescent="0.25">
      <c r="AA107" s="854"/>
    </row>
    <row r="108" spans="2:37" x14ac:dyDescent="0.25">
      <c r="AA108" s="854"/>
    </row>
    <row r="109" spans="2:37" x14ac:dyDescent="0.25">
      <c r="AA109" s="854"/>
    </row>
    <row r="110" spans="2:37" x14ac:dyDescent="0.25">
      <c r="AA110" s="854"/>
    </row>
    <row r="111" spans="2:37" x14ac:dyDescent="0.25">
      <c r="AA111" s="854"/>
    </row>
    <row r="112" spans="2:37" x14ac:dyDescent="0.25">
      <c r="AA112" s="854"/>
    </row>
    <row r="115" spans="4:27" x14ac:dyDescent="0.25">
      <c r="AA115" s="854"/>
    </row>
    <row r="116" spans="4:27" x14ac:dyDescent="0.25">
      <c r="G116" s="856" t="s">
        <v>0</v>
      </c>
    </row>
    <row r="117" spans="4:27" x14ac:dyDescent="0.25">
      <c r="E117" s="856" t="s">
        <v>21</v>
      </c>
    </row>
    <row r="118" spans="4:27" x14ac:dyDescent="0.25">
      <c r="D118" s="855">
        <v>1</v>
      </c>
      <c r="E118" s="861" t="s">
        <v>52</v>
      </c>
      <c r="G118" s="856">
        <v>50</v>
      </c>
    </row>
    <row r="119" spans="4:27" x14ac:dyDescent="0.25">
      <c r="D119" s="855">
        <v>2</v>
      </c>
      <c r="E119" s="861" t="s">
        <v>85</v>
      </c>
      <c r="G119" s="856">
        <v>60</v>
      </c>
    </row>
    <row r="120" spans="4:27" x14ac:dyDescent="0.25">
      <c r="D120" s="855">
        <v>3</v>
      </c>
      <c r="E120" s="861" t="s">
        <v>86</v>
      </c>
      <c r="G120" s="856">
        <v>50</v>
      </c>
    </row>
    <row r="121" spans="4:27" x14ac:dyDescent="0.25">
      <c r="D121" s="855">
        <v>4</v>
      </c>
      <c r="E121" s="980" t="s">
        <v>87</v>
      </c>
      <c r="G121" s="856">
        <v>50</v>
      </c>
    </row>
    <row r="124" spans="4:27" x14ac:dyDescent="0.25">
      <c r="E124" s="856" t="s">
        <v>257</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7">
    <mergeCell ref="AN5:AP5"/>
    <mergeCell ref="AN6:AP6"/>
    <mergeCell ref="D5:D7"/>
    <mergeCell ref="AF5:AH5"/>
    <mergeCell ref="X5:Y5"/>
    <mergeCell ref="X6:Y6"/>
    <mergeCell ref="AI6:AK6"/>
    <mergeCell ref="AI5:AK5"/>
    <mergeCell ref="P5:R5"/>
    <mergeCell ref="P6:R6"/>
    <mergeCell ref="P7:R7"/>
    <mergeCell ref="J5:L5"/>
    <mergeCell ref="J6:L6"/>
    <mergeCell ref="J7:L7"/>
    <mergeCell ref="M5:O5"/>
    <mergeCell ref="M6:O6"/>
    <mergeCell ref="M7:O7"/>
  </mergeCells>
  <pageMargins left="0.7" right="0.7" top="0.78740157499999996" bottom="0.78740157499999996"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T114"/>
  <sheetViews>
    <sheetView workbookViewId="0"/>
  </sheetViews>
  <sheetFormatPr baseColWidth="10" defaultRowHeight="13.2" x14ac:dyDescent="0.25"/>
  <cols>
    <col min="1" max="1" width="3.6640625" style="89" customWidth="1"/>
    <col min="2" max="2" width="37.109375" style="89" customWidth="1"/>
    <col min="3" max="3" width="7.109375" style="82" customWidth="1"/>
    <col min="4" max="4" width="6.6640625" style="82" customWidth="1"/>
    <col min="5" max="5" width="3" style="82" customWidth="1"/>
    <col min="6" max="6" width="4.88671875" style="92" customWidth="1"/>
    <col min="7" max="7" width="6.6640625" style="89" customWidth="1"/>
    <col min="8" max="8" width="11.44140625" style="112"/>
    <col min="9" max="9" width="11.44140625" style="89"/>
    <col min="10" max="11" width="11.44140625" style="82"/>
    <col min="12" max="12" width="11.44140625" style="89"/>
    <col min="13" max="18" width="11.44140625" style="82"/>
    <col min="19" max="20" width="11.44140625" style="90"/>
  </cols>
  <sheetData>
    <row r="1" spans="1:9" x14ac:dyDescent="0.25">
      <c r="A1" s="81" t="s">
        <v>198</v>
      </c>
      <c r="B1" s="81"/>
      <c r="D1" s="83"/>
      <c r="E1" s="84"/>
      <c r="F1" s="85"/>
      <c r="G1" s="86"/>
      <c r="H1" s="87"/>
      <c r="I1" s="88" t="s">
        <v>199</v>
      </c>
    </row>
    <row r="2" spans="1:9" x14ac:dyDescent="0.25">
      <c r="A2" s="91" t="s">
        <v>200</v>
      </c>
      <c r="H2" s="87"/>
    </row>
    <row r="3" spans="1:9" x14ac:dyDescent="0.25">
      <c r="A3" s="89" t="s">
        <v>7879</v>
      </c>
      <c r="C3" s="93"/>
      <c r="D3" s="93"/>
      <c r="H3" s="94"/>
    </row>
    <row r="4" spans="1:9" ht="13.8" thickBot="1" x14ac:dyDescent="0.3">
      <c r="A4" s="95" t="s">
        <v>201</v>
      </c>
      <c r="B4" s="93"/>
      <c r="C4" s="512" t="s">
        <v>645</v>
      </c>
      <c r="D4" s="512" t="s">
        <v>646</v>
      </c>
      <c r="E4" s="512" t="s">
        <v>228</v>
      </c>
      <c r="G4" s="512" t="s">
        <v>639</v>
      </c>
      <c r="H4" s="512" t="s">
        <v>640</v>
      </c>
      <c r="I4" s="512" t="s">
        <v>641</v>
      </c>
    </row>
    <row r="5" spans="1:9" ht="12.75" customHeight="1" x14ac:dyDescent="0.25">
      <c r="A5" s="96"/>
      <c r="B5" s="97"/>
      <c r="C5" s="517"/>
      <c r="D5" s="517"/>
      <c r="E5" s="1662" t="s">
        <v>202</v>
      </c>
      <c r="F5" s="98" t="s">
        <v>203</v>
      </c>
      <c r="G5" s="96"/>
      <c r="H5" s="513"/>
      <c r="I5" s="513"/>
    </row>
    <row r="6" spans="1:9" x14ac:dyDescent="0.25">
      <c r="A6" s="1665" t="s">
        <v>204</v>
      </c>
      <c r="B6" s="1666"/>
      <c r="C6" s="508" t="s">
        <v>205</v>
      </c>
      <c r="D6" s="508" t="s">
        <v>206</v>
      </c>
      <c r="E6" s="1663"/>
      <c r="F6" s="99" t="s">
        <v>207</v>
      </c>
      <c r="G6" s="514"/>
      <c r="H6" s="82"/>
      <c r="I6" s="515"/>
    </row>
    <row r="7" spans="1:9" ht="16.2" thickBot="1" x14ac:dyDescent="0.4">
      <c r="A7" s="100"/>
      <c r="B7" s="101"/>
      <c r="C7" s="518"/>
      <c r="D7" s="518"/>
      <c r="E7" s="1664"/>
      <c r="F7" s="102" t="s">
        <v>2</v>
      </c>
      <c r="G7" s="103" t="s">
        <v>642</v>
      </c>
      <c r="H7" s="516" t="s">
        <v>643</v>
      </c>
      <c r="I7" s="516" t="s">
        <v>644</v>
      </c>
    </row>
    <row r="8" spans="1:9" x14ac:dyDescent="0.25">
      <c r="A8" s="96" t="s">
        <v>208</v>
      </c>
      <c r="B8" s="998"/>
      <c r="C8" s="999"/>
      <c r="D8" s="1000"/>
      <c r="E8" s="1000"/>
      <c r="F8" s="104"/>
      <c r="G8" s="1001"/>
      <c r="H8" s="1002"/>
      <c r="I8" s="1002"/>
    </row>
    <row r="9" spans="1:9" ht="15.6" x14ac:dyDescent="0.25">
      <c r="A9" s="105">
        <v>11</v>
      </c>
      <c r="B9" s="1003" t="s">
        <v>209</v>
      </c>
      <c r="C9" s="1004">
        <v>1</v>
      </c>
      <c r="D9" s="106">
        <v>1</v>
      </c>
      <c r="E9" s="106" t="s">
        <v>7865</v>
      </c>
      <c r="F9" s="1005">
        <v>6</v>
      </c>
      <c r="G9" s="1006">
        <v>3.3</v>
      </c>
      <c r="H9" s="1007">
        <v>1.4</v>
      </c>
      <c r="I9" s="1007">
        <v>4.2</v>
      </c>
    </row>
    <row r="10" spans="1:9" ht="15.6" x14ac:dyDescent="0.25">
      <c r="A10" s="105">
        <v>12</v>
      </c>
      <c r="B10" s="1008" t="s">
        <v>210</v>
      </c>
      <c r="C10" s="1004">
        <v>1</v>
      </c>
      <c r="D10" s="106">
        <v>1</v>
      </c>
      <c r="E10" s="106" t="s">
        <v>7865</v>
      </c>
      <c r="F10" s="1005">
        <v>7.5</v>
      </c>
      <c r="G10" s="1006">
        <v>4.0999999999999996</v>
      </c>
      <c r="H10" s="1007">
        <v>1.7</v>
      </c>
      <c r="I10" s="1007">
        <v>5.3</v>
      </c>
    </row>
    <row r="11" spans="1:9" ht="15.6" x14ac:dyDescent="0.25">
      <c r="A11" s="105">
        <v>14</v>
      </c>
      <c r="B11" s="1003" t="s">
        <v>211</v>
      </c>
      <c r="C11" s="1004">
        <v>1</v>
      </c>
      <c r="D11" s="106">
        <v>1</v>
      </c>
      <c r="E11" s="106" t="s">
        <v>7865</v>
      </c>
      <c r="F11" s="1005">
        <v>6</v>
      </c>
      <c r="G11" s="1006">
        <v>3.1</v>
      </c>
      <c r="H11" s="1007">
        <v>1.4</v>
      </c>
      <c r="I11" s="1007">
        <v>3.7</v>
      </c>
    </row>
    <row r="12" spans="1:9" ht="15.6" x14ac:dyDescent="0.25">
      <c r="A12" s="105">
        <v>15</v>
      </c>
      <c r="B12" s="1008" t="s">
        <v>212</v>
      </c>
      <c r="C12" s="1004">
        <v>1</v>
      </c>
      <c r="D12" s="106">
        <v>1</v>
      </c>
      <c r="E12" s="106" t="s">
        <v>7865</v>
      </c>
      <c r="F12" s="1005">
        <v>7.5</v>
      </c>
      <c r="G12" s="1006">
        <v>3.9</v>
      </c>
      <c r="H12" s="1007">
        <v>1.7</v>
      </c>
      <c r="I12" s="1007">
        <v>4.7</v>
      </c>
    </row>
    <row r="13" spans="1:9" ht="15.6" x14ac:dyDescent="0.25">
      <c r="A13" s="105">
        <v>16</v>
      </c>
      <c r="B13" s="1008" t="s">
        <v>213</v>
      </c>
      <c r="C13" s="1004">
        <v>1</v>
      </c>
      <c r="D13" s="106">
        <v>1</v>
      </c>
      <c r="E13" s="106" t="s">
        <v>7865</v>
      </c>
      <c r="F13" s="1005">
        <v>7.5</v>
      </c>
      <c r="G13" s="1006">
        <v>4.0999999999999996</v>
      </c>
      <c r="H13" s="1007">
        <v>1.9</v>
      </c>
      <c r="I13" s="1007">
        <v>4</v>
      </c>
    </row>
    <row r="14" spans="1:9" x14ac:dyDescent="0.25">
      <c r="A14" s="105">
        <v>17</v>
      </c>
      <c r="B14" s="1003" t="s">
        <v>637</v>
      </c>
      <c r="C14" s="1004">
        <v>1</v>
      </c>
      <c r="D14" s="106">
        <v>2</v>
      </c>
      <c r="E14" s="106" t="s">
        <v>42</v>
      </c>
      <c r="F14" s="1005">
        <v>18.5</v>
      </c>
      <c r="G14" s="1006">
        <v>3.6999999999999997</v>
      </c>
      <c r="H14" s="1007">
        <v>2.5</v>
      </c>
      <c r="I14" s="1007">
        <v>5.9</v>
      </c>
    </row>
    <row r="15" spans="1:9" x14ac:dyDescent="0.25">
      <c r="A15" s="105">
        <v>18</v>
      </c>
      <c r="B15" s="1003" t="s">
        <v>638</v>
      </c>
      <c r="C15" s="1004">
        <v>1</v>
      </c>
      <c r="D15" s="106">
        <v>2</v>
      </c>
      <c r="E15" s="106" t="s">
        <v>42</v>
      </c>
      <c r="F15" s="1005">
        <v>23</v>
      </c>
      <c r="G15" s="1006">
        <v>4.0999999999999996</v>
      </c>
      <c r="H15" s="1007">
        <v>2.1</v>
      </c>
      <c r="I15" s="1007">
        <v>8.1</v>
      </c>
    </row>
    <row r="16" spans="1:9" ht="15.6" x14ac:dyDescent="0.25">
      <c r="A16" s="105">
        <v>19</v>
      </c>
      <c r="B16" s="1003" t="s">
        <v>627</v>
      </c>
      <c r="C16" s="1004">
        <v>1</v>
      </c>
      <c r="D16" s="106">
        <v>1</v>
      </c>
      <c r="E16" s="106" t="s">
        <v>7865</v>
      </c>
      <c r="F16" s="1009">
        <v>1.8</v>
      </c>
      <c r="G16" s="1006">
        <v>3.2</v>
      </c>
      <c r="H16" s="1007">
        <v>0.2</v>
      </c>
      <c r="I16" s="1007">
        <v>7.9</v>
      </c>
    </row>
    <row r="17" spans="1:9" x14ac:dyDescent="0.25">
      <c r="A17" s="107" t="s">
        <v>214</v>
      </c>
      <c r="B17" s="1010"/>
      <c r="C17" s="1011"/>
      <c r="D17" s="108"/>
      <c r="E17" s="108"/>
      <c r="F17" s="109"/>
      <c r="G17" s="1012"/>
      <c r="H17" s="1013"/>
      <c r="I17" s="1013"/>
    </row>
    <row r="18" spans="1:9" ht="26.4" x14ac:dyDescent="0.25">
      <c r="A18" s="105">
        <v>21</v>
      </c>
      <c r="B18" s="1014" t="s">
        <v>628</v>
      </c>
      <c r="C18" s="1015">
        <v>2</v>
      </c>
      <c r="D18" s="1016">
        <v>1</v>
      </c>
      <c r="E18" s="106" t="s">
        <v>7865</v>
      </c>
      <c r="F18" s="1005">
        <v>5</v>
      </c>
      <c r="G18" s="1006">
        <v>5.7</v>
      </c>
      <c r="H18" s="1007">
        <v>3</v>
      </c>
      <c r="I18" s="1007">
        <v>3.5</v>
      </c>
    </row>
    <row r="19" spans="1:9" ht="26.4" x14ac:dyDescent="0.25">
      <c r="A19" s="105">
        <v>22</v>
      </c>
      <c r="B19" s="1014" t="s">
        <v>215</v>
      </c>
      <c r="C19" s="1015">
        <v>2</v>
      </c>
      <c r="D19" s="1016">
        <v>1</v>
      </c>
      <c r="E19" s="106" t="s">
        <v>7865</v>
      </c>
      <c r="F19" s="1005">
        <v>5</v>
      </c>
      <c r="G19" s="1006">
        <v>5.5</v>
      </c>
      <c r="H19" s="1007">
        <v>2.6</v>
      </c>
      <c r="I19" s="1007">
        <v>3.4</v>
      </c>
    </row>
    <row r="20" spans="1:9" ht="26.4" x14ac:dyDescent="0.25">
      <c r="A20" s="105">
        <v>23</v>
      </c>
      <c r="B20" s="1014" t="s">
        <v>629</v>
      </c>
      <c r="C20" s="1015">
        <v>2</v>
      </c>
      <c r="D20" s="1016">
        <v>1</v>
      </c>
      <c r="E20" s="106" t="s">
        <v>7866</v>
      </c>
      <c r="F20" s="1005">
        <v>5</v>
      </c>
      <c r="G20" s="1006">
        <v>5</v>
      </c>
      <c r="H20" s="1007">
        <v>2.4</v>
      </c>
      <c r="I20" s="1007">
        <v>3.3</v>
      </c>
    </row>
    <row r="21" spans="1:9" ht="15.6" x14ac:dyDescent="0.25">
      <c r="A21" s="105">
        <v>24</v>
      </c>
      <c r="B21" s="1014" t="s">
        <v>630</v>
      </c>
      <c r="C21" s="1015">
        <v>2</v>
      </c>
      <c r="D21" s="1016">
        <v>1</v>
      </c>
      <c r="E21" s="106" t="s">
        <v>7866</v>
      </c>
      <c r="F21" s="1005">
        <v>5</v>
      </c>
      <c r="G21" s="1006">
        <v>4.5999999999999996</v>
      </c>
      <c r="H21" s="1007">
        <v>2.5</v>
      </c>
      <c r="I21" s="1007">
        <v>2.9</v>
      </c>
    </row>
    <row r="22" spans="1:9" ht="28.8" x14ac:dyDescent="0.25">
      <c r="A22" s="105">
        <v>25</v>
      </c>
      <c r="B22" s="1014" t="s">
        <v>7867</v>
      </c>
      <c r="C22" s="1015">
        <v>2</v>
      </c>
      <c r="D22" s="1016">
        <v>1</v>
      </c>
      <c r="E22" s="106" t="s">
        <v>7866</v>
      </c>
      <c r="F22" s="1005">
        <v>5</v>
      </c>
      <c r="G22" s="1006">
        <v>4.0999999999999996</v>
      </c>
      <c r="H22" s="1007">
        <v>2.2000000000000002</v>
      </c>
      <c r="I22" s="1007">
        <v>2.7</v>
      </c>
    </row>
    <row r="23" spans="1:9" ht="26.4" x14ac:dyDescent="0.25">
      <c r="A23" s="105">
        <v>26</v>
      </c>
      <c r="B23" s="1014" t="s">
        <v>631</v>
      </c>
      <c r="C23" s="1015">
        <v>2</v>
      </c>
      <c r="D23" s="1016">
        <v>1</v>
      </c>
      <c r="E23" s="106" t="s">
        <v>7866</v>
      </c>
      <c r="F23" s="1005">
        <v>5</v>
      </c>
      <c r="G23" s="1006">
        <v>3.9</v>
      </c>
      <c r="H23" s="1007">
        <v>2.1</v>
      </c>
      <c r="I23" s="1007">
        <v>2.7</v>
      </c>
    </row>
    <row r="24" spans="1:9" x14ac:dyDescent="0.25">
      <c r="A24" s="105">
        <v>27</v>
      </c>
      <c r="B24" s="1003" t="s">
        <v>632</v>
      </c>
      <c r="C24" s="1004">
        <v>2</v>
      </c>
      <c r="D24" s="106">
        <v>2</v>
      </c>
      <c r="E24" s="106" t="s">
        <v>42</v>
      </c>
      <c r="F24" s="1005">
        <v>21</v>
      </c>
      <c r="G24" s="1006">
        <v>6</v>
      </c>
      <c r="H24" s="1007">
        <v>4.3</v>
      </c>
      <c r="I24" s="1007">
        <v>6.2</v>
      </c>
    </row>
    <row r="25" spans="1:9" x14ac:dyDescent="0.25">
      <c r="A25" s="105">
        <v>29</v>
      </c>
      <c r="B25" s="1003" t="s">
        <v>633</v>
      </c>
      <c r="C25" s="1004">
        <v>2</v>
      </c>
      <c r="D25" s="106">
        <v>2</v>
      </c>
      <c r="E25" s="106" t="s">
        <v>42</v>
      </c>
      <c r="F25" s="1005">
        <v>25</v>
      </c>
      <c r="G25" s="1006">
        <v>5.2</v>
      </c>
      <c r="H25" s="1007">
        <v>2.9</v>
      </c>
      <c r="I25" s="1007">
        <v>7</v>
      </c>
    </row>
    <row r="26" spans="1:9" ht="15.6" x14ac:dyDescent="0.25">
      <c r="A26" s="105">
        <v>28</v>
      </c>
      <c r="B26" s="1003" t="s">
        <v>634</v>
      </c>
      <c r="C26" s="1004">
        <v>2</v>
      </c>
      <c r="D26" s="106">
        <v>1</v>
      </c>
      <c r="E26" s="106" t="s">
        <v>7865</v>
      </c>
      <c r="F26" s="1009">
        <v>1.8</v>
      </c>
      <c r="G26" s="1006">
        <v>3.3</v>
      </c>
      <c r="H26" s="1007">
        <v>0.2</v>
      </c>
      <c r="I26" s="1007">
        <v>3.1</v>
      </c>
    </row>
    <row r="27" spans="1:9" x14ac:dyDescent="0.25">
      <c r="A27" s="110" t="s">
        <v>86</v>
      </c>
      <c r="B27" s="1017"/>
      <c r="C27" s="1018"/>
      <c r="D27" s="1019"/>
      <c r="E27" s="108"/>
      <c r="F27" s="109"/>
      <c r="G27" s="1012"/>
      <c r="H27" s="1013"/>
      <c r="I27" s="1013"/>
    </row>
    <row r="28" spans="1:9" x14ac:dyDescent="0.25">
      <c r="A28" s="105">
        <v>31</v>
      </c>
      <c r="B28" s="1008" t="s">
        <v>216</v>
      </c>
      <c r="C28" s="1004">
        <v>3</v>
      </c>
      <c r="D28" s="106">
        <v>2</v>
      </c>
      <c r="E28" s="106" t="s">
        <v>42</v>
      </c>
      <c r="F28" s="1005">
        <v>50</v>
      </c>
      <c r="G28" s="1006">
        <v>20.3</v>
      </c>
      <c r="H28" s="1007">
        <v>16</v>
      </c>
      <c r="I28" s="1007">
        <v>18</v>
      </c>
    </row>
    <row r="29" spans="1:9" x14ac:dyDescent="0.25">
      <c r="A29" s="105">
        <v>32</v>
      </c>
      <c r="B29" s="1008" t="s">
        <v>217</v>
      </c>
      <c r="C29" s="1004">
        <v>3</v>
      </c>
      <c r="D29" s="106">
        <v>2</v>
      </c>
      <c r="E29" s="106" t="s">
        <v>42</v>
      </c>
      <c r="F29" s="1005">
        <v>50</v>
      </c>
      <c r="G29" s="1006">
        <v>22.1</v>
      </c>
      <c r="H29" s="1007">
        <v>17.5</v>
      </c>
      <c r="I29" s="1007">
        <v>18.899999999999999</v>
      </c>
    </row>
    <row r="30" spans="1:9" x14ac:dyDescent="0.25">
      <c r="A30" s="105">
        <v>33</v>
      </c>
      <c r="B30" s="1008" t="s">
        <v>218</v>
      </c>
      <c r="C30" s="1004">
        <v>3</v>
      </c>
      <c r="D30" s="106">
        <v>2</v>
      </c>
      <c r="E30" s="106" t="s">
        <v>42</v>
      </c>
      <c r="F30" s="1005">
        <v>50</v>
      </c>
      <c r="G30" s="1006">
        <v>20.6</v>
      </c>
      <c r="H30" s="1007">
        <v>19</v>
      </c>
      <c r="I30" s="1007">
        <v>13.6</v>
      </c>
    </row>
    <row r="31" spans="1:9" x14ac:dyDescent="0.25">
      <c r="A31" s="105">
        <v>34</v>
      </c>
      <c r="B31" s="1008" t="s">
        <v>219</v>
      </c>
      <c r="C31" s="1015">
        <v>3</v>
      </c>
      <c r="D31" s="1016">
        <v>2</v>
      </c>
      <c r="E31" s="106" t="s">
        <v>42</v>
      </c>
      <c r="F31" s="1005">
        <v>60</v>
      </c>
      <c r="G31" s="1006">
        <v>19.7</v>
      </c>
      <c r="H31" s="1007">
        <v>15.7</v>
      </c>
      <c r="I31" s="1007">
        <v>19.7</v>
      </c>
    </row>
    <row r="32" spans="1:9" x14ac:dyDescent="0.25">
      <c r="A32" s="105">
        <v>35</v>
      </c>
      <c r="B32" s="1003" t="s">
        <v>635</v>
      </c>
      <c r="C32" s="1015">
        <v>3</v>
      </c>
      <c r="D32" s="1016">
        <v>2</v>
      </c>
      <c r="E32" s="106" t="s">
        <v>42</v>
      </c>
      <c r="F32" s="1005">
        <v>30</v>
      </c>
      <c r="G32" s="1006">
        <v>6.5</v>
      </c>
      <c r="H32" s="1007">
        <v>6</v>
      </c>
      <c r="I32" s="1007">
        <v>6.2</v>
      </c>
    </row>
    <row r="33" spans="1:9" x14ac:dyDescent="0.25">
      <c r="A33" s="105">
        <v>36</v>
      </c>
      <c r="B33" s="1008" t="s">
        <v>220</v>
      </c>
      <c r="C33" s="1015">
        <v>3</v>
      </c>
      <c r="D33" s="1016">
        <v>2</v>
      </c>
      <c r="E33" s="106" t="s">
        <v>42</v>
      </c>
      <c r="F33" s="1005">
        <v>30</v>
      </c>
      <c r="G33" s="1006">
        <v>7.8</v>
      </c>
      <c r="H33" s="1007">
        <v>8.1</v>
      </c>
      <c r="I33" s="1007">
        <v>6.9</v>
      </c>
    </row>
    <row r="34" spans="1:9" x14ac:dyDescent="0.25">
      <c r="A34" s="107" t="s">
        <v>221</v>
      </c>
      <c r="B34" s="1010"/>
      <c r="C34" s="1011"/>
      <c r="D34" s="108"/>
      <c r="E34" s="108"/>
      <c r="F34" s="109"/>
      <c r="G34" s="1012"/>
      <c r="H34" s="1013"/>
      <c r="I34" s="1013"/>
    </row>
    <row r="35" spans="1:9" x14ac:dyDescent="0.25">
      <c r="A35" s="105">
        <v>41</v>
      </c>
      <c r="B35" s="1008" t="s">
        <v>222</v>
      </c>
      <c r="C35" s="1004">
        <v>4</v>
      </c>
      <c r="D35" s="106">
        <v>2</v>
      </c>
      <c r="E35" s="106" t="s">
        <v>42</v>
      </c>
      <c r="F35" s="1005">
        <v>30</v>
      </c>
      <c r="G35" s="1006">
        <v>3.6</v>
      </c>
      <c r="H35" s="1007">
        <v>2.7</v>
      </c>
      <c r="I35" s="1007">
        <v>9.3000000000000007</v>
      </c>
    </row>
    <row r="36" spans="1:9" ht="26.4" x14ac:dyDescent="0.25">
      <c r="A36" s="105">
        <v>42</v>
      </c>
      <c r="B36" s="1003" t="s">
        <v>636</v>
      </c>
      <c r="C36" s="1004">
        <v>4</v>
      </c>
      <c r="D36" s="106">
        <v>2</v>
      </c>
      <c r="E36" s="106" t="s">
        <v>42</v>
      </c>
      <c r="F36" s="1005">
        <v>30</v>
      </c>
      <c r="G36" s="1006">
        <v>5.9</v>
      </c>
      <c r="H36" s="1007">
        <v>3.1</v>
      </c>
      <c r="I36" s="1007">
        <v>11.3</v>
      </c>
    </row>
    <row r="37" spans="1:9" x14ac:dyDescent="0.25">
      <c r="A37" s="105">
        <v>43</v>
      </c>
      <c r="B37" s="1008" t="s">
        <v>223</v>
      </c>
      <c r="C37" s="1004">
        <v>4</v>
      </c>
      <c r="D37" s="106">
        <v>2</v>
      </c>
      <c r="E37" s="106" t="s">
        <v>42</v>
      </c>
      <c r="F37" s="1005">
        <v>30</v>
      </c>
      <c r="G37" s="1006">
        <v>5.6</v>
      </c>
      <c r="H37" s="1020">
        <v>5.7</v>
      </c>
      <c r="I37" s="1020">
        <v>9.1999999999999993</v>
      </c>
    </row>
    <row r="38" spans="1:9" x14ac:dyDescent="0.25">
      <c r="A38" s="89" t="s">
        <v>648</v>
      </c>
    </row>
    <row r="39" spans="1:9" x14ac:dyDescent="0.25">
      <c r="B39" s="521" t="s">
        <v>647</v>
      </c>
      <c r="C39" s="522">
        <v>6</v>
      </c>
      <c r="D39" s="523">
        <v>2</v>
      </c>
      <c r="E39" s="523" t="s">
        <v>42</v>
      </c>
      <c r="F39" s="524">
        <v>27</v>
      </c>
      <c r="G39" s="525">
        <v>6</v>
      </c>
      <c r="H39" s="526">
        <v>1.3</v>
      </c>
      <c r="I39" s="526">
        <v>5.9</v>
      </c>
    </row>
    <row r="40" spans="1:9" x14ac:dyDescent="0.25">
      <c r="H40" s="111"/>
    </row>
    <row r="41" spans="1:9" x14ac:dyDescent="0.25">
      <c r="H41" s="111"/>
    </row>
    <row r="42" spans="1:9" x14ac:dyDescent="0.25">
      <c r="H42" s="111"/>
    </row>
    <row r="43" spans="1:9" x14ac:dyDescent="0.25">
      <c r="H43" s="111"/>
    </row>
    <row r="44" spans="1:9" x14ac:dyDescent="0.25">
      <c r="H44" s="111"/>
    </row>
    <row r="45" spans="1:9" x14ac:dyDescent="0.25">
      <c r="H45" s="111"/>
    </row>
    <row r="46" spans="1:9" x14ac:dyDescent="0.25">
      <c r="H46" s="111"/>
    </row>
    <row r="47" spans="1:9" x14ac:dyDescent="0.25">
      <c r="H47" s="111"/>
    </row>
    <row r="48" spans="1:9" x14ac:dyDescent="0.25">
      <c r="H48" s="111"/>
    </row>
    <row r="49" spans="8:8" x14ac:dyDescent="0.25">
      <c r="H49" s="111"/>
    </row>
    <row r="50" spans="8:8" x14ac:dyDescent="0.25">
      <c r="H50" s="111"/>
    </row>
    <row r="51" spans="8:8" x14ac:dyDescent="0.25">
      <c r="H51" s="111"/>
    </row>
    <row r="52" spans="8:8" x14ac:dyDescent="0.25">
      <c r="H52" s="111"/>
    </row>
    <row r="53" spans="8:8" x14ac:dyDescent="0.25">
      <c r="H53" s="111"/>
    </row>
    <row r="54" spans="8:8" x14ac:dyDescent="0.25">
      <c r="H54" s="111"/>
    </row>
    <row r="55" spans="8:8" x14ac:dyDescent="0.25">
      <c r="H55" s="111"/>
    </row>
    <row r="56" spans="8:8" x14ac:dyDescent="0.25">
      <c r="H56" s="111"/>
    </row>
    <row r="57" spans="8:8" x14ac:dyDescent="0.25">
      <c r="H57" s="111"/>
    </row>
    <row r="58" spans="8:8" x14ac:dyDescent="0.25">
      <c r="H58" s="111"/>
    </row>
    <row r="59" spans="8:8" x14ac:dyDescent="0.25">
      <c r="H59" s="111"/>
    </row>
    <row r="60" spans="8:8" x14ac:dyDescent="0.25">
      <c r="H60" s="111"/>
    </row>
    <row r="61" spans="8:8" x14ac:dyDescent="0.25">
      <c r="H61" s="111"/>
    </row>
    <row r="62" spans="8:8" x14ac:dyDescent="0.25">
      <c r="H62" s="111"/>
    </row>
    <row r="63" spans="8:8" x14ac:dyDescent="0.25">
      <c r="H63" s="111"/>
    </row>
    <row r="64" spans="8:8" x14ac:dyDescent="0.25">
      <c r="H64" s="111"/>
    </row>
    <row r="65" spans="8:8" x14ac:dyDescent="0.25">
      <c r="H65" s="111"/>
    </row>
    <row r="66" spans="8:8" x14ac:dyDescent="0.25">
      <c r="H66" s="111"/>
    </row>
    <row r="67" spans="8:8" x14ac:dyDescent="0.25">
      <c r="H67" s="111"/>
    </row>
    <row r="68" spans="8:8" x14ac:dyDescent="0.25">
      <c r="H68" s="111"/>
    </row>
    <row r="69" spans="8:8" x14ac:dyDescent="0.25">
      <c r="H69" s="111"/>
    </row>
    <row r="70" spans="8:8" x14ac:dyDescent="0.25">
      <c r="H70" s="111"/>
    </row>
    <row r="71" spans="8:8" x14ac:dyDescent="0.25">
      <c r="H71" s="111"/>
    </row>
    <row r="72" spans="8:8" x14ac:dyDescent="0.25">
      <c r="H72" s="111"/>
    </row>
    <row r="73" spans="8:8" x14ac:dyDescent="0.25">
      <c r="H73" s="111"/>
    </row>
    <row r="74" spans="8:8" x14ac:dyDescent="0.25">
      <c r="H74" s="87"/>
    </row>
    <row r="75" spans="8:8" x14ac:dyDescent="0.25">
      <c r="H75" s="111"/>
    </row>
    <row r="76" spans="8:8" x14ac:dyDescent="0.25">
      <c r="H76" s="111"/>
    </row>
    <row r="77" spans="8:8" x14ac:dyDescent="0.25">
      <c r="H77" s="111"/>
    </row>
    <row r="78" spans="8:8" x14ac:dyDescent="0.25">
      <c r="H78" s="111"/>
    </row>
    <row r="79" spans="8:8" x14ac:dyDescent="0.25">
      <c r="H79" s="111"/>
    </row>
    <row r="80" spans="8:8" x14ac:dyDescent="0.25">
      <c r="H80" s="111"/>
    </row>
    <row r="81" spans="8:8" x14ac:dyDescent="0.25">
      <c r="H81" s="111"/>
    </row>
    <row r="82" spans="8:8" x14ac:dyDescent="0.25">
      <c r="H82" s="111"/>
    </row>
    <row r="83" spans="8:8" x14ac:dyDescent="0.25">
      <c r="H83" s="111"/>
    </row>
    <row r="84" spans="8:8" x14ac:dyDescent="0.25">
      <c r="H84" s="87"/>
    </row>
    <row r="85" spans="8:8" x14ac:dyDescent="0.25">
      <c r="H85" s="111"/>
    </row>
    <row r="86" spans="8:8" x14ac:dyDescent="0.25">
      <c r="H86" s="111"/>
    </row>
    <row r="87" spans="8:8" x14ac:dyDescent="0.25">
      <c r="H87" s="111"/>
    </row>
    <row r="88" spans="8:8" x14ac:dyDescent="0.25">
      <c r="H88" s="111"/>
    </row>
    <row r="89" spans="8:8" x14ac:dyDescent="0.25">
      <c r="H89" s="111"/>
    </row>
    <row r="90" spans="8:8" x14ac:dyDescent="0.25">
      <c r="H90" s="111"/>
    </row>
    <row r="91" spans="8:8" x14ac:dyDescent="0.25">
      <c r="H91" s="111"/>
    </row>
    <row r="92" spans="8:8" x14ac:dyDescent="0.25">
      <c r="H92" s="111"/>
    </row>
    <row r="93" spans="8:8" x14ac:dyDescent="0.25">
      <c r="H93" s="111"/>
    </row>
    <row r="94" spans="8:8" x14ac:dyDescent="0.25">
      <c r="H94" s="111"/>
    </row>
    <row r="95" spans="8:8" x14ac:dyDescent="0.25">
      <c r="H95" s="111"/>
    </row>
    <row r="96" spans="8:8" x14ac:dyDescent="0.25">
      <c r="H96" s="111"/>
    </row>
    <row r="97" spans="8:8" x14ac:dyDescent="0.25">
      <c r="H97" s="111"/>
    </row>
    <row r="98" spans="8:8" x14ac:dyDescent="0.25">
      <c r="H98" s="111"/>
    </row>
    <row r="99" spans="8:8" x14ac:dyDescent="0.25">
      <c r="H99" s="111"/>
    </row>
    <row r="100" spans="8:8" x14ac:dyDescent="0.25">
      <c r="H100" s="111"/>
    </row>
    <row r="101" spans="8:8" x14ac:dyDescent="0.25">
      <c r="H101" s="111"/>
    </row>
    <row r="102" spans="8:8" x14ac:dyDescent="0.25">
      <c r="H102" s="111"/>
    </row>
    <row r="103" spans="8:8" x14ac:dyDescent="0.25">
      <c r="H103" s="111"/>
    </row>
    <row r="104" spans="8:8" x14ac:dyDescent="0.25">
      <c r="H104" s="111"/>
    </row>
    <row r="105" spans="8:8" x14ac:dyDescent="0.25">
      <c r="H105" s="111"/>
    </row>
    <row r="106" spans="8:8" x14ac:dyDescent="0.25">
      <c r="H106" s="111"/>
    </row>
    <row r="107" spans="8:8" x14ac:dyDescent="0.25">
      <c r="H107" s="111"/>
    </row>
    <row r="108" spans="8:8" x14ac:dyDescent="0.25">
      <c r="H108" s="111"/>
    </row>
    <row r="109" spans="8:8" x14ac:dyDescent="0.25">
      <c r="H109" s="111"/>
    </row>
    <row r="110" spans="8:8" x14ac:dyDescent="0.25">
      <c r="H110" s="111"/>
    </row>
    <row r="111" spans="8:8" x14ac:dyDescent="0.25">
      <c r="H111" s="111"/>
    </row>
    <row r="112" spans="8:8" x14ac:dyDescent="0.25">
      <c r="H112" s="111"/>
    </row>
    <row r="113" spans="8:8" x14ac:dyDescent="0.25">
      <c r="H113" s="111"/>
    </row>
    <row r="114" spans="8:8" x14ac:dyDescent="0.25">
      <c r="H114" s="111"/>
    </row>
  </sheetData>
  <customSheetViews>
    <customSheetView guid="{DDA6E6AA-9473-49A0-A3A2-76E4959B79AF}" state="hidden">
      <selection activeCell="P14" sqref="P14"/>
      <pageMargins left="0.7" right="0.7" top="0.78740157499999996" bottom="0.78740157499999996" header="0.3" footer="0.3"/>
    </customSheetView>
  </customSheetViews>
  <mergeCells count="2">
    <mergeCell ref="E5:E7"/>
    <mergeCell ref="A6:B6"/>
  </mergeCells>
  <pageMargins left="0.7" right="0.7" top="0.78740157499999996" bottom="0.78740157499999996"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2:B4"/>
  <sheetViews>
    <sheetView workbookViewId="0"/>
  </sheetViews>
  <sheetFormatPr baseColWidth="10" defaultRowHeight="13.2" x14ac:dyDescent="0.25"/>
  <sheetData>
    <row r="2" spans="1:2" x14ac:dyDescent="0.25">
      <c r="A2">
        <v>1</v>
      </c>
      <c r="B2" s="29" t="s">
        <v>39</v>
      </c>
    </row>
    <row r="3" spans="1:2" x14ac:dyDescent="0.25">
      <c r="A3">
        <v>2</v>
      </c>
      <c r="B3" s="29" t="s">
        <v>40</v>
      </c>
    </row>
    <row r="4" spans="1:2" x14ac:dyDescent="0.25">
      <c r="A4">
        <v>3</v>
      </c>
      <c r="B4" s="29" t="s">
        <v>41</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99"/>
  <sheetViews>
    <sheetView showGridLines="0" zoomScaleNormal="100" zoomScaleSheetLayoutView="100" workbookViewId="0"/>
  </sheetViews>
  <sheetFormatPr baseColWidth="10" defaultColWidth="11.44140625" defaultRowHeight="13.2" x14ac:dyDescent="0.25"/>
  <cols>
    <col min="1" max="1" width="4.33203125" style="30" customWidth="1"/>
    <col min="2" max="2" width="42.88671875" style="30" customWidth="1"/>
    <col min="3" max="3" width="2.33203125" style="30" customWidth="1"/>
    <col min="4" max="4" width="6.88671875" style="30" customWidth="1"/>
    <col min="5" max="5" width="44.5546875" style="30" customWidth="1"/>
    <col min="6" max="6" width="2.44140625" style="30" customWidth="1"/>
    <col min="7" max="16384" width="11.44140625" style="30"/>
  </cols>
  <sheetData>
    <row r="1" spans="1:6" ht="15.9" customHeight="1" x14ac:dyDescent="0.35">
      <c r="A1" s="31" t="s">
        <v>537</v>
      </c>
      <c r="B1" s="32"/>
      <c r="C1" s="32"/>
      <c r="D1" s="33"/>
      <c r="E1" s="32"/>
      <c r="F1" s="32"/>
    </row>
    <row r="2" spans="1:6" ht="6" customHeight="1" x14ac:dyDescent="0.3">
      <c r="A2" s="34"/>
      <c r="B2" s="35"/>
      <c r="C2" s="35"/>
      <c r="D2" s="34"/>
      <c r="E2" s="35"/>
      <c r="F2" s="35"/>
    </row>
    <row r="3" spans="1:6" ht="15.9" customHeight="1" x14ac:dyDescent="0.3">
      <c r="A3" s="1682" t="s">
        <v>88</v>
      </c>
      <c r="B3" s="1683"/>
      <c r="C3" s="36"/>
      <c r="D3" s="37"/>
      <c r="E3" s="38" t="s">
        <v>538</v>
      </c>
      <c r="F3" s="39"/>
    </row>
    <row r="4" spans="1:6" ht="14.1" customHeight="1" x14ac:dyDescent="0.3">
      <c r="A4" s="40" t="s">
        <v>89</v>
      </c>
      <c r="B4" s="41" t="s">
        <v>90</v>
      </c>
      <c r="C4" s="42"/>
      <c r="D4" s="43"/>
      <c r="E4" s="44" t="s">
        <v>91</v>
      </c>
      <c r="F4" s="45"/>
    </row>
    <row r="5" spans="1:6" ht="5.0999999999999996" customHeight="1" x14ac:dyDescent="0.3">
      <c r="A5" s="42"/>
      <c r="B5" s="45"/>
      <c r="C5" s="45"/>
      <c r="D5" s="46"/>
      <c r="E5" s="47"/>
      <c r="F5" s="45"/>
    </row>
    <row r="6" spans="1:6" ht="12.9" customHeight="1" x14ac:dyDescent="0.3">
      <c r="C6" s="50"/>
      <c r="D6" s="51"/>
      <c r="E6" s="57" t="s">
        <v>94</v>
      </c>
      <c r="F6" s="45"/>
    </row>
    <row r="7" spans="1:6" ht="12.9" customHeight="1" x14ac:dyDescent="0.3">
      <c r="A7" s="48" t="s">
        <v>92</v>
      </c>
      <c r="B7" s="49" t="s">
        <v>93</v>
      </c>
      <c r="C7" s="50"/>
      <c r="D7" s="51"/>
      <c r="E7" s="60" t="s">
        <v>7652</v>
      </c>
      <c r="F7" s="45"/>
    </row>
    <row r="8" spans="1:6" ht="12.9" customHeight="1" x14ac:dyDescent="0.3">
      <c r="A8" s="52"/>
      <c r="B8" s="53"/>
      <c r="C8" s="50"/>
      <c r="D8" s="51"/>
      <c r="E8" s="63" t="s">
        <v>7653</v>
      </c>
      <c r="F8" s="45"/>
    </row>
    <row r="9" spans="1:6" ht="5.0999999999999996" customHeight="1" x14ac:dyDescent="0.3">
      <c r="A9" s="52"/>
      <c r="B9" s="53"/>
      <c r="C9" s="50"/>
      <c r="D9" s="51"/>
      <c r="E9" s="54"/>
      <c r="F9" s="45"/>
    </row>
    <row r="10" spans="1:6" ht="12.9" customHeight="1" x14ac:dyDescent="0.3">
      <c r="A10" s="55" t="s">
        <v>95</v>
      </c>
      <c r="B10" s="56" t="s">
        <v>96</v>
      </c>
      <c r="C10" s="45"/>
      <c r="D10" s="51"/>
      <c r="E10" s="57" t="s">
        <v>96</v>
      </c>
      <c r="F10" s="45"/>
    </row>
    <row r="11" spans="1:6" ht="12.9" customHeight="1" x14ac:dyDescent="0.3">
      <c r="A11" s="58" t="s">
        <v>97</v>
      </c>
      <c r="B11" s="59" t="s">
        <v>98</v>
      </c>
      <c r="C11" s="45"/>
      <c r="D11" s="51"/>
      <c r="E11" s="60" t="s">
        <v>99</v>
      </c>
      <c r="F11" s="45"/>
    </row>
    <row r="12" spans="1:6" ht="12.9" customHeight="1" x14ac:dyDescent="0.3">
      <c r="A12" s="61" t="s">
        <v>100</v>
      </c>
      <c r="B12" s="62" t="s">
        <v>101</v>
      </c>
      <c r="C12" s="45"/>
      <c r="D12" s="51"/>
      <c r="E12" s="63" t="s">
        <v>102</v>
      </c>
      <c r="F12" s="45"/>
    </row>
    <row r="13" spans="1:6" ht="5.0999999999999996" customHeight="1" x14ac:dyDescent="0.3">
      <c r="A13" s="52"/>
      <c r="B13" s="47"/>
      <c r="C13" s="45"/>
      <c r="D13" s="51"/>
      <c r="E13" s="54"/>
      <c r="F13" s="45"/>
    </row>
    <row r="14" spans="1:6" ht="12.9" customHeight="1" x14ac:dyDescent="0.3">
      <c r="A14" s="55" t="s">
        <v>103</v>
      </c>
      <c r="B14" s="56" t="s">
        <v>104</v>
      </c>
      <c r="C14" s="45"/>
      <c r="D14" s="51"/>
      <c r="E14" s="57" t="s">
        <v>105</v>
      </c>
      <c r="F14" s="45"/>
    </row>
    <row r="15" spans="1:6" ht="12.9" customHeight="1" x14ac:dyDescent="0.3">
      <c r="A15" s="58" t="s">
        <v>106</v>
      </c>
      <c r="B15" s="59" t="s">
        <v>107</v>
      </c>
      <c r="C15" s="45"/>
      <c r="D15" s="51"/>
      <c r="E15" s="60" t="s">
        <v>107</v>
      </c>
      <c r="F15" s="45"/>
    </row>
    <row r="16" spans="1:6" ht="12.9" customHeight="1" x14ac:dyDescent="0.3">
      <c r="A16" s="61" t="s">
        <v>108</v>
      </c>
      <c r="B16" s="62" t="s">
        <v>109</v>
      </c>
      <c r="C16" s="45"/>
      <c r="D16" s="51"/>
      <c r="E16" s="63" t="s">
        <v>109</v>
      </c>
      <c r="F16" s="45"/>
    </row>
    <row r="17" spans="1:6" ht="5.0999999999999996" customHeight="1" x14ac:dyDescent="0.3">
      <c r="A17" s="52"/>
      <c r="B17" s="47"/>
      <c r="C17" s="45"/>
      <c r="D17" s="51"/>
      <c r="E17" s="54"/>
      <c r="F17" s="45"/>
    </row>
    <row r="18" spans="1:6" ht="12.9" customHeight="1" x14ac:dyDescent="0.3">
      <c r="A18" s="1669">
        <v>18</v>
      </c>
      <c r="B18" s="1667" t="s">
        <v>110</v>
      </c>
      <c r="C18" s="45"/>
      <c r="D18" s="51"/>
      <c r="E18" s="57" t="s">
        <v>657</v>
      </c>
      <c r="F18" s="45"/>
    </row>
    <row r="19" spans="1:6" ht="12.9" customHeight="1" x14ac:dyDescent="0.3">
      <c r="A19" s="1670"/>
      <c r="B19" s="1684"/>
      <c r="C19" s="45"/>
      <c r="D19" s="51"/>
      <c r="E19" s="63" t="s">
        <v>111</v>
      </c>
      <c r="F19" s="45"/>
    </row>
    <row r="20" spans="1:6" ht="5.0999999999999996" customHeight="1" x14ac:dyDescent="0.3">
      <c r="A20" s="52"/>
      <c r="B20" s="47"/>
      <c r="C20" s="45"/>
      <c r="D20" s="51"/>
      <c r="E20" s="54"/>
      <c r="F20" s="45"/>
    </row>
    <row r="21" spans="1:6" ht="12.9" customHeight="1" x14ac:dyDescent="0.3">
      <c r="A21" s="64" t="s">
        <v>112</v>
      </c>
      <c r="B21" s="65" t="s">
        <v>113</v>
      </c>
      <c r="C21" s="45"/>
      <c r="D21" s="51"/>
      <c r="E21" s="1673" t="s">
        <v>114</v>
      </c>
      <c r="F21" s="45"/>
    </row>
    <row r="22" spans="1:6" ht="12.9" customHeight="1" x14ac:dyDescent="0.3">
      <c r="A22" s="58" t="s">
        <v>115</v>
      </c>
      <c r="B22" s="59" t="s">
        <v>116</v>
      </c>
      <c r="C22" s="45"/>
      <c r="D22" s="51"/>
      <c r="E22" s="1674"/>
      <c r="F22" s="45"/>
    </row>
    <row r="23" spans="1:6" ht="12.9" customHeight="1" x14ac:dyDescent="0.3">
      <c r="A23" s="58" t="s">
        <v>117</v>
      </c>
      <c r="B23" s="59" t="s">
        <v>118</v>
      </c>
      <c r="C23" s="45"/>
      <c r="D23" s="51"/>
      <c r="E23" s="66" t="s">
        <v>119</v>
      </c>
      <c r="F23" s="45"/>
    </row>
    <row r="24" spans="1:6" ht="12" customHeight="1" x14ac:dyDescent="0.3">
      <c r="A24" s="61" t="s">
        <v>120</v>
      </c>
      <c r="B24" s="62" t="s">
        <v>121</v>
      </c>
      <c r="C24" s="45"/>
      <c r="D24" s="51"/>
      <c r="E24" s="67"/>
      <c r="F24" s="45"/>
    </row>
    <row r="25" spans="1:6" ht="5.0999999999999996" customHeight="1" x14ac:dyDescent="0.3">
      <c r="A25" s="52"/>
      <c r="B25" s="47"/>
      <c r="C25" s="45"/>
      <c r="D25" s="51"/>
      <c r="E25" s="47"/>
      <c r="F25" s="45"/>
    </row>
    <row r="26" spans="1:6" ht="12.9" customHeight="1" x14ac:dyDescent="0.3">
      <c r="A26" s="55" t="s">
        <v>122</v>
      </c>
      <c r="B26" s="56" t="s">
        <v>123</v>
      </c>
      <c r="C26" s="45"/>
      <c r="D26" s="51"/>
      <c r="E26" s="1675" t="s">
        <v>124</v>
      </c>
      <c r="F26" s="45"/>
    </row>
    <row r="27" spans="1:6" ht="12.9" customHeight="1" x14ac:dyDescent="0.3">
      <c r="A27" s="61" t="s">
        <v>125</v>
      </c>
      <c r="B27" s="62" t="s">
        <v>126</v>
      </c>
      <c r="C27" s="45"/>
      <c r="D27" s="51"/>
      <c r="E27" s="1676"/>
      <c r="F27" s="45"/>
    </row>
    <row r="28" spans="1:6" ht="5.0999999999999996" customHeight="1" x14ac:dyDescent="0.3">
      <c r="A28" s="52"/>
      <c r="B28" s="47"/>
      <c r="C28" s="45"/>
      <c r="D28" s="51"/>
      <c r="E28" s="47"/>
      <c r="F28" s="45"/>
    </row>
    <row r="29" spans="1:6" ht="12.9" customHeight="1" x14ac:dyDescent="0.3">
      <c r="A29" s="55" t="s">
        <v>127</v>
      </c>
      <c r="B29" s="56" t="s">
        <v>128</v>
      </c>
      <c r="C29" s="45"/>
      <c r="D29" s="51"/>
      <c r="E29" s="68" t="s">
        <v>129</v>
      </c>
      <c r="F29" s="45"/>
    </row>
    <row r="30" spans="1:6" ht="12.9" customHeight="1" x14ac:dyDescent="0.3">
      <c r="A30" s="61" t="s">
        <v>130</v>
      </c>
      <c r="B30" s="62" t="s">
        <v>131</v>
      </c>
      <c r="C30" s="45"/>
      <c r="D30" s="51"/>
      <c r="E30" s="67" t="s">
        <v>132</v>
      </c>
      <c r="F30" s="45"/>
    </row>
    <row r="31" spans="1:6" ht="8.1" customHeight="1" x14ac:dyDescent="0.3">
      <c r="A31" s="52"/>
      <c r="B31" s="47"/>
      <c r="C31" s="45"/>
      <c r="D31" s="51"/>
      <c r="E31" s="47"/>
      <c r="F31" s="45"/>
    </row>
    <row r="32" spans="1:6" ht="12.9" customHeight="1" x14ac:dyDescent="0.3">
      <c r="A32" s="1669" t="s">
        <v>133</v>
      </c>
      <c r="B32" s="1667" t="s">
        <v>134</v>
      </c>
      <c r="C32" s="45"/>
      <c r="D32" s="51"/>
      <c r="E32" s="69" t="s">
        <v>135</v>
      </c>
      <c r="F32" s="45"/>
    </row>
    <row r="33" spans="1:6" ht="12.9" customHeight="1" x14ac:dyDescent="0.3">
      <c r="A33" s="1677"/>
      <c r="B33" s="1679"/>
      <c r="C33" s="45"/>
      <c r="D33" s="46"/>
      <c r="E33" s="1021" t="s">
        <v>136</v>
      </c>
      <c r="F33" s="45"/>
    </row>
    <row r="34" spans="1:6" ht="12.9" customHeight="1" x14ac:dyDescent="0.3">
      <c r="A34" s="1678"/>
      <c r="B34" s="1668"/>
      <c r="C34" s="45"/>
      <c r="D34" s="46"/>
      <c r="E34" s="1021" t="s">
        <v>7878</v>
      </c>
      <c r="F34" s="45"/>
    </row>
    <row r="35" spans="1:6" ht="12.9" customHeight="1" x14ac:dyDescent="0.3">
      <c r="A35" s="1149"/>
      <c r="B35" s="1150"/>
      <c r="C35" s="45"/>
      <c r="D35" s="46"/>
      <c r="E35" s="70" t="s">
        <v>7932</v>
      </c>
      <c r="F35" s="45"/>
    </row>
    <row r="36" spans="1:6" ht="9.9" customHeight="1" x14ac:dyDescent="0.3">
      <c r="A36" s="52"/>
      <c r="B36" s="47"/>
      <c r="C36" s="45"/>
      <c r="D36" s="46"/>
      <c r="E36" s="47"/>
      <c r="F36" s="45"/>
    </row>
    <row r="37" spans="1:6" ht="12.9" customHeight="1" x14ac:dyDescent="0.3">
      <c r="A37" s="52"/>
      <c r="B37" s="47"/>
      <c r="C37" s="45"/>
      <c r="D37" s="51"/>
      <c r="E37" s="57" t="s">
        <v>137</v>
      </c>
      <c r="F37" s="45"/>
    </row>
    <row r="38" spans="1:6" ht="12.9" customHeight="1" x14ac:dyDescent="0.3">
      <c r="A38" s="52"/>
      <c r="B38" s="47"/>
      <c r="C38" s="45"/>
      <c r="D38" s="46"/>
      <c r="E38" s="60" t="s">
        <v>138</v>
      </c>
      <c r="F38" s="45"/>
    </row>
    <row r="39" spans="1:6" ht="12.9" customHeight="1" x14ac:dyDescent="0.3">
      <c r="A39" s="52"/>
      <c r="B39" s="47"/>
      <c r="C39" s="45"/>
      <c r="D39" s="46"/>
      <c r="E39" s="60" t="s">
        <v>7875</v>
      </c>
      <c r="F39" s="45"/>
    </row>
    <row r="40" spans="1:6" ht="12.9" customHeight="1" x14ac:dyDescent="0.3">
      <c r="A40" s="52"/>
      <c r="B40" s="47"/>
      <c r="C40" s="45"/>
      <c r="D40" s="46"/>
      <c r="E40" s="71" t="s">
        <v>139</v>
      </c>
      <c r="F40" s="45"/>
    </row>
    <row r="41" spans="1:6" ht="12.9" customHeight="1" x14ac:dyDescent="0.3">
      <c r="A41" s="1669" t="s">
        <v>140</v>
      </c>
      <c r="B41" s="1667" t="s">
        <v>141</v>
      </c>
      <c r="C41" s="45"/>
      <c r="D41" s="46"/>
      <c r="E41" s="1021" t="s">
        <v>142</v>
      </c>
      <c r="F41" s="45"/>
    </row>
    <row r="42" spans="1:6" ht="12.9" customHeight="1" x14ac:dyDescent="0.3">
      <c r="A42" s="1677"/>
      <c r="B42" s="1679"/>
      <c r="C42" s="45"/>
      <c r="D42" s="46"/>
      <c r="E42" s="72" t="s">
        <v>7876</v>
      </c>
      <c r="F42" s="45"/>
    </row>
    <row r="43" spans="1:6" ht="12.9" customHeight="1" x14ac:dyDescent="0.3">
      <c r="A43" s="1678"/>
      <c r="B43" s="1668"/>
      <c r="C43" s="45"/>
      <c r="D43" s="51"/>
      <c r="E43" s="73" t="s">
        <v>143</v>
      </c>
      <c r="F43" s="45"/>
    </row>
    <row r="44" spans="1:6" ht="12.9" customHeight="1" x14ac:dyDescent="0.3">
      <c r="A44" s="52"/>
      <c r="B44" s="47"/>
      <c r="C44" s="45"/>
      <c r="D44" s="46"/>
      <c r="E44" s="73" t="s">
        <v>144</v>
      </c>
      <c r="F44" s="45"/>
    </row>
    <row r="45" spans="1:6" ht="12.9" customHeight="1" x14ac:dyDescent="0.3">
      <c r="A45" s="52"/>
      <c r="B45" s="47"/>
      <c r="C45" s="45"/>
      <c r="D45" s="46"/>
      <c r="E45" s="73" t="s">
        <v>7877</v>
      </c>
      <c r="F45" s="45"/>
    </row>
    <row r="46" spans="1:6" ht="12.9" customHeight="1" x14ac:dyDescent="0.3">
      <c r="A46" s="52"/>
      <c r="B46" s="47"/>
      <c r="C46" s="45"/>
      <c r="D46" s="46"/>
      <c r="E46" s="74" t="s">
        <v>145</v>
      </c>
      <c r="F46" s="45"/>
    </row>
    <row r="47" spans="1:6" ht="12.9" customHeight="1" x14ac:dyDescent="0.3">
      <c r="A47" s="52"/>
      <c r="B47" s="47"/>
      <c r="C47" s="45"/>
      <c r="D47" s="46"/>
      <c r="E47" s="74" t="s">
        <v>146</v>
      </c>
      <c r="F47" s="45"/>
    </row>
    <row r="48" spans="1:6" ht="12.9" customHeight="1" x14ac:dyDescent="0.3">
      <c r="A48" s="52"/>
      <c r="B48" s="47"/>
      <c r="C48" s="45"/>
      <c r="D48" s="46"/>
      <c r="E48" s="74" t="s">
        <v>7874</v>
      </c>
      <c r="F48" s="45"/>
    </row>
    <row r="49" spans="1:6" ht="12.9" customHeight="1" x14ac:dyDescent="0.3">
      <c r="A49" s="52"/>
      <c r="B49" s="47"/>
      <c r="C49" s="45"/>
      <c r="D49" s="46"/>
      <c r="E49" s="75" t="s">
        <v>7932</v>
      </c>
      <c r="F49" s="45"/>
    </row>
    <row r="50" spans="1:6" ht="5.0999999999999996" customHeight="1" x14ac:dyDescent="0.3">
      <c r="A50" s="52"/>
      <c r="B50" s="47"/>
      <c r="C50" s="45"/>
      <c r="D50" s="46"/>
      <c r="E50" s="47"/>
      <c r="F50" s="45"/>
    </row>
    <row r="51" spans="1:6" ht="12.9" customHeight="1" x14ac:dyDescent="0.3">
      <c r="A51" s="52"/>
      <c r="B51" s="47"/>
      <c r="C51" s="45"/>
      <c r="D51" s="51"/>
      <c r="E51" s="541" t="s">
        <v>659</v>
      </c>
      <c r="F51" s="45"/>
    </row>
    <row r="52" spans="1:6" ht="12.9" customHeight="1" x14ac:dyDescent="0.3">
      <c r="A52" s="52"/>
      <c r="B52" s="47"/>
      <c r="C52" s="45"/>
      <c r="D52" s="51"/>
      <c r="E52" s="66" t="s">
        <v>658</v>
      </c>
      <c r="F52" s="45"/>
    </row>
    <row r="53" spans="1:6" ht="12.9" customHeight="1" x14ac:dyDescent="0.3">
      <c r="C53" s="45"/>
      <c r="D53" s="51"/>
      <c r="E53" s="66" t="s">
        <v>660</v>
      </c>
      <c r="F53" s="45"/>
    </row>
    <row r="54" spans="1:6" ht="12.9" customHeight="1" x14ac:dyDescent="0.3">
      <c r="A54" s="55" t="s">
        <v>147</v>
      </c>
      <c r="B54" s="56" t="s">
        <v>148</v>
      </c>
      <c r="C54" s="45"/>
      <c r="D54" s="46"/>
      <c r="E54" s="66" t="s">
        <v>661</v>
      </c>
      <c r="F54" s="45"/>
    </row>
    <row r="55" spans="1:6" ht="12.9" customHeight="1" x14ac:dyDescent="0.3">
      <c r="A55" s="58" t="s">
        <v>149</v>
      </c>
      <c r="B55" s="59" t="s">
        <v>150</v>
      </c>
      <c r="C55" s="45"/>
      <c r="D55" s="46"/>
      <c r="E55" s="66" t="s">
        <v>7647</v>
      </c>
      <c r="F55" s="45"/>
    </row>
    <row r="56" spans="1:6" ht="12.9" customHeight="1" x14ac:dyDescent="0.3">
      <c r="A56" s="61" t="s">
        <v>152</v>
      </c>
      <c r="B56" s="62" t="s">
        <v>153</v>
      </c>
      <c r="C56" s="45"/>
      <c r="D56" s="46"/>
      <c r="E56" s="66" t="s">
        <v>7873</v>
      </c>
      <c r="F56" s="45"/>
    </row>
    <row r="57" spans="1:6" ht="12.9" customHeight="1" x14ac:dyDescent="0.3">
      <c r="C57" s="45"/>
      <c r="D57" s="46"/>
      <c r="E57" s="66" t="s">
        <v>151</v>
      </c>
      <c r="F57" s="45"/>
    </row>
    <row r="58" spans="1:6" ht="12.9" customHeight="1" x14ac:dyDescent="0.3">
      <c r="C58" s="45"/>
      <c r="D58" s="46"/>
      <c r="E58" s="66" t="s">
        <v>154</v>
      </c>
      <c r="F58" s="45"/>
    </row>
    <row r="59" spans="1:6" ht="12.9" customHeight="1" x14ac:dyDescent="0.3">
      <c r="C59" s="45"/>
      <c r="D59" s="46"/>
      <c r="E59" s="66" t="s">
        <v>7648</v>
      </c>
      <c r="F59" s="45"/>
    </row>
    <row r="60" spans="1:6" ht="12.9" customHeight="1" x14ac:dyDescent="0.3">
      <c r="C60" s="45"/>
      <c r="D60" s="46"/>
      <c r="E60" s="66" t="s">
        <v>7868</v>
      </c>
      <c r="F60" s="45"/>
    </row>
    <row r="61" spans="1:6" ht="12.9" customHeight="1" x14ac:dyDescent="0.3">
      <c r="C61" s="45"/>
      <c r="D61" s="46"/>
      <c r="E61" s="66" t="s">
        <v>7869</v>
      </c>
      <c r="F61" s="45"/>
    </row>
    <row r="62" spans="1:6" ht="12.9" customHeight="1" x14ac:dyDescent="0.3">
      <c r="C62" s="45"/>
      <c r="D62" s="46"/>
      <c r="E62" s="66" t="s">
        <v>7870</v>
      </c>
      <c r="F62" s="45"/>
    </row>
    <row r="63" spans="1:6" ht="12.9" customHeight="1" x14ac:dyDescent="0.3">
      <c r="C63" s="45"/>
      <c r="D63" s="46"/>
      <c r="E63" s="66" t="s">
        <v>7871</v>
      </c>
      <c r="F63" s="45"/>
    </row>
    <row r="64" spans="1:6" ht="12.9" customHeight="1" x14ac:dyDescent="0.3">
      <c r="C64" s="45"/>
      <c r="D64" s="46"/>
      <c r="E64" s="66" t="s">
        <v>7872</v>
      </c>
      <c r="F64" s="45"/>
    </row>
    <row r="65" spans="1:6" ht="12.9" customHeight="1" x14ac:dyDescent="0.3">
      <c r="C65" s="45"/>
      <c r="D65" s="46"/>
      <c r="E65" s="66" t="s">
        <v>7932</v>
      </c>
      <c r="F65" s="45"/>
    </row>
    <row r="66" spans="1:6" ht="12.9" customHeight="1" x14ac:dyDescent="0.3">
      <c r="C66" s="45"/>
      <c r="D66" s="46"/>
      <c r="E66" s="552" t="s">
        <v>155</v>
      </c>
      <c r="F66" s="45"/>
    </row>
    <row r="67" spans="1:6" ht="8.1" customHeight="1" x14ac:dyDescent="0.3">
      <c r="A67" s="52"/>
      <c r="B67" s="47"/>
      <c r="C67" s="45"/>
      <c r="D67" s="46"/>
      <c r="E67" s="47"/>
      <c r="F67" s="45"/>
    </row>
    <row r="68" spans="1:6" ht="12.9" customHeight="1" x14ac:dyDescent="0.3">
      <c r="A68" s="1669" t="s">
        <v>156</v>
      </c>
      <c r="B68" s="1667" t="s">
        <v>157</v>
      </c>
      <c r="C68" s="45"/>
      <c r="D68" s="51"/>
      <c r="E68" s="68" t="s">
        <v>158</v>
      </c>
      <c r="F68" s="45"/>
    </row>
    <row r="69" spans="1:6" ht="12.9" customHeight="1" x14ac:dyDescent="0.3">
      <c r="A69" s="1670"/>
      <c r="B69" s="1684"/>
      <c r="C69" s="45"/>
      <c r="D69" s="46"/>
      <c r="E69" s="67" t="s">
        <v>159</v>
      </c>
      <c r="F69" s="45"/>
    </row>
    <row r="70" spans="1:6" ht="5.0999999999999996" customHeight="1" x14ac:dyDescent="0.3">
      <c r="A70" s="52"/>
      <c r="B70" s="47"/>
      <c r="C70" s="45"/>
      <c r="D70" s="46"/>
      <c r="E70" s="76"/>
      <c r="F70" s="45"/>
    </row>
    <row r="71" spans="1:6" ht="12.9" customHeight="1" x14ac:dyDescent="0.3">
      <c r="A71" s="1669" t="s">
        <v>160</v>
      </c>
      <c r="B71" s="1671" t="s">
        <v>161</v>
      </c>
      <c r="C71" s="45"/>
      <c r="D71" s="51"/>
      <c r="E71" s="68" t="s">
        <v>162</v>
      </c>
      <c r="F71" s="45"/>
    </row>
    <row r="72" spans="1:6" ht="12.9" customHeight="1" x14ac:dyDescent="0.3">
      <c r="A72" s="1670"/>
      <c r="B72" s="1672"/>
      <c r="C72" s="45"/>
      <c r="D72" s="46"/>
      <c r="E72" s="67" t="s">
        <v>163</v>
      </c>
      <c r="F72" s="45"/>
    </row>
    <row r="73" spans="1:6" ht="5.0999999999999996" customHeight="1" x14ac:dyDescent="0.3">
      <c r="A73" s="52"/>
      <c r="B73" s="47"/>
      <c r="C73" s="45"/>
      <c r="D73" s="46"/>
      <c r="E73" s="76"/>
      <c r="F73" s="45"/>
    </row>
    <row r="74" spans="1:6" ht="12.9" customHeight="1" x14ac:dyDescent="0.3">
      <c r="A74" s="1669" t="s">
        <v>164</v>
      </c>
      <c r="B74" s="1671" t="s">
        <v>165</v>
      </c>
      <c r="C74" s="45"/>
      <c r="D74" s="51"/>
      <c r="E74" s="68" t="s">
        <v>166</v>
      </c>
      <c r="F74" s="45"/>
    </row>
    <row r="75" spans="1:6" ht="12.9" customHeight="1" x14ac:dyDescent="0.3">
      <c r="A75" s="1670"/>
      <c r="B75" s="1672"/>
      <c r="C75" s="45"/>
      <c r="D75" s="46"/>
      <c r="E75" s="67" t="s">
        <v>167</v>
      </c>
      <c r="F75" s="45"/>
    </row>
    <row r="76" spans="1:6" ht="5.0999999999999996" customHeight="1" x14ac:dyDescent="0.3">
      <c r="A76" s="52"/>
      <c r="B76" s="47"/>
      <c r="C76" s="45"/>
      <c r="D76" s="46"/>
      <c r="E76" s="76"/>
      <c r="F76" s="45"/>
    </row>
    <row r="77" spans="1:6" ht="12.9" customHeight="1" x14ac:dyDescent="0.3">
      <c r="A77" s="1669" t="s">
        <v>168</v>
      </c>
      <c r="B77" s="1667" t="s">
        <v>169</v>
      </c>
      <c r="C77" s="45"/>
      <c r="D77" s="51"/>
      <c r="E77" s="68" t="s">
        <v>170</v>
      </c>
      <c r="F77" s="45"/>
    </row>
    <row r="78" spans="1:6" ht="12.9" customHeight="1" x14ac:dyDescent="0.3">
      <c r="A78" s="1678"/>
      <c r="B78" s="1668"/>
      <c r="C78" s="45"/>
      <c r="D78" s="46"/>
      <c r="E78" s="67" t="s">
        <v>171</v>
      </c>
      <c r="F78" s="45"/>
    </row>
    <row r="79" spans="1:6" ht="5.0999999999999996" customHeight="1" x14ac:dyDescent="0.3">
      <c r="A79" s="52"/>
      <c r="B79" s="47"/>
      <c r="C79" s="45"/>
      <c r="D79" s="46"/>
      <c r="E79" s="76"/>
      <c r="F79" s="45"/>
    </row>
    <row r="80" spans="1:6" ht="12.9" customHeight="1" x14ac:dyDescent="0.3">
      <c r="A80" s="48" t="s">
        <v>172</v>
      </c>
      <c r="B80" s="77" t="s">
        <v>173</v>
      </c>
      <c r="C80" s="45"/>
      <c r="D80" s="46"/>
      <c r="E80" s="78" t="s">
        <v>174</v>
      </c>
      <c r="F80" s="45"/>
    </row>
    <row r="81" spans="1:6" ht="5.0999999999999996" customHeight="1" x14ac:dyDescent="0.3">
      <c r="A81" s="52"/>
      <c r="B81" s="47"/>
      <c r="C81" s="45"/>
      <c r="D81" s="46"/>
      <c r="E81" s="76"/>
      <c r="F81" s="45"/>
    </row>
    <row r="82" spans="1:6" ht="12.9" customHeight="1" x14ac:dyDescent="0.3">
      <c r="A82" s="52"/>
      <c r="B82" s="47"/>
      <c r="C82" s="45"/>
      <c r="D82" s="46"/>
      <c r="E82" s="68" t="s">
        <v>175</v>
      </c>
      <c r="F82" s="45"/>
    </row>
    <row r="83" spans="1:6" ht="12.9" customHeight="1" x14ac:dyDescent="0.3">
      <c r="A83" s="1669" t="s">
        <v>176</v>
      </c>
      <c r="B83" s="1671" t="s">
        <v>177</v>
      </c>
      <c r="C83" s="45"/>
      <c r="D83" s="46"/>
      <c r="E83" s="66" t="s">
        <v>178</v>
      </c>
      <c r="F83" s="45"/>
    </row>
    <row r="84" spans="1:6" ht="12.9" customHeight="1" x14ac:dyDescent="0.3">
      <c r="A84" s="1670"/>
      <c r="B84" s="1672"/>
      <c r="C84" s="45"/>
      <c r="D84" s="46"/>
      <c r="E84" s="66" t="s">
        <v>179</v>
      </c>
      <c r="F84" s="45"/>
    </row>
    <row r="85" spans="1:6" ht="12.9" customHeight="1" x14ac:dyDescent="0.3">
      <c r="A85" s="52"/>
      <c r="B85" s="47"/>
      <c r="C85" s="45"/>
      <c r="D85" s="46"/>
      <c r="E85" s="67" t="s">
        <v>180</v>
      </c>
      <c r="F85" s="45"/>
    </row>
    <row r="86" spans="1:6" ht="5.0999999999999996" customHeight="1" x14ac:dyDescent="0.3">
      <c r="A86" s="52"/>
      <c r="B86" s="47"/>
      <c r="C86" s="45"/>
      <c r="D86" s="46"/>
      <c r="E86" s="76"/>
      <c r="F86" s="45"/>
    </row>
    <row r="87" spans="1:6" ht="12.9" customHeight="1" x14ac:dyDescent="0.3">
      <c r="A87" s="48" t="s">
        <v>181</v>
      </c>
      <c r="B87" s="79" t="s">
        <v>182</v>
      </c>
      <c r="C87" s="80"/>
      <c r="D87" s="46"/>
      <c r="E87" s="78" t="s">
        <v>183</v>
      </c>
      <c r="F87" s="45"/>
    </row>
    <row r="88" spans="1:6" ht="5.0999999999999996" customHeight="1" x14ac:dyDescent="0.3">
      <c r="A88" s="52"/>
      <c r="B88" s="47"/>
      <c r="C88" s="45"/>
      <c r="D88" s="46"/>
      <c r="E88" s="76"/>
      <c r="F88" s="45"/>
    </row>
    <row r="89" spans="1:6" ht="12.9" customHeight="1" x14ac:dyDescent="0.3">
      <c r="A89" s="1669" t="s">
        <v>184</v>
      </c>
      <c r="B89" s="1685" t="s">
        <v>185</v>
      </c>
      <c r="C89" s="80"/>
      <c r="D89" s="46"/>
      <c r="E89" s="68" t="s">
        <v>186</v>
      </c>
      <c r="F89" s="45"/>
    </row>
    <row r="90" spans="1:6" ht="12.9" customHeight="1" x14ac:dyDescent="0.3">
      <c r="A90" s="1678"/>
      <c r="B90" s="1686"/>
      <c r="C90" s="80"/>
      <c r="D90" s="46"/>
      <c r="E90" s="67" t="s">
        <v>662</v>
      </c>
      <c r="F90" s="45"/>
    </row>
    <row r="91" spans="1:6" ht="5.0999999999999996" customHeight="1" x14ac:dyDescent="0.3">
      <c r="A91" s="52"/>
      <c r="B91" s="47"/>
      <c r="C91" s="45"/>
      <c r="D91" s="46"/>
      <c r="E91" s="76"/>
      <c r="F91" s="45"/>
    </row>
    <row r="92" spans="1:6" ht="12.9" customHeight="1" x14ac:dyDescent="0.3">
      <c r="A92" s="1669" t="s">
        <v>187</v>
      </c>
      <c r="B92" s="1685" t="s">
        <v>188</v>
      </c>
      <c r="C92" s="80"/>
      <c r="D92" s="46"/>
      <c r="E92" s="68" t="s">
        <v>189</v>
      </c>
      <c r="F92" s="45"/>
    </row>
    <row r="93" spans="1:6" ht="12.9" customHeight="1" x14ac:dyDescent="0.3">
      <c r="A93" s="1678"/>
      <c r="B93" s="1686"/>
      <c r="C93" s="80"/>
      <c r="D93" s="46"/>
      <c r="E93" s="67" t="s">
        <v>663</v>
      </c>
      <c r="F93" s="45"/>
    </row>
    <row r="94" spans="1:6" ht="5.0999999999999996" customHeight="1" x14ac:dyDescent="0.3">
      <c r="A94" s="52"/>
      <c r="B94" s="47"/>
      <c r="C94" s="45"/>
      <c r="D94" s="46"/>
      <c r="E94" s="76"/>
      <c r="F94" s="45"/>
    </row>
    <row r="95" spans="1:6" ht="12.9" customHeight="1" x14ac:dyDescent="0.3">
      <c r="A95" s="1669" t="s">
        <v>190</v>
      </c>
      <c r="B95" s="1680" t="s">
        <v>191</v>
      </c>
      <c r="C95" s="80"/>
      <c r="D95" s="46"/>
      <c r="E95" s="541" t="s">
        <v>664</v>
      </c>
      <c r="F95" s="45"/>
    </row>
    <row r="96" spans="1:6" ht="12.9" customHeight="1" x14ac:dyDescent="0.3">
      <c r="A96" s="1678"/>
      <c r="B96" s="1681"/>
      <c r="C96" s="80"/>
      <c r="D96" s="46"/>
      <c r="E96" s="542" t="s">
        <v>665</v>
      </c>
      <c r="F96" s="45"/>
    </row>
    <row r="97" spans="1:6" ht="5.0999999999999996" customHeight="1" x14ac:dyDescent="0.3">
      <c r="A97" s="34"/>
      <c r="B97" s="35"/>
      <c r="C97" s="35"/>
      <c r="D97" s="34"/>
      <c r="E97" s="35"/>
      <c r="F97" s="35"/>
    </row>
    <row r="98" spans="1:6" ht="14.4" hidden="1" x14ac:dyDescent="0.3">
      <c r="A98" s="48" t="s">
        <v>192</v>
      </c>
      <c r="B98" s="79" t="s">
        <v>193</v>
      </c>
      <c r="C98" s="35"/>
      <c r="D98" s="34"/>
      <c r="E98" s="78" t="s">
        <v>194</v>
      </c>
      <c r="F98" s="35"/>
    </row>
    <row r="99" spans="1:6" ht="14.4" x14ac:dyDescent="0.3">
      <c r="A99" s="34"/>
      <c r="B99" s="35"/>
      <c r="C99" s="35"/>
      <c r="D99" s="34"/>
      <c r="E99" s="35" t="s">
        <v>7649</v>
      </c>
      <c r="F99" s="35"/>
    </row>
  </sheetData>
  <sheetProtection algorithmName="SHA-512" hashValue="gPA9Ng1GlWisuJTdPpdX3e1p7HGDm6eeOCcVieOK5IV31BuPCE36a7zGE2yryv7KI09GwGnqFHk/wqkl2H0Z7w==" saltValue="8xAHfuVEnoV8Qgtd/ogPJw==" spinCount="100000" sheet="1" objects="1" scenarios="1"/>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5">
    <mergeCell ref="B95:B96"/>
    <mergeCell ref="A95:A96"/>
    <mergeCell ref="A3:B3"/>
    <mergeCell ref="A18:A19"/>
    <mergeCell ref="B18:B19"/>
    <mergeCell ref="A68:A69"/>
    <mergeCell ref="B68:B69"/>
    <mergeCell ref="A71:A72"/>
    <mergeCell ref="B71:B72"/>
    <mergeCell ref="A89:A90"/>
    <mergeCell ref="B89:B90"/>
    <mergeCell ref="A92:A93"/>
    <mergeCell ref="B92:B93"/>
    <mergeCell ref="A74:A75"/>
    <mergeCell ref="B74:B75"/>
    <mergeCell ref="A77:A78"/>
    <mergeCell ref="B77:B78"/>
    <mergeCell ref="A83:A84"/>
    <mergeCell ref="B83:B84"/>
    <mergeCell ref="E21:E22"/>
    <mergeCell ref="E26:E27"/>
    <mergeCell ref="A41:A43"/>
    <mergeCell ref="B41:B43"/>
    <mergeCell ref="B32:B34"/>
    <mergeCell ref="A32:A34"/>
  </mergeCells>
  <pageMargins left="0.23622047244094491" right="0.23622047244094491" top="0.74803149606299213" bottom="0.74803149606299213" header="0.31496062992125984" footer="0.31496062992125984"/>
  <pageSetup paperSize="9" scale="96" fitToWidth="0" fitToHeight="0" orientation="portrait" r:id="rId2"/>
  <headerFooter>
    <oddFooter>&amp;L© Bayerische Landesanstalt für Landwirtschaft, Agrarökologie - Düngung (Of, Sr, Sp, Ks); Stand: 20.10.2022</oddFooter>
  </headerFooter>
  <rowBreaks count="1" manualBreakCount="1">
    <brk id="66"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F198-02B4-4C2A-9ADD-5B9B75FE81DA}">
  <dimension ref="A1:D23"/>
  <sheetViews>
    <sheetView workbookViewId="0"/>
  </sheetViews>
  <sheetFormatPr baseColWidth="10" defaultRowHeight="13.2" x14ac:dyDescent="0.25"/>
  <sheetData>
    <row r="1" spans="1:1" ht="21.6" customHeight="1" x14ac:dyDescent="0.25">
      <c r="A1" s="555" t="s">
        <v>7638</v>
      </c>
    </row>
    <row r="19" spans="4:4" x14ac:dyDescent="0.25">
      <c r="D19" s="391"/>
    </row>
    <row r="23" spans="4:4" x14ac:dyDescent="0.25">
      <c r="D23" s="391"/>
    </row>
  </sheetData>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98"/>
  <sheetViews>
    <sheetView workbookViewId="0"/>
  </sheetViews>
  <sheetFormatPr baseColWidth="10" defaultRowHeight="13.2" x14ac:dyDescent="0.25"/>
  <sheetData>
    <row r="1" spans="1:11" ht="14.4" x14ac:dyDescent="0.3">
      <c r="A1" s="366" t="s">
        <v>360</v>
      </c>
      <c r="B1" s="366" t="s">
        <v>361</v>
      </c>
      <c r="C1" s="366"/>
      <c r="D1" t="s">
        <v>668</v>
      </c>
      <c r="E1" s="366"/>
    </row>
    <row r="2" spans="1:11" ht="14.4" x14ac:dyDescent="0.3">
      <c r="A2" s="366">
        <v>161</v>
      </c>
      <c r="B2" s="366" t="s">
        <v>363</v>
      </c>
      <c r="C2" s="366" t="s">
        <v>363</v>
      </c>
      <c r="D2" s="363">
        <v>626.48603100000003</v>
      </c>
      <c r="E2" s="365" t="s">
        <v>362</v>
      </c>
      <c r="G2" s="238" t="str">
        <f>LEFT('Nährstoffe und Lagerraum'!$P$5,3)</f>
        <v>0</v>
      </c>
      <c r="H2" s="238" t="str">
        <f>+G2</f>
        <v>0</v>
      </c>
      <c r="I2" s="238">
        <f>VALUE(H2)</f>
        <v>0</v>
      </c>
      <c r="J2" s="363">
        <f t="shared" ref="J2:J33" si="0">IF(I2=A2,1,0)</f>
        <v>0</v>
      </c>
      <c r="K2">
        <f>IF(J2&gt;0,D2,0)</f>
        <v>0</v>
      </c>
    </row>
    <row r="3" spans="1:11" ht="14.4" x14ac:dyDescent="0.3">
      <c r="A3" s="366">
        <v>162</v>
      </c>
      <c r="B3" s="366" t="s">
        <v>364</v>
      </c>
      <c r="C3" s="366" t="s">
        <v>365</v>
      </c>
      <c r="D3" s="363">
        <v>918.39902400000005</v>
      </c>
      <c r="E3" s="365" t="s">
        <v>362</v>
      </c>
      <c r="G3" s="238" t="str">
        <f>LEFT('Nährstoffe und Lagerraum'!$P$5,3)</f>
        <v>0</v>
      </c>
      <c r="H3" s="238" t="str">
        <f t="shared" ref="H3:H66" si="1">+G3</f>
        <v>0</v>
      </c>
      <c r="I3" s="238">
        <f t="shared" ref="I3:I66" si="2">VALUE(H3)</f>
        <v>0</v>
      </c>
      <c r="J3" s="363">
        <f t="shared" si="0"/>
        <v>0</v>
      </c>
      <c r="K3">
        <f t="shared" ref="K3:K66" si="3">IF(J3&gt;0,D3,0)</f>
        <v>0</v>
      </c>
    </row>
    <row r="4" spans="1:11" ht="14.4" x14ac:dyDescent="0.3">
      <c r="A4" s="366">
        <v>163</v>
      </c>
      <c r="B4" s="366" t="s">
        <v>366</v>
      </c>
      <c r="C4" s="366" t="s">
        <v>366</v>
      </c>
      <c r="D4" s="363">
        <v>1088.2628560000001</v>
      </c>
      <c r="E4" s="365" t="s">
        <v>362</v>
      </c>
      <c r="G4" s="238" t="str">
        <f>LEFT('Nährstoffe und Lagerraum'!$P$5,3)</f>
        <v>0</v>
      </c>
      <c r="H4" s="238" t="str">
        <f t="shared" si="1"/>
        <v>0</v>
      </c>
      <c r="I4" s="238">
        <f t="shared" si="2"/>
        <v>0</v>
      </c>
      <c r="J4" s="363">
        <f t="shared" si="0"/>
        <v>0</v>
      </c>
      <c r="K4">
        <f t="shared" si="3"/>
        <v>0</v>
      </c>
    </row>
    <row r="5" spans="1:11" ht="14.4" x14ac:dyDescent="0.3">
      <c r="A5" s="366">
        <v>171</v>
      </c>
      <c r="B5" s="366" t="s">
        <v>367</v>
      </c>
      <c r="C5" s="366" t="s">
        <v>368</v>
      </c>
      <c r="D5" s="363">
        <v>842.72049600000003</v>
      </c>
      <c r="E5" s="365" t="s">
        <v>362</v>
      </c>
      <c r="G5" s="238" t="str">
        <f>LEFT('Nährstoffe und Lagerraum'!$P$5,3)</f>
        <v>0</v>
      </c>
      <c r="H5" s="238" t="str">
        <f t="shared" si="1"/>
        <v>0</v>
      </c>
      <c r="I5" s="238">
        <f t="shared" si="2"/>
        <v>0</v>
      </c>
      <c r="J5" s="363">
        <f t="shared" si="0"/>
        <v>0</v>
      </c>
      <c r="K5">
        <f t="shared" si="3"/>
        <v>0</v>
      </c>
    </row>
    <row r="6" spans="1:11" ht="14.4" x14ac:dyDescent="0.3">
      <c r="A6" s="366">
        <v>172</v>
      </c>
      <c r="B6" s="366" t="s">
        <v>369</v>
      </c>
      <c r="C6" s="366" t="s">
        <v>369</v>
      </c>
      <c r="D6" s="363">
        <v>1652.6455880000001</v>
      </c>
      <c r="E6" s="365" t="s">
        <v>362</v>
      </c>
      <c r="G6" s="238" t="str">
        <f>LEFT('Nährstoffe und Lagerraum'!$P$5,3)</f>
        <v>0</v>
      </c>
      <c r="H6" s="238" t="str">
        <f t="shared" si="1"/>
        <v>0</v>
      </c>
      <c r="I6" s="238">
        <f t="shared" si="2"/>
        <v>0</v>
      </c>
      <c r="J6" s="363">
        <f t="shared" si="0"/>
        <v>0</v>
      </c>
      <c r="K6">
        <f t="shared" si="3"/>
        <v>0</v>
      </c>
    </row>
    <row r="7" spans="1:11" ht="14.4" x14ac:dyDescent="0.3">
      <c r="A7" s="366">
        <v>173</v>
      </c>
      <c r="B7" s="366" t="s">
        <v>370</v>
      </c>
      <c r="C7" s="366" t="s">
        <v>371</v>
      </c>
      <c r="D7" s="363">
        <v>1561.4830460000001</v>
      </c>
      <c r="E7" s="365" t="s">
        <v>362</v>
      </c>
      <c r="G7" s="238" t="str">
        <f>LEFT('Nährstoffe und Lagerraum'!$P$5,3)</f>
        <v>0</v>
      </c>
      <c r="H7" s="238" t="str">
        <f t="shared" si="1"/>
        <v>0</v>
      </c>
      <c r="I7" s="238">
        <f t="shared" si="2"/>
        <v>0</v>
      </c>
      <c r="J7" s="363">
        <f t="shared" si="0"/>
        <v>0</v>
      </c>
      <c r="K7">
        <f t="shared" si="3"/>
        <v>0</v>
      </c>
    </row>
    <row r="8" spans="1:11" ht="14.4" x14ac:dyDescent="0.3">
      <c r="A8" s="366">
        <v>174</v>
      </c>
      <c r="B8" s="366" t="s">
        <v>372</v>
      </c>
      <c r="C8" s="366" t="s">
        <v>372</v>
      </c>
      <c r="D8" s="363">
        <v>810.66031199999998</v>
      </c>
      <c r="E8" s="365" t="s">
        <v>362</v>
      </c>
      <c r="G8" s="238" t="str">
        <f>LEFT('Nährstoffe und Lagerraum'!$P$5,3)</f>
        <v>0</v>
      </c>
      <c r="H8" s="238" t="str">
        <f t="shared" si="1"/>
        <v>0</v>
      </c>
      <c r="I8" s="238">
        <f t="shared" si="2"/>
        <v>0</v>
      </c>
      <c r="J8" s="363">
        <f t="shared" si="0"/>
        <v>0</v>
      </c>
      <c r="K8">
        <f t="shared" si="3"/>
        <v>0</v>
      </c>
    </row>
    <row r="9" spans="1:11" ht="14.4" x14ac:dyDescent="0.3">
      <c r="A9" s="366">
        <v>175</v>
      </c>
      <c r="B9" s="366" t="s">
        <v>373</v>
      </c>
      <c r="C9" s="366" t="s">
        <v>373</v>
      </c>
      <c r="D9" s="363">
        <v>978.39369299999998</v>
      </c>
      <c r="E9" s="365" t="s">
        <v>362</v>
      </c>
      <c r="G9" s="238" t="str">
        <f>LEFT('Nährstoffe und Lagerraum'!$P$5,3)</f>
        <v>0</v>
      </c>
      <c r="H9" s="238" t="str">
        <f t="shared" si="1"/>
        <v>0</v>
      </c>
      <c r="I9" s="238">
        <f t="shared" si="2"/>
        <v>0</v>
      </c>
      <c r="J9" s="363">
        <f t="shared" si="0"/>
        <v>0</v>
      </c>
      <c r="K9">
        <f t="shared" si="3"/>
        <v>0</v>
      </c>
    </row>
    <row r="10" spans="1:11" ht="14.4" x14ac:dyDescent="0.3">
      <c r="A10" s="366">
        <v>176</v>
      </c>
      <c r="B10" s="366" t="s">
        <v>374</v>
      </c>
      <c r="C10" s="366" t="s">
        <v>375</v>
      </c>
      <c r="D10" s="363">
        <v>674.12674900000002</v>
      </c>
      <c r="E10" s="365" t="s">
        <v>362</v>
      </c>
      <c r="G10" s="238" t="str">
        <f>LEFT('Nährstoffe und Lagerraum'!$P$5,3)</f>
        <v>0</v>
      </c>
      <c r="H10" s="238" t="str">
        <f t="shared" si="1"/>
        <v>0</v>
      </c>
      <c r="I10" s="238">
        <f t="shared" si="2"/>
        <v>0</v>
      </c>
      <c r="J10" s="363">
        <f t="shared" si="0"/>
        <v>0</v>
      </c>
      <c r="K10">
        <f t="shared" si="3"/>
        <v>0</v>
      </c>
    </row>
    <row r="11" spans="1:11" ht="14.4" x14ac:dyDescent="0.3">
      <c r="A11" s="366">
        <v>177</v>
      </c>
      <c r="B11" s="366" t="s">
        <v>376</v>
      </c>
      <c r="C11" s="366" t="s">
        <v>376</v>
      </c>
      <c r="D11" s="363">
        <v>830.36048700000003</v>
      </c>
      <c r="E11" s="365" t="s">
        <v>362</v>
      </c>
      <c r="G11" s="238" t="str">
        <f>LEFT('Nährstoffe und Lagerraum'!$P$5,3)</f>
        <v>0</v>
      </c>
      <c r="H11" s="238" t="str">
        <f t="shared" si="1"/>
        <v>0</v>
      </c>
      <c r="I11" s="238">
        <f t="shared" si="2"/>
        <v>0</v>
      </c>
      <c r="J11" s="363">
        <f t="shared" si="0"/>
        <v>0</v>
      </c>
      <c r="K11">
        <f t="shared" si="3"/>
        <v>0</v>
      </c>
    </row>
    <row r="12" spans="1:11" ht="14.4" x14ac:dyDescent="0.3">
      <c r="A12" s="366">
        <v>178</v>
      </c>
      <c r="B12" s="366" t="s">
        <v>377</v>
      </c>
      <c r="C12" s="366" t="s">
        <v>377</v>
      </c>
      <c r="D12" s="363">
        <v>779.39612499999998</v>
      </c>
      <c r="E12" s="365" t="s">
        <v>362</v>
      </c>
      <c r="G12" s="238" t="str">
        <f>LEFT('Nährstoffe und Lagerraum'!$P$5,3)</f>
        <v>0</v>
      </c>
      <c r="H12" s="238" t="str">
        <f t="shared" si="1"/>
        <v>0</v>
      </c>
      <c r="I12" s="238">
        <f t="shared" si="2"/>
        <v>0</v>
      </c>
      <c r="J12" s="363">
        <f t="shared" si="0"/>
        <v>0</v>
      </c>
      <c r="K12">
        <f t="shared" si="3"/>
        <v>0</v>
      </c>
    </row>
    <row r="13" spans="1:11" ht="14.4" x14ac:dyDescent="0.3">
      <c r="A13" s="366">
        <v>179</v>
      </c>
      <c r="B13" s="366" t="s">
        <v>378</v>
      </c>
      <c r="C13" s="366" t="s">
        <v>379</v>
      </c>
      <c r="D13" s="363">
        <v>873.32983999999999</v>
      </c>
      <c r="E13" s="365" t="s">
        <v>362</v>
      </c>
      <c r="G13" s="238" t="str">
        <f>LEFT('Nährstoffe und Lagerraum'!$P$5,3)</f>
        <v>0</v>
      </c>
      <c r="H13" s="238" t="str">
        <f t="shared" si="1"/>
        <v>0</v>
      </c>
      <c r="I13" s="238">
        <f t="shared" si="2"/>
        <v>0</v>
      </c>
      <c r="J13" s="363">
        <f t="shared" si="0"/>
        <v>0</v>
      </c>
      <c r="K13">
        <f t="shared" si="3"/>
        <v>0</v>
      </c>
    </row>
    <row r="14" spans="1:11" ht="14.4" x14ac:dyDescent="0.3">
      <c r="A14" s="366">
        <v>180</v>
      </c>
      <c r="B14" s="366" t="s">
        <v>380</v>
      </c>
      <c r="C14" s="366" t="s">
        <v>380</v>
      </c>
      <c r="D14" s="363">
        <v>1626.720826</v>
      </c>
      <c r="E14" s="365" t="s">
        <v>362</v>
      </c>
      <c r="G14" s="238" t="str">
        <f>LEFT('Nährstoffe und Lagerraum'!$P$5,3)</f>
        <v>0</v>
      </c>
      <c r="H14" s="238" t="str">
        <f t="shared" si="1"/>
        <v>0</v>
      </c>
      <c r="I14" s="238">
        <f t="shared" si="2"/>
        <v>0</v>
      </c>
      <c r="J14" s="363">
        <f t="shared" si="0"/>
        <v>0</v>
      </c>
      <c r="K14">
        <f t="shared" si="3"/>
        <v>0</v>
      </c>
    </row>
    <row r="15" spans="1:11" ht="14.4" x14ac:dyDescent="0.3">
      <c r="A15" s="366">
        <v>181</v>
      </c>
      <c r="B15" s="366" t="s">
        <v>381</v>
      </c>
      <c r="C15" s="366" t="s">
        <v>381</v>
      </c>
      <c r="D15" s="363">
        <v>935.857572</v>
      </c>
      <c r="E15" s="365" t="s">
        <v>362</v>
      </c>
      <c r="G15" s="238" t="str">
        <f>LEFT('Nährstoffe und Lagerraum'!$P$5,3)</f>
        <v>0</v>
      </c>
      <c r="H15" s="238" t="str">
        <f t="shared" si="1"/>
        <v>0</v>
      </c>
      <c r="I15" s="238">
        <f t="shared" si="2"/>
        <v>0</v>
      </c>
      <c r="J15" s="363">
        <f t="shared" si="0"/>
        <v>0</v>
      </c>
      <c r="K15">
        <f t="shared" si="3"/>
        <v>0</v>
      </c>
    </row>
    <row r="16" spans="1:11" ht="14.4" x14ac:dyDescent="0.3">
      <c r="A16" s="366">
        <v>182</v>
      </c>
      <c r="B16" s="366" t="s">
        <v>382</v>
      </c>
      <c r="C16" s="366" t="s">
        <v>382</v>
      </c>
      <c r="D16" s="363">
        <v>1621.724277</v>
      </c>
      <c r="E16" s="365" t="s">
        <v>362</v>
      </c>
      <c r="G16" s="238" t="str">
        <f>LEFT('Nährstoffe und Lagerraum'!$P$5,3)</f>
        <v>0</v>
      </c>
      <c r="H16" s="238" t="str">
        <f t="shared" si="1"/>
        <v>0</v>
      </c>
      <c r="I16" s="238">
        <f t="shared" si="2"/>
        <v>0</v>
      </c>
      <c r="J16" s="363">
        <f t="shared" si="0"/>
        <v>0</v>
      </c>
      <c r="K16">
        <f t="shared" si="3"/>
        <v>0</v>
      </c>
    </row>
    <row r="17" spans="1:11" ht="14.4" x14ac:dyDescent="0.3">
      <c r="A17" s="366">
        <v>183</v>
      </c>
      <c r="B17" s="366" t="s">
        <v>383</v>
      </c>
      <c r="C17" s="366" t="s">
        <v>384</v>
      </c>
      <c r="D17" s="363">
        <v>832.59303499999999</v>
      </c>
      <c r="E17" s="365" t="s">
        <v>362</v>
      </c>
      <c r="G17" s="238" t="str">
        <f>LEFT('Nährstoffe und Lagerraum'!$P$5,3)</f>
        <v>0</v>
      </c>
      <c r="H17" s="238" t="str">
        <f t="shared" si="1"/>
        <v>0</v>
      </c>
      <c r="I17" s="238">
        <f t="shared" si="2"/>
        <v>0</v>
      </c>
      <c r="J17" s="363">
        <f t="shared" si="0"/>
        <v>0</v>
      </c>
      <c r="K17">
        <f t="shared" si="3"/>
        <v>0</v>
      </c>
    </row>
    <row r="18" spans="1:11" ht="14.4" x14ac:dyDescent="0.3">
      <c r="A18" s="366">
        <v>184</v>
      </c>
      <c r="B18" s="366" t="s">
        <v>364</v>
      </c>
      <c r="C18" s="366" t="s">
        <v>365</v>
      </c>
      <c r="D18" s="363">
        <v>999.14003100000002</v>
      </c>
      <c r="E18" s="365" t="s">
        <v>362</v>
      </c>
      <c r="G18" s="238" t="str">
        <f>LEFT('Nährstoffe und Lagerraum'!$P$5,3)</f>
        <v>0</v>
      </c>
      <c r="H18" s="238" t="str">
        <f t="shared" si="1"/>
        <v>0</v>
      </c>
      <c r="I18" s="238">
        <f t="shared" si="2"/>
        <v>0</v>
      </c>
      <c r="J18" s="363">
        <f t="shared" si="0"/>
        <v>0</v>
      </c>
      <c r="K18">
        <f t="shared" si="3"/>
        <v>0</v>
      </c>
    </row>
    <row r="19" spans="1:11" ht="14.4" x14ac:dyDescent="0.3">
      <c r="A19" s="366">
        <v>185</v>
      </c>
      <c r="B19" s="366" t="s">
        <v>385</v>
      </c>
      <c r="C19" s="366" t="s">
        <v>385</v>
      </c>
      <c r="D19" s="363">
        <v>676.82738500000005</v>
      </c>
      <c r="E19" s="365" t="s">
        <v>362</v>
      </c>
      <c r="G19" s="238" t="str">
        <f>LEFT('Nährstoffe und Lagerraum'!$P$5,3)</f>
        <v>0</v>
      </c>
      <c r="H19" s="238" t="str">
        <f t="shared" si="1"/>
        <v>0</v>
      </c>
      <c r="I19" s="238">
        <f t="shared" si="2"/>
        <v>0</v>
      </c>
      <c r="J19" s="363">
        <f t="shared" si="0"/>
        <v>0</v>
      </c>
      <c r="K19">
        <f t="shared" si="3"/>
        <v>0</v>
      </c>
    </row>
    <row r="20" spans="1:11" ht="14.4" x14ac:dyDescent="0.3">
      <c r="A20" s="366">
        <v>186</v>
      </c>
      <c r="B20" s="366" t="s">
        <v>386</v>
      </c>
      <c r="C20" s="366" t="s">
        <v>386</v>
      </c>
      <c r="D20" s="363">
        <v>751.42763200000002</v>
      </c>
      <c r="E20" s="365" t="s">
        <v>362</v>
      </c>
      <c r="G20" s="238" t="str">
        <f>LEFT('Nährstoffe und Lagerraum'!$P$5,3)</f>
        <v>0</v>
      </c>
      <c r="H20" s="238" t="str">
        <f t="shared" si="1"/>
        <v>0</v>
      </c>
      <c r="I20" s="238">
        <f t="shared" si="2"/>
        <v>0</v>
      </c>
      <c r="J20" s="363">
        <f t="shared" si="0"/>
        <v>0</v>
      </c>
      <c r="K20">
        <f t="shared" si="3"/>
        <v>0</v>
      </c>
    </row>
    <row r="21" spans="1:11" ht="14.4" x14ac:dyDescent="0.3">
      <c r="A21" s="366">
        <v>187</v>
      </c>
      <c r="B21" s="366" t="s">
        <v>366</v>
      </c>
      <c r="C21" s="366" t="s">
        <v>366</v>
      </c>
      <c r="D21" s="363">
        <v>1175.046722</v>
      </c>
      <c r="E21" s="365" t="s">
        <v>362</v>
      </c>
      <c r="G21" s="238" t="str">
        <f>LEFT('Nährstoffe und Lagerraum'!$P$5,3)</f>
        <v>0</v>
      </c>
      <c r="H21" s="238" t="str">
        <f t="shared" si="1"/>
        <v>0</v>
      </c>
      <c r="I21" s="238">
        <f t="shared" si="2"/>
        <v>0</v>
      </c>
      <c r="J21" s="363">
        <f t="shared" si="0"/>
        <v>0</v>
      </c>
      <c r="K21">
        <f t="shared" si="3"/>
        <v>0</v>
      </c>
    </row>
    <row r="22" spans="1:11" ht="14.4" x14ac:dyDescent="0.3">
      <c r="A22" s="366">
        <v>188</v>
      </c>
      <c r="B22" s="366" t="s">
        <v>387</v>
      </c>
      <c r="C22" s="366" t="s">
        <v>387</v>
      </c>
      <c r="D22" s="363">
        <v>1013.233332</v>
      </c>
      <c r="E22" s="365" t="s">
        <v>362</v>
      </c>
      <c r="G22" s="238" t="str">
        <f>LEFT('Nährstoffe und Lagerraum'!$P$5,3)</f>
        <v>0</v>
      </c>
      <c r="H22" s="238" t="str">
        <f t="shared" si="1"/>
        <v>0</v>
      </c>
      <c r="I22" s="238">
        <f t="shared" si="2"/>
        <v>0</v>
      </c>
      <c r="J22" s="363">
        <f t="shared" si="0"/>
        <v>0</v>
      </c>
      <c r="K22">
        <f t="shared" si="3"/>
        <v>0</v>
      </c>
    </row>
    <row r="23" spans="1:11" ht="14.4" x14ac:dyDescent="0.3">
      <c r="A23" s="366">
        <v>189</v>
      </c>
      <c r="B23" s="366" t="s">
        <v>388</v>
      </c>
      <c r="C23" s="366" t="s">
        <v>388</v>
      </c>
      <c r="D23" s="363">
        <v>1342.6430640000001</v>
      </c>
      <c r="E23" s="365" t="s">
        <v>362</v>
      </c>
      <c r="G23" s="238" t="str">
        <f>LEFT('Nährstoffe und Lagerraum'!$P$5,3)</f>
        <v>0</v>
      </c>
      <c r="H23" s="238" t="str">
        <f t="shared" si="1"/>
        <v>0</v>
      </c>
      <c r="I23" s="238">
        <f t="shared" si="2"/>
        <v>0</v>
      </c>
      <c r="J23" s="363">
        <f t="shared" si="0"/>
        <v>0</v>
      </c>
      <c r="K23">
        <f t="shared" si="3"/>
        <v>0</v>
      </c>
    </row>
    <row r="24" spans="1:11" ht="14.4" x14ac:dyDescent="0.3">
      <c r="A24" s="366">
        <v>190</v>
      </c>
      <c r="B24" s="366" t="s">
        <v>389</v>
      </c>
      <c r="C24" s="366" t="s">
        <v>389</v>
      </c>
      <c r="D24" s="363">
        <v>1152.15878</v>
      </c>
      <c r="E24" s="365" t="s">
        <v>362</v>
      </c>
      <c r="G24" s="238" t="str">
        <f>LEFT('Nährstoffe und Lagerraum'!$P$5,3)</f>
        <v>0</v>
      </c>
      <c r="H24" s="238" t="str">
        <f t="shared" si="1"/>
        <v>0</v>
      </c>
      <c r="I24" s="238">
        <f t="shared" si="2"/>
        <v>0</v>
      </c>
      <c r="J24" s="363">
        <f t="shared" si="0"/>
        <v>0</v>
      </c>
      <c r="K24">
        <f t="shared" si="3"/>
        <v>0</v>
      </c>
    </row>
    <row r="25" spans="1:11" ht="14.4" x14ac:dyDescent="0.3">
      <c r="A25" s="366">
        <v>261</v>
      </c>
      <c r="B25" s="366" t="s">
        <v>390</v>
      </c>
      <c r="C25" s="366" t="s">
        <v>390</v>
      </c>
      <c r="D25" s="363">
        <v>728.73593700000004</v>
      </c>
      <c r="E25" s="365" t="s">
        <v>362</v>
      </c>
      <c r="G25" s="238" t="str">
        <f>LEFT('Nährstoffe und Lagerraum'!$P$5,3)</f>
        <v>0</v>
      </c>
      <c r="H25" s="238" t="str">
        <f t="shared" si="1"/>
        <v>0</v>
      </c>
      <c r="I25" s="238">
        <f t="shared" si="2"/>
        <v>0</v>
      </c>
      <c r="J25" s="363">
        <f t="shared" si="0"/>
        <v>0</v>
      </c>
      <c r="K25">
        <f t="shared" si="3"/>
        <v>0</v>
      </c>
    </row>
    <row r="26" spans="1:11" ht="14.4" x14ac:dyDescent="0.3">
      <c r="A26" s="366">
        <v>262</v>
      </c>
      <c r="B26" s="366" t="s">
        <v>391</v>
      </c>
      <c r="C26" s="366" t="s">
        <v>391</v>
      </c>
      <c r="D26" s="363">
        <v>809.39253799999994</v>
      </c>
      <c r="E26" s="365" t="s">
        <v>362</v>
      </c>
      <c r="G26" s="238" t="str">
        <f>LEFT('Nährstoffe und Lagerraum'!$P$5,3)</f>
        <v>0</v>
      </c>
      <c r="H26" s="238" t="str">
        <f t="shared" si="1"/>
        <v>0</v>
      </c>
      <c r="I26" s="238">
        <f t="shared" si="2"/>
        <v>0</v>
      </c>
      <c r="J26" s="363">
        <f t="shared" si="0"/>
        <v>0</v>
      </c>
      <c r="K26">
        <f t="shared" si="3"/>
        <v>0</v>
      </c>
    </row>
    <row r="27" spans="1:11" ht="14.4" x14ac:dyDescent="0.3">
      <c r="A27" s="366">
        <v>263</v>
      </c>
      <c r="B27" s="366" t="s">
        <v>392</v>
      </c>
      <c r="C27" s="366" t="s">
        <v>392</v>
      </c>
      <c r="D27" s="363">
        <v>647.20447799999999</v>
      </c>
      <c r="E27" s="365" t="s">
        <v>362</v>
      </c>
      <c r="G27" s="238" t="str">
        <f>LEFT('Nährstoffe und Lagerraum'!$P$5,3)</f>
        <v>0</v>
      </c>
      <c r="H27" s="238" t="str">
        <f t="shared" si="1"/>
        <v>0</v>
      </c>
      <c r="I27" s="238">
        <f t="shared" si="2"/>
        <v>0</v>
      </c>
      <c r="J27" s="363">
        <f t="shared" si="0"/>
        <v>0</v>
      </c>
      <c r="K27">
        <f t="shared" si="3"/>
        <v>0</v>
      </c>
    </row>
    <row r="28" spans="1:11" ht="14.4" x14ac:dyDescent="0.3">
      <c r="A28" s="366">
        <v>271</v>
      </c>
      <c r="B28" s="366" t="s">
        <v>393</v>
      </c>
      <c r="C28" s="366" t="s">
        <v>393</v>
      </c>
      <c r="D28" s="363">
        <v>857.99441300000001</v>
      </c>
      <c r="E28" s="365" t="s">
        <v>362</v>
      </c>
      <c r="G28" s="238" t="str">
        <f>LEFT('Nährstoffe und Lagerraum'!$P$5,3)</f>
        <v>0</v>
      </c>
      <c r="H28" s="238" t="str">
        <f t="shared" si="1"/>
        <v>0</v>
      </c>
      <c r="I28" s="238">
        <f t="shared" si="2"/>
        <v>0</v>
      </c>
      <c r="J28" s="363">
        <f t="shared" si="0"/>
        <v>0</v>
      </c>
      <c r="K28">
        <f t="shared" si="3"/>
        <v>0</v>
      </c>
    </row>
    <row r="29" spans="1:11" ht="14.4" x14ac:dyDescent="0.3">
      <c r="A29" s="366">
        <v>272</v>
      </c>
      <c r="B29" s="366" t="s">
        <v>394</v>
      </c>
      <c r="C29" s="366" t="s">
        <v>394</v>
      </c>
      <c r="D29" s="363">
        <v>1038.282976</v>
      </c>
      <c r="E29" s="365" t="s">
        <v>362</v>
      </c>
      <c r="G29" s="238" t="str">
        <f>LEFT('Nährstoffe und Lagerraum'!$P$5,3)</f>
        <v>0</v>
      </c>
      <c r="H29" s="238" t="str">
        <f t="shared" si="1"/>
        <v>0</v>
      </c>
      <c r="I29" s="238">
        <f t="shared" si="2"/>
        <v>0</v>
      </c>
      <c r="J29" s="363">
        <f t="shared" si="0"/>
        <v>0</v>
      </c>
      <c r="K29">
        <f t="shared" si="3"/>
        <v>0</v>
      </c>
    </row>
    <row r="30" spans="1:11" ht="14.4" x14ac:dyDescent="0.3">
      <c r="A30" s="366">
        <v>273</v>
      </c>
      <c r="B30" s="366" t="s">
        <v>395</v>
      </c>
      <c r="C30" s="366" t="s">
        <v>395</v>
      </c>
      <c r="D30" s="363">
        <v>700.64457900000002</v>
      </c>
      <c r="E30" s="365" t="s">
        <v>362</v>
      </c>
      <c r="G30" s="238" t="str">
        <f>LEFT('Nährstoffe und Lagerraum'!$P$5,3)</f>
        <v>0</v>
      </c>
      <c r="H30" s="238" t="str">
        <f t="shared" si="1"/>
        <v>0</v>
      </c>
      <c r="I30" s="238">
        <f t="shared" si="2"/>
        <v>0</v>
      </c>
      <c r="J30" s="363">
        <f t="shared" si="0"/>
        <v>0</v>
      </c>
      <c r="K30">
        <f t="shared" si="3"/>
        <v>0</v>
      </c>
    </row>
    <row r="31" spans="1:11" ht="14.4" x14ac:dyDescent="0.3">
      <c r="A31" s="366">
        <v>274</v>
      </c>
      <c r="B31" s="366" t="s">
        <v>390</v>
      </c>
      <c r="C31" s="366" t="s">
        <v>390</v>
      </c>
      <c r="D31" s="363">
        <v>751.70879500000001</v>
      </c>
      <c r="E31" s="365" t="s">
        <v>362</v>
      </c>
      <c r="G31" s="238" t="str">
        <f>LEFT('Nährstoffe und Lagerraum'!$P$5,3)</f>
        <v>0</v>
      </c>
      <c r="H31" s="238" t="str">
        <f t="shared" si="1"/>
        <v>0</v>
      </c>
      <c r="I31" s="238">
        <f t="shared" si="2"/>
        <v>0</v>
      </c>
      <c r="J31" s="363">
        <f t="shared" si="0"/>
        <v>0</v>
      </c>
      <c r="K31">
        <f t="shared" si="3"/>
        <v>0</v>
      </c>
    </row>
    <row r="32" spans="1:11" ht="14.4" x14ac:dyDescent="0.3">
      <c r="A32" s="366">
        <v>275</v>
      </c>
      <c r="B32" s="366" t="s">
        <v>391</v>
      </c>
      <c r="C32" s="366" t="s">
        <v>391</v>
      </c>
      <c r="D32" s="363">
        <v>841.87963300000001</v>
      </c>
      <c r="E32" s="365" t="s">
        <v>362</v>
      </c>
      <c r="G32" s="238" t="str">
        <f>LEFT('Nährstoffe und Lagerraum'!$P$5,3)</f>
        <v>0</v>
      </c>
      <c r="H32" s="238" t="str">
        <f t="shared" si="1"/>
        <v>0</v>
      </c>
      <c r="I32" s="238">
        <f t="shared" si="2"/>
        <v>0</v>
      </c>
      <c r="J32" s="363">
        <f t="shared" si="0"/>
        <v>0</v>
      </c>
      <c r="K32">
        <f t="shared" si="3"/>
        <v>0</v>
      </c>
    </row>
    <row r="33" spans="1:11" ht="14.4" x14ac:dyDescent="0.3">
      <c r="A33" s="366">
        <v>276</v>
      </c>
      <c r="B33" s="366" t="s">
        <v>396</v>
      </c>
      <c r="C33" s="366" t="s">
        <v>396</v>
      </c>
      <c r="D33" s="363">
        <v>1042.2642410000001</v>
      </c>
      <c r="E33" s="365" t="s">
        <v>362</v>
      </c>
      <c r="G33" s="238" t="str">
        <f>LEFT('Nährstoffe und Lagerraum'!$P$5,3)</f>
        <v>0</v>
      </c>
      <c r="H33" s="238" t="str">
        <f t="shared" si="1"/>
        <v>0</v>
      </c>
      <c r="I33" s="238">
        <f t="shared" si="2"/>
        <v>0</v>
      </c>
      <c r="J33" s="363">
        <f t="shared" si="0"/>
        <v>0</v>
      </c>
      <c r="K33">
        <f t="shared" si="3"/>
        <v>0</v>
      </c>
    </row>
    <row r="34" spans="1:11" ht="14.4" x14ac:dyDescent="0.3">
      <c r="A34" s="366">
        <v>277</v>
      </c>
      <c r="B34" s="366" t="s">
        <v>397</v>
      </c>
      <c r="C34" s="366" t="s">
        <v>397</v>
      </c>
      <c r="D34" s="363">
        <v>789.52893900000004</v>
      </c>
      <c r="E34" s="365" t="s">
        <v>362</v>
      </c>
      <c r="G34" s="238" t="str">
        <f>LEFT('Nährstoffe und Lagerraum'!$P$5,3)</f>
        <v>0</v>
      </c>
      <c r="H34" s="238" t="str">
        <f t="shared" si="1"/>
        <v>0</v>
      </c>
      <c r="I34" s="238">
        <f t="shared" si="2"/>
        <v>0</v>
      </c>
      <c r="J34" s="363">
        <f t="shared" ref="J34:J65" si="4">IF(I34=A34,1,0)</f>
        <v>0</v>
      </c>
      <c r="K34">
        <f t="shared" si="3"/>
        <v>0</v>
      </c>
    </row>
    <row r="35" spans="1:11" ht="14.4" x14ac:dyDescent="0.3">
      <c r="A35" s="366">
        <v>278</v>
      </c>
      <c r="B35" s="366" t="s">
        <v>398</v>
      </c>
      <c r="C35" s="366" t="s">
        <v>398</v>
      </c>
      <c r="D35" s="363">
        <v>756.96159499999999</v>
      </c>
      <c r="E35" s="365" t="s">
        <v>362</v>
      </c>
      <c r="G35" s="238" t="str">
        <f>LEFT('Nährstoffe und Lagerraum'!$P$5,3)</f>
        <v>0</v>
      </c>
      <c r="H35" s="238" t="str">
        <f t="shared" si="1"/>
        <v>0</v>
      </c>
      <c r="I35" s="238">
        <f t="shared" si="2"/>
        <v>0</v>
      </c>
      <c r="J35" s="363">
        <f t="shared" si="4"/>
        <v>0</v>
      </c>
      <c r="K35">
        <f t="shared" si="3"/>
        <v>0</v>
      </c>
    </row>
    <row r="36" spans="1:11" ht="14.4" x14ac:dyDescent="0.3">
      <c r="A36" s="366">
        <v>279</v>
      </c>
      <c r="B36" s="366" t="s">
        <v>399</v>
      </c>
      <c r="C36" s="366" t="s">
        <v>399</v>
      </c>
      <c r="D36" s="363">
        <v>717.49988699999994</v>
      </c>
      <c r="E36" s="365" t="s">
        <v>362</v>
      </c>
      <c r="G36" s="238" t="str">
        <f>LEFT('Nährstoffe und Lagerraum'!$P$5,3)</f>
        <v>0</v>
      </c>
      <c r="H36" s="238" t="str">
        <f t="shared" si="1"/>
        <v>0</v>
      </c>
      <c r="I36" s="238">
        <f t="shared" si="2"/>
        <v>0</v>
      </c>
      <c r="J36" s="363">
        <f t="shared" si="4"/>
        <v>0</v>
      </c>
      <c r="K36">
        <f t="shared" si="3"/>
        <v>0</v>
      </c>
    </row>
    <row r="37" spans="1:11" ht="14.4" x14ac:dyDescent="0.3">
      <c r="A37" s="366">
        <v>361</v>
      </c>
      <c r="B37" s="366" t="s">
        <v>400</v>
      </c>
      <c r="C37" s="366" t="s">
        <v>400</v>
      </c>
      <c r="D37" s="363">
        <v>642.48076700000001</v>
      </c>
      <c r="E37" s="365" t="s">
        <v>362</v>
      </c>
      <c r="G37" s="238" t="str">
        <f>LEFT('Nährstoffe und Lagerraum'!$P$5,3)</f>
        <v>0</v>
      </c>
      <c r="H37" s="238" t="str">
        <f t="shared" si="1"/>
        <v>0</v>
      </c>
      <c r="I37" s="238">
        <f t="shared" si="2"/>
        <v>0</v>
      </c>
      <c r="J37" s="363">
        <f t="shared" si="4"/>
        <v>0</v>
      </c>
      <c r="K37">
        <f t="shared" si="3"/>
        <v>0</v>
      </c>
    </row>
    <row r="38" spans="1:11" ht="14.4" x14ac:dyDescent="0.3">
      <c r="A38" s="366">
        <v>362</v>
      </c>
      <c r="B38" s="366" t="s">
        <v>401</v>
      </c>
      <c r="C38" s="366" t="s">
        <v>401</v>
      </c>
      <c r="D38" s="363">
        <v>645.39135699999997</v>
      </c>
      <c r="E38" s="365" t="s">
        <v>362</v>
      </c>
      <c r="G38" s="238" t="str">
        <f>LEFT('Nährstoffe und Lagerraum'!$P$5,3)</f>
        <v>0</v>
      </c>
      <c r="H38" s="238" t="str">
        <f t="shared" si="1"/>
        <v>0</v>
      </c>
      <c r="I38" s="238">
        <f t="shared" si="2"/>
        <v>0</v>
      </c>
      <c r="J38" s="363">
        <f t="shared" si="4"/>
        <v>0</v>
      </c>
      <c r="K38">
        <f t="shared" si="3"/>
        <v>0</v>
      </c>
    </row>
    <row r="39" spans="1:11" ht="14.4" x14ac:dyDescent="0.3">
      <c r="A39" s="366">
        <v>363</v>
      </c>
      <c r="B39" s="366" t="s">
        <v>402</v>
      </c>
      <c r="C39" s="366" t="s">
        <v>402</v>
      </c>
      <c r="D39" s="363">
        <v>662.62535100000002</v>
      </c>
      <c r="E39" s="365" t="s">
        <v>362</v>
      </c>
      <c r="G39" s="238" t="str">
        <f>LEFT('Nährstoffe und Lagerraum'!$P$5,3)</f>
        <v>0</v>
      </c>
      <c r="H39" s="238" t="str">
        <f t="shared" si="1"/>
        <v>0</v>
      </c>
      <c r="I39" s="238">
        <f t="shared" si="2"/>
        <v>0</v>
      </c>
      <c r="J39" s="363">
        <f t="shared" si="4"/>
        <v>0</v>
      </c>
      <c r="K39">
        <f t="shared" si="3"/>
        <v>0</v>
      </c>
    </row>
    <row r="40" spans="1:11" ht="14.4" x14ac:dyDescent="0.3">
      <c r="A40" s="366">
        <v>371</v>
      </c>
      <c r="B40" s="366" t="s">
        <v>403</v>
      </c>
      <c r="C40" s="366" t="s">
        <v>403</v>
      </c>
      <c r="D40" s="363">
        <v>703.27166699999998</v>
      </c>
      <c r="E40" s="365" t="s">
        <v>362</v>
      </c>
      <c r="G40" s="238" t="str">
        <f>LEFT('Nährstoffe und Lagerraum'!$P$5,3)</f>
        <v>0</v>
      </c>
      <c r="H40" s="238" t="str">
        <f t="shared" si="1"/>
        <v>0</v>
      </c>
      <c r="I40" s="238">
        <f t="shared" si="2"/>
        <v>0</v>
      </c>
      <c r="J40" s="363">
        <f t="shared" si="4"/>
        <v>0</v>
      </c>
      <c r="K40">
        <f t="shared" si="3"/>
        <v>0</v>
      </c>
    </row>
    <row r="41" spans="1:11" ht="14.4" x14ac:dyDescent="0.3">
      <c r="A41" s="366">
        <v>372</v>
      </c>
      <c r="B41" s="366" t="s">
        <v>404</v>
      </c>
      <c r="C41" s="366" t="s">
        <v>404</v>
      </c>
      <c r="D41" s="363">
        <v>792.32119699999998</v>
      </c>
      <c r="E41" s="365" t="s">
        <v>362</v>
      </c>
      <c r="G41" s="238" t="str">
        <f>LEFT('Nährstoffe und Lagerraum'!$P$5,3)</f>
        <v>0</v>
      </c>
      <c r="H41" s="238" t="str">
        <f t="shared" si="1"/>
        <v>0</v>
      </c>
      <c r="I41" s="238">
        <f t="shared" si="2"/>
        <v>0</v>
      </c>
      <c r="J41" s="363">
        <f t="shared" si="4"/>
        <v>0</v>
      </c>
      <c r="K41">
        <f t="shared" si="3"/>
        <v>0</v>
      </c>
    </row>
    <row r="42" spans="1:11" ht="14.4" x14ac:dyDescent="0.3">
      <c r="A42" s="366">
        <v>373</v>
      </c>
      <c r="B42" s="366" t="s">
        <v>405</v>
      </c>
      <c r="C42" s="366" t="s">
        <v>405</v>
      </c>
      <c r="D42" s="363">
        <v>739.75539800000001</v>
      </c>
      <c r="E42" s="365" t="s">
        <v>362</v>
      </c>
      <c r="G42" s="238" t="str">
        <f>LEFT('Nährstoffe und Lagerraum'!$P$5,3)</f>
        <v>0</v>
      </c>
      <c r="H42" s="238" t="str">
        <f t="shared" si="1"/>
        <v>0</v>
      </c>
      <c r="I42" s="238">
        <f t="shared" si="2"/>
        <v>0</v>
      </c>
      <c r="J42" s="363">
        <f t="shared" si="4"/>
        <v>0</v>
      </c>
      <c r="K42">
        <f t="shared" si="3"/>
        <v>0</v>
      </c>
    </row>
    <row r="43" spans="1:11" ht="14.4" x14ac:dyDescent="0.3">
      <c r="A43" s="366">
        <v>374</v>
      </c>
      <c r="B43" s="366" t="s">
        <v>406</v>
      </c>
      <c r="C43" s="366" t="s">
        <v>406</v>
      </c>
      <c r="D43" s="363">
        <v>698.95514700000001</v>
      </c>
      <c r="E43" s="365" t="s">
        <v>362</v>
      </c>
      <c r="G43" s="238" t="str">
        <f>LEFT('Nährstoffe und Lagerraum'!$P$5,3)</f>
        <v>0</v>
      </c>
      <c r="H43" s="238" t="str">
        <f t="shared" si="1"/>
        <v>0</v>
      </c>
      <c r="I43" s="238">
        <f t="shared" si="2"/>
        <v>0</v>
      </c>
      <c r="J43" s="363">
        <f t="shared" si="4"/>
        <v>0</v>
      </c>
      <c r="K43">
        <f t="shared" si="3"/>
        <v>0</v>
      </c>
    </row>
    <row r="44" spans="1:11" ht="14.4" x14ac:dyDescent="0.3">
      <c r="A44" s="366">
        <v>375</v>
      </c>
      <c r="B44" s="366" t="s">
        <v>401</v>
      </c>
      <c r="C44" s="366" t="s">
        <v>401</v>
      </c>
      <c r="D44" s="363">
        <v>679.05672400000003</v>
      </c>
      <c r="E44" s="365" t="s">
        <v>362</v>
      </c>
      <c r="G44" s="238" t="str">
        <f>LEFT('Nährstoffe und Lagerraum'!$P$5,3)</f>
        <v>0</v>
      </c>
      <c r="H44" s="238" t="str">
        <f t="shared" si="1"/>
        <v>0</v>
      </c>
      <c r="I44" s="238">
        <f t="shared" si="2"/>
        <v>0</v>
      </c>
      <c r="J44" s="363">
        <f t="shared" si="4"/>
        <v>0</v>
      </c>
      <c r="K44">
        <f t="shared" si="3"/>
        <v>0</v>
      </c>
    </row>
    <row r="45" spans="1:11" ht="14.4" x14ac:dyDescent="0.3">
      <c r="A45" s="366">
        <v>376</v>
      </c>
      <c r="B45" s="366" t="s">
        <v>407</v>
      </c>
      <c r="C45" s="366" t="s">
        <v>407</v>
      </c>
      <c r="D45" s="363">
        <v>681.42459199999996</v>
      </c>
      <c r="E45" s="365" t="s">
        <v>362</v>
      </c>
      <c r="G45" s="238" t="str">
        <f>LEFT('Nährstoffe und Lagerraum'!$P$5,3)</f>
        <v>0</v>
      </c>
      <c r="H45" s="238" t="str">
        <f t="shared" si="1"/>
        <v>0</v>
      </c>
      <c r="I45" s="238">
        <f t="shared" si="2"/>
        <v>0</v>
      </c>
      <c r="J45" s="363">
        <f t="shared" si="4"/>
        <v>0</v>
      </c>
      <c r="K45">
        <f t="shared" si="3"/>
        <v>0</v>
      </c>
    </row>
    <row r="46" spans="1:11" ht="14.4" x14ac:dyDescent="0.3">
      <c r="A46" s="366">
        <v>377</v>
      </c>
      <c r="B46" s="366" t="s">
        <v>408</v>
      </c>
      <c r="C46" s="366" t="s">
        <v>408</v>
      </c>
      <c r="D46" s="363">
        <v>733.12053900000001</v>
      </c>
      <c r="E46" s="365" t="s">
        <v>362</v>
      </c>
      <c r="G46" s="238" t="str">
        <f>LEFT('Nährstoffe und Lagerraum'!$P$5,3)</f>
        <v>0</v>
      </c>
      <c r="H46" s="238" t="str">
        <f t="shared" si="1"/>
        <v>0</v>
      </c>
      <c r="I46" s="238">
        <f t="shared" si="2"/>
        <v>0</v>
      </c>
      <c r="J46" s="363">
        <f t="shared" si="4"/>
        <v>0</v>
      </c>
      <c r="K46">
        <f t="shared" si="3"/>
        <v>0</v>
      </c>
    </row>
    <row r="47" spans="1:11" ht="14.4" x14ac:dyDescent="0.3">
      <c r="A47" s="366">
        <v>461</v>
      </c>
      <c r="B47" s="366" t="s">
        <v>409</v>
      </c>
      <c r="C47" s="366" t="s">
        <v>409</v>
      </c>
      <c r="D47" s="363">
        <v>624.23035600000003</v>
      </c>
      <c r="E47" s="365" t="s">
        <v>362</v>
      </c>
      <c r="G47" s="238" t="str">
        <f>LEFT('Nährstoffe und Lagerraum'!$P$5,3)</f>
        <v>0</v>
      </c>
      <c r="H47" s="238" t="str">
        <f t="shared" si="1"/>
        <v>0</v>
      </c>
      <c r="I47" s="238">
        <f t="shared" si="2"/>
        <v>0</v>
      </c>
      <c r="J47" s="363">
        <f t="shared" si="4"/>
        <v>0</v>
      </c>
      <c r="K47">
        <f t="shared" si="3"/>
        <v>0</v>
      </c>
    </row>
    <row r="48" spans="1:11" ht="14.4" x14ac:dyDescent="0.3">
      <c r="A48" s="366">
        <v>462</v>
      </c>
      <c r="B48" s="366" t="s">
        <v>410</v>
      </c>
      <c r="C48" s="366" t="s">
        <v>410</v>
      </c>
      <c r="D48" s="363">
        <v>689.04477499999996</v>
      </c>
      <c r="E48" s="365" t="s">
        <v>362</v>
      </c>
      <c r="G48" s="238" t="str">
        <f>LEFT('Nährstoffe und Lagerraum'!$P$5,3)</f>
        <v>0</v>
      </c>
      <c r="H48" s="238" t="str">
        <f t="shared" si="1"/>
        <v>0</v>
      </c>
      <c r="I48" s="238">
        <f t="shared" si="2"/>
        <v>0</v>
      </c>
      <c r="J48" s="363">
        <f t="shared" si="4"/>
        <v>0</v>
      </c>
      <c r="K48">
        <f t="shared" si="3"/>
        <v>0</v>
      </c>
    </row>
    <row r="49" spans="1:11" ht="14.4" x14ac:dyDescent="0.3">
      <c r="A49" s="366">
        <v>463</v>
      </c>
      <c r="B49" s="366" t="s">
        <v>411</v>
      </c>
      <c r="C49" s="366" t="s">
        <v>411</v>
      </c>
      <c r="D49" s="363">
        <v>685.33478400000001</v>
      </c>
      <c r="E49" s="365" t="s">
        <v>362</v>
      </c>
      <c r="G49" s="238" t="str">
        <f>LEFT('Nährstoffe und Lagerraum'!$P$5,3)</f>
        <v>0</v>
      </c>
      <c r="H49" s="238" t="str">
        <f t="shared" si="1"/>
        <v>0</v>
      </c>
      <c r="I49" s="238">
        <f t="shared" si="2"/>
        <v>0</v>
      </c>
      <c r="J49" s="363">
        <f t="shared" si="4"/>
        <v>0</v>
      </c>
      <c r="K49">
        <f t="shared" si="3"/>
        <v>0</v>
      </c>
    </row>
    <row r="50" spans="1:11" ht="14.4" x14ac:dyDescent="0.3">
      <c r="A50" s="366">
        <v>464</v>
      </c>
      <c r="B50" s="366" t="s">
        <v>412</v>
      </c>
      <c r="C50" s="366" t="s">
        <v>412</v>
      </c>
      <c r="D50" s="363">
        <v>661.28750000000002</v>
      </c>
      <c r="E50" s="365" t="s">
        <v>362</v>
      </c>
      <c r="G50" s="238" t="str">
        <f>LEFT('Nährstoffe und Lagerraum'!$P$5,3)</f>
        <v>0</v>
      </c>
      <c r="H50" s="238" t="str">
        <f t="shared" si="1"/>
        <v>0</v>
      </c>
      <c r="I50" s="238">
        <f t="shared" si="2"/>
        <v>0</v>
      </c>
      <c r="J50" s="363">
        <f t="shared" si="4"/>
        <v>0</v>
      </c>
      <c r="K50">
        <f t="shared" si="3"/>
        <v>0</v>
      </c>
    </row>
    <row r="51" spans="1:11" ht="14.4" x14ac:dyDescent="0.3">
      <c r="A51" s="366">
        <v>471</v>
      </c>
      <c r="B51" s="366" t="s">
        <v>409</v>
      </c>
      <c r="C51" s="366" t="s">
        <v>409</v>
      </c>
      <c r="D51" s="363">
        <v>677.51418799999999</v>
      </c>
      <c r="E51" s="365" t="s">
        <v>362</v>
      </c>
      <c r="G51" s="238" t="str">
        <f>LEFT('Nährstoffe und Lagerraum'!$P$5,3)</f>
        <v>0</v>
      </c>
      <c r="H51" s="238" t="str">
        <f t="shared" si="1"/>
        <v>0</v>
      </c>
      <c r="I51" s="238">
        <f t="shared" si="2"/>
        <v>0</v>
      </c>
      <c r="J51" s="363">
        <f t="shared" si="4"/>
        <v>0</v>
      </c>
      <c r="K51">
        <f t="shared" si="3"/>
        <v>0</v>
      </c>
    </row>
    <row r="52" spans="1:11" ht="14.4" x14ac:dyDescent="0.3">
      <c r="A52" s="366">
        <v>472</v>
      </c>
      <c r="B52" s="366" t="s">
        <v>410</v>
      </c>
      <c r="C52" s="366" t="s">
        <v>410</v>
      </c>
      <c r="D52" s="363">
        <v>805.22680200000002</v>
      </c>
      <c r="E52" s="365" t="s">
        <v>362</v>
      </c>
      <c r="G52" s="238" t="str">
        <f>LEFT('Nährstoffe und Lagerraum'!$P$5,3)</f>
        <v>0</v>
      </c>
      <c r="H52" s="238" t="str">
        <f t="shared" si="1"/>
        <v>0</v>
      </c>
      <c r="I52" s="238">
        <f t="shared" si="2"/>
        <v>0</v>
      </c>
      <c r="J52" s="363">
        <f t="shared" si="4"/>
        <v>0</v>
      </c>
      <c r="K52">
        <f t="shared" si="3"/>
        <v>0</v>
      </c>
    </row>
    <row r="53" spans="1:11" ht="14.4" x14ac:dyDescent="0.3">
      <c r="A53" s="366">
        <v>473</v>
      </c>
      <c r="B53" s="366" t="s">
        <v>411</v>
      </c>
      <c r="C53" s="366" t="s">
        <v>411</v>
      </c>
      <c r="D53" s="363">
        <v>674.53293699999995</v>
      </c>
      <c r="E53" s="365" t="s">
        <v>362</v>
      </c>
      <c r="G53" s="238" t="str">
        <f>LEFT('Nährstoffe und Lagerraum'!$P$5,3)</f>
        <v>0</v>
      </c>
      <c r="H53" s="238" t="str">
        <f t="shared" si="1"/>
        <v>0</v>
      </c>
      <c r="I53" s="238">
        <f t="shared" si="2"/>
        <v>0</v>
      </c>
      <c r="J53" s="363">
        <f t="shared" si="4"/>
        <v>0</v>
      </c>
      <c r="K53">
        <f t="shared" si="3"/>
        <v>0</v>
      </c>
    </row>
    <row r="54" spans="1:11" ht="14.4" x14ac:dyDescent="0.3">
      <c r="A54" s="366">
        <v>474</v>
      </c>
      <c r="B54" s="366" t="s">
        <v>413</v>
      </c>
      <c r="C54" s="366" t="s">
        <v>413</v>
      </c>
      <c r="D54" s="363">
        <v>762.59782199999995</v>
      </c>
      <c r="E54" s="365" t="s">
        <v>362</v>
      </c>
      <c r="G54" s="238" t="str">
        <f>LEFT('Nährstoffe und Lagerraum'!$P$5,3)</f>
        <v>0</v>
      </c>
      <c r="H54" s="238" t="str">
        <f t="shared" si="1"/>
        <v>0</v>
      </c>
      <c r="I54" s="238">
        <f t="shared" si="2"/>
        <v>0</v>
      </c>
      <c r="J54" s="363">
        <f t="shared" si="4"/>
        <v>0</v>
      </c>
      <c r="K54">
        <f t="shared" si="3"/>
        <v>0</v>
      </c>
    </row>
    <row r="55" spans="1:11" ht="14.4" x14ac:dyDescent="0.3">
      <c r="A55" s="366">
        <v>475</v>
      </c>
      <c r="B55" s="366" t="s">
        <v>412</v>
      </c>
      <c r="C55" s="366" t="s">
        <v>412</v>
      </c>
      <c r="D55" s="363">
        <v>766.46465999999998</v>
      </c>
      <c r="E55" s="365" t="s">
        <v>362</v>
      </c>
      <c r="G55" s="238" t="str">
        <f>LEFT('Nährstoffe und Lagerraum'!$P$5,3)</f>
        <v>0</v>
      </c>
      <c r="H55" s="238" t="str">
        <f t="shared" si="1"/>
        <v>0</v>
      </c>
      <c r="I55" s="238">
        <f t="shared" si="2"/>
        <v>0</v>
      </c>
      <c r="J55" s="363">
        <f t="shared" si="4"/>
        <v>0</v>
      </c>
      <c r="K55">
        <f t="shared" si="3"/>
        <v>0</v>
      </c>
    </row>
    <row r="56" spans="1:11" ht="14.4" x14ac:dyDescent="0.3">
      <c r="A56" s="366">
        <v>476</v>
      </c>
      <c r="B56" s="366" t="s">
        <v>414</v>
      </c>
      <c r="C56" s="366" t="s">
        <v>414</v>
      </c>
      <c r="D56" s="363">
        <v>840.09107700000004</v>
      </c>
      <c r="E56" s="365" t="s">
        <v>362</v>
      </c>
      <c r="G56" s="238" t="str">
        <f>LEFT('Nährstoffe und Lagerraum'!$P$5,3)</f>
        <v>0</v>
      </c>
      <c r="H56" s="238" t="str">
        <f t="shared" si="1"/>
        <v>0</v>
      </c>
      <c r="I56" s="238">
        <f t="shared" si="2"/>
        <v>0</v>
      </c>
      <c r="J56" s="363">
        <f t="shared" si="4"/>
        <v>0</v>
      </c>
      <c r="K56">
        <f t="shared" si="3"/>
        <v>0</v>
      </c>
    </row>
    <row r="57" spans="1:11" ht="14.4" x14ac:dyDescent="0.3">
      <c r="A57" s="366">
        <v>477</v>
      </c>
      <c r="B57" s="366" t="s">
        <v>415</v>
      </c>
      <c r="C57" s="366" t="s">
        <v>415</v>
      </c>
      <c r="D57" s="363">
        <v>754.01590799999997</v>
      </c>
      <c r="E57" s="365" t="s">
        <v>362</v>
      </c>
      <c r="G57" s="238" t="str">
        <f>LEFT('Nährstoffe und Lagerraum'!$P$5,3)</f>
        <v>0</v>
      </c>
      <c r="H57" s="238" t="str">
        <f t="shared" si="1"/>
        <v>0</v>
      </c>
      <c r="I57" s="238">
        <f t="shared" si="2"/>
        <v>0</v>
      </c>
      <c r="J57" s="363">
        <f t="shared" si="4"/>
        <v>0</v>
      </c>
      <c r="K57">
        <f t="shared" si="3"/>
        <v>0</v>
      </c>
    </row>
    <row r="58" spans="1:11" ht="14.4" x14ac:dyDescent="0.3">
      <c r="A58" s="366">
        <v>478</v>
      </c>
      <c r="B58" s="366" t="s">
        <v>416</v>
      </c>
      <c r="C58" s="366" t="s">
        <v>416</v>
      </c>
      <c r="D58" s="363">
        <v>663.68571299999996</v>
      </c>
      <c r="E58" s="365" t="s">
        <v>362</v>
      </c>
      <c r="G58" s="238" t="str">
        <f>LEFT('Nährstoffe und Lagerraum'!$P$5,3)</f>
        <v>0</v>
      </c>
      <c r="H58" s="238" t="str">
        <f t="shared" si="1"/>
        <v>0</v>
      </c>
      <c r="I58" s="238">
        <f t="shared" si="2"/>
        <v>0</v>
      </c>
      <c r="J58" s="363">
        <f t="shared" si="4"/>
        <v>0</v>
      </c>
      <c r="K58">
        <f t="shared" si="3"/>
        <v>0</v>
      </c>
    </row>
    <row r="59" spans="1:11" ht="14.4" x14ac:dyDescent="0.3">
      <c r="A59" s="366">
        <v>479</v>
      </c>
      <c r="B59" s="366" t="s">
        <v>417</v>
      </c>
      <c r="C59" s="366" t="s">
        <v>417</v>
      </c>
      <c r="D59" s="363">
        <v>761.51830399999994</v>
      </c>
      <c r="E59" s="365" t="s">
        <v>362</v>
      </c>
      <c r="G59" s="238" t="str">
        <f>LEFT('Nährstoffe und Lagerraum'!$P$5,3)</f>
        <v>0</v>
      </c>
      <c r="H59" s="238" t="str">
        <f t="shared" si="1"/>
        <v>0</v>
      </c>
      <c r="I59" s="238">
        <f t="shared" si="2"/>
        <v>0</v>
      </c>
      <c r="J59" s="363">
        <f t="shared" si="4"/>
        <v>0</v>
      </c>
      <c r="K59">
        <f t="shared" si="3"/>
        <v>0</v>
      </c>
    </row>
    <row r="60" spans="1:11" ht="14.4" x14ac:dyDescent="0.3">
      <c r="A60" s="366">
        <v>561</v>
      </c>
      <c r="B60" s="366" t="s">
        <v>418</v>
      </c>
      <c r="C60" s="366" t="s">
        <v>418</v>
      </c>
      <c r="D60" s="363">
        <v>641.50404100000003</v>
      </c>
      <c r="E60" s="365" t="s">
        <v>362</v>
      </c>
      <c r="G60" s="238" t="str">
        <f>LEFT('Nährstoffe und Lagerraum'!$P$5,3)</f>
        <v>0</v>
      </c>
      <c r="H60" s="238" t="str">
        <f t="shared" si="1"/>
        <v>0</v>
      </c>
      <c r="I60" s="238">
        <f t="shared" si="2"/>
        <v>0</v>
      </c>
      <c r="J60" s="363">
        <f t="shared" si="4"/>
        <v>0</v>
      </c>
      <c r="K60">
        <f t="shared" si="3"/>
        <v>0</v>
      </c>
    </row>
    <row r="61" spans="1:11" ht="14.4" x14ac:dyDescent="0.3">
      <c r="A61" s="366">
        <v>562</v>
      </c>
      <c r="B61" s="366" t="s">
        <v>419</v>
      </c>
      <c r="C61" s="366" t="s">
        <v>419</v>
      </c>
      <c r="D61" s="363">
        <v>620.00384499999996</v>
      </c>
      <c r="E61" s="365" t="s">
        <v>362</v>
      </c>
      <c r="G61" s="238" t="str">
        <f>LEFT('Nährstoffe und Lagerraum'!$P$5,3)</f>
        <v>0</v>
      </c>
      <c r="H61" s="238" t="str">
        <f t="shared" si="1"/>
        <v>0</v>
      </c>
      <c r="I61" s="238">
        <f t="shared" si="2"/>
        <v>0</v>
      </c>
      <c r="J61" s="363">
        <f t="shared" si="4"/>
        <v>0</v>
      </c>
      <c r="K61">
        <f t="shared" si="3"/>
        <v>0</v>
      </c>
    </row>
    <row r="62" spans="1:11" ht="14.4" x14ac:dyDescent="0.3">
      <c r="A62" s="366">
        <v>563</v>
      </c>
      <c r="B62" s="366" t="s">
        <v>420</v>
      </c>
      <c r="C62" s="366" t="s">
        <v>421</v>
      </c>
      <c r="D62" s="363">
        <v>578.62257899999997</v>
      </c>
      <c r="E62" s="365" t="s">
        <v>362</v>
      </c>
      <c r="G62" s="238" t="str">
        <f>LEFT('Nährstoffe und Lagerraum'!$P$5,3)</f>
        <v>0</v>
      </c>
      <c r="H62" s="238" t="str">
        <f t="shared" si="1"/>
        <v>0</v>
      </c>
      <c r="I62" s="238">
        <f t="shared" si="2"/>
        <v>0</v>
      </c>
      <c r="J62" s="363">
        <f t="shared" si="4"/>
        <v>0</v>
      </c>
      <c r="K62">
        <f t="shared" si="3"/>
        <v>0</v>
      </c>
    </row>
    <row r="63" spans="1:11" ht="14.4" x14ac:dyDescent="0.3">
      <c r="A63" s="366">
        <v>564</v>
      </c>
      <c r="B63" s="366" t="s">
        <v>422</v>
      </c>
      <c r="C63" s="366" t="s">
        <v>423</v>
      </c>
      <c r="D63" s="363">
        <v>608.04814999999996</v>
      </c>
      <c r="E63" s="365" t="s">
        <v>362</v>
      </c>
      <c r="G63" s="238" t="str">
        <f>LEFT('Nährstoffe und Lagerraum'!$P$5,3)</f>
        <v>0</v>
      </c>
      <c r="H63" s="238" t="str">
        <f t="shared" si="1"/>
        <v>0</v>
      </c>
      <c r="I63" s="238">
        <f t="shared" si="2"/>
        <v>0</v>
      </c>
      <c r="J63" s="363">
        <f t="shared" si="4"/>
        <v>0</v>
      </c>
      <c r="K63">
        <f t="shared" si="3"/>
        <v>0</v>
      </c>
    </row>
    <row r="64" spans="1:11" ht="14.4" x14ac:dyDescent="0.3">
      <c r="A64" s="366">
        <v>565</v>
      </c>
      <c r="B64" s="366" t="s">
        <v>424</v>
      </c>
      <c r="C64" s="366" t="s">
        <v>424</v>
      </c>
      <c r="D64" s="363">
        <v>610.95121800000004</v>
      </c>
      <c r="E64" s="365" t="s">
        <v>362</v>
      </c>
      <c r="G64" s="238" t="str">
        <f>LEFT('Nährstoffe und Lagerraum'!$P$5,3)</f>
        <v>0</v>
      </c>
      <c r="H64" s="238" t="str">
        <f t="shared" si="1"/>
        <v>0</v>
      </c>
      <c r="I64" s="238">
        <f t="shared" si="2"/>
        <v>0</v>
      </c>
      <c r="J64" s="363">
        <f t="shared" si="4"/>
        <v>0</v>
      </c>
      <c r="K64">
        <f t="shared" si="3"/>
        <v>0</v>
      </c>
    </row>
    <row r="65" spans="1:11" ht="14.4" x14ac:dyDescent="0.3">
      <c r="A65" s="366">
        <v>571</v>
      </c>
      <c r="B65" s="366" t="s">
        <v>418</v>
      </c>
      <c r="C65" s="366" t="s">
        <v>418</v>
      </c>
      <c r="D65" s="363">
        <v>650.69102399999997</v>
      </c>
      <c r="E65" s="365" t="s">
        <v>362</v>
      </c>
      <c r="G65" s="238" t="str">
        <f>LEFT('Nährstoffe und Lagerraum'!$P$5,3)</f>
        <v>0</v>
      </c>
      <c r="H65" s="238" t="str">
        <f t="shared" si="1"/>
        <v>0</v>
      </c>
      <c r="I65" s="238">
        <f t="shared" si="2"/>
        <v>0</v>
      </c>
      <c r="J65" s="363">
        <f t="shared" si="4"/>
        <v>0</v>
      </c>
      <c r="K65">
        <f t="shared" si="3"/>
        <v>0</v>
      </c>
    </row>
    <row r="66" spans="1:11" ht="14.4" x14ac:dyDescent="0.3">
      <c r="A66" s="366">
        <v>572</v>
      </c>
      <c r="B66" s="366" t="s">
        <v>425</v>
      </c>
      <c r="C66" s="366" t="s">
        <v>426</v>
      </c>
      <c r="D66" s="363">
        <v>623.15303600000004</v>
      </c>
      <c r="E66" s="365" t="s">
        <v>362</v>
      </c>
      <c r="G66" s="238" t="str">
        <f>LEFT('Nährstoffe und Lagerraum'!$P$5,3)</f>
        <v>0</v>
      </c>
      <c r="H66" s="238" t="str">
        <f t="shared" si="1"/>
        <v>0</v>
      </c>
      <c r="I66" s="238">
        <f t="shared" si="2"/>
        <v>0</v>
      </c>
      <c r="J66" s="363">
        <f t="shared" ref="J66:J97" si="5">IF(I66=A66,1,0)</f>
        <v>0</v>
      </c>
      <c r="K66">
        <f t="shared" si="3"/>
        <v>0</v>
      </c>
    </row>
    <row r="67" spans="1:11" ht="14.4" x14ac:dyDescent="0.3">
      <c r="A67" s="366">
        <v>573</v>
      </c>
      <c r="B67" s="366" t="s">
        <v>420</v>
      </c>
      <c r="C67" s="366" t="s">
        <v>421</v>
      </c>
      <c r="D67" s="363">
        <v>580.23709699999995</v>
      </c>
      <c r="E67" s="365" t="s">
        <v>362</v>
      </c>
      <c r="G67" s="238" t="str">
        <f>LEFT('Nährstoffe und Lagerraum'!$P$5,3)</f>
        <v>0</v>
      </c>
      <c r="H67" s="238" t="str">
        <f t="shared" ref="H67:H97" si="6">+G67</f>
        <v>0</v>
      </c>
      <c r="I67" s="238">
        <f t="shared" ref="I67:I97" si="7">VALUE(H67)</f>
        <v>0</v>
      </c>
      <c r="J67" s="363">
        <f t="shared" si="5"/>
        <v>0</v>
      </c>
      <c r="K67">
        <f t="shared" ref="K67:K97" si="8">IF(J67&gt;0,D67,0)</f>
        <v>0</v>
      </c>
    </row>
    <row r="68" spans="1:11" ht="14.4" x14ac:dyDescent="0.3">
      <c r="A68" s="366">
        <v>574</v>
      </c>
      <c r="B68" s="366" t="s">
        <v>427</v>
      </c>
      <c r="C68" s="366" t="s">
        <v>428</v>
      </c>
      <c r="D68" s="363">
        <v>788.97264700000005</v>
      </c>
      <c r="E68" s="365" t="s">
        <v>362</v>
      </c>
      <c r="G68" s="238" t="str">
        <f>LEFT('Nährstoffe und Lagerraum'!$P$5,3)</f>
        <v>0</v>
      </c>
      <c r="H68" s="238" t="str">
        <f t="shared" si="6"/>
        <v>0</v>
      </c>
      <c r="I68" s="238">
        <f t="shared" si="7"/>
        <v>0</v>
      </c>
      <c r="J68" s="363">
        <f t="shared" si="5"/>
        <v>0</v>
      </c>
      <c r="K68">
        <f t="shared" si="8"/>
        <v>0</v>
      </c>
    </row>
    <row r="69" spans="1:11" ht="14.4" x14ac:dyDescent="0.3">
      <c r="A69" s="366">
        <v>575</v>
      </c>
      <c r="B69" s="366" t="s">
        <v>429</v>
      </c>
      <c r="C69" s="366" t="s">
        <v>429</v>
      </c>
      <c r="D69" s="363">
        <v>605.22147900000004</v>
      </c>
      <c r="E69" s="365" t="s">
        <v>362</v>
      </c>
      <c r="G69" s="238" t="str">
        <f>LEFT('Nährstoffe und Lagerraum'!$P$5,3)</f>
        <v>0</v>
      </c>
      <c r="H69" s="238" t="str">
        <f t="shared" si="6"/>
        <v>0</v>
      </c>
      <c r="I69" s="238">
        <f t="shared" si="7"/>
        <v>0</v>
      </c>
      <c r="J69" s="363">
        <f t="shared" si="5"/>
        <v>0</v>
      </c>
      <c r="K69">
        <f t="shared" si="8"/>
        <v>0</v>
      </c>
    </row>
    <row r="70" spans="1:11" ht="14.4" x14ac:dyDescent="0.3">
      <c r="A70" s="366">
        <v>576</v>
      </c>
      <c r="B70" s="366" t="s">
        <v>430</v>
      </c>
      <c r="C70" s="366" t="s">
        <v>430</v>
      </c>
      <c r="D70" s="363">
        <v>663.53083800000002</v>
      </c>
      <c r="E70" s="365" t="s">
        <v>362</v>
      </c>
      <c r="G70" s="238" t="str">
        <f>LEFT('Nährstoffe und Lagerraum'!$P$5,3)</f>
        <v>0</v>
      </c>
      <c r="H70" s="238" t="str">
        <f t="shared" si="6"/>
        <v>0</v>
      </c>
      <c r="I70" s="238">
        <f t="shared" si="7"/>
        <v>0</v>
      </c>
      <c r="J70" s="363">
        <f t="shared" si="5"/>
        <v>0</v>
      </c>
      <c r="K70">
        <f t="shared" si="8"/>
        <v>0</v>
      </c>
    </row>
    <row r="71" spans="1:11" ht="14.4" x14ac:dyDescent="0.3">
      <c r="A71" s="366">
        <v>577</v>
      </c>
      <c r="B71" s="366" t="s">
        <v>431</v>
      </c>
      <c r="C71" s="366" t="s">
        <v>432</v>
      </c>
      <c r="D71" s="363">
        <v>698.06765800000005</v>
      </c>
      <c r="E71" s="365" t="s">
        <v>362</v>
      </c>
      <c r="G71" s="238" t="str">
        <f>LEFT('Nährstoffe und Lagerraum'!$P$5,3)</f>
        <v>0</v>
      </c>
      <c r="H71" s="238" t="str">
        <f t="shared" si="6"/>
        <v>0</v>
      </c>
      <c r="I71" s="238">
        <f t="shared" si="7"/>
        <v>0</v>
      </c>
      <c r="J71" s="363">
        <f t="shared" si="5"/>
        <v>0</v>
      </c>
      <c r="K71">
        <f t="shared" si="8"/>
        <v>0</v>
      </c>
    </row>
    <row r="72" spans="1:11" ht="14.4" x14ac:dyDescent="0.3">
      <c r="A72" s="366">
        <v>661</v>
      </c>
      <c r="B72" s="366" t="s">
        <v>433</v>
      </c>
      <c r="C72" s="366" t="s">
        <v>433</v>
      </c>
      <c r="D72" s="363">
        <v>653.116129</v>
      </c>
      <c r="E72" s="365" t="s">
        <v>362</v>
      </c>
      <c r="G72" s="238" t="str">
        <f>LEFT('Nährstoffe und Lagerraum'!$P$5,3)</f>
        <v>0</v>
      </c>
      <c r="H72" s="238" t="str">
        <f t="shared" si="6"/>
        <v>0</v>
      </c>
      <c r="I72" s="238">
        <f t="shared" si="7"/>
        <v>0</v>
      </c>
      <c r="J72" s="363">
        <f t="shared" si="5"/>
        <v>0</v>
      </c>
      <c r="K72">
        <f t="shared" si="8"/>
        <v>0</v>
      </c>
    </row>
    <row r="73" spans="1:11" ht="14.4" x14ac:dyDescent="0.3">
      <c r="A73" s="366">
        <v>662</v>
      </c>
      <c r="B73" s="366" t="s">
        <v>434</v>
      </c>
      <c r="C73" s="366" t="s">
        <v>434</v>
      </c>
      <c r="D73" s="363">
        <v>550.47714299999996</v>
      </c>
      <c r="E73" s="365" t="s">
        <v>362</v>
      </c>
      <c r="G73" s="238" t="str">
        <f>LEFT('Nährstoffe und Lagerraum'!$P$5,3)</f>
        <v>0</v>
      </c>
      <c r="H73" s="238" t="str">
        <f t="shared" si="6"/>
        <v>0</v>
      </c>
      <c r="I73" s="238">
        <f t="shared" si="7"/>
        <v>0</v>
      </c>
      <c r="J73" s="363">
        <f t="shared" si="5"/>
        <v>0</v>
      </c>
      <c r="K73">
        <f t="shared" si="8"/>
        <v>0</v>
      </c>
    </row>
    <row r="74" spans="1:11" ht="14.4" x14ac:dyDescent="0.3">
      <c r="A74" s="366">
        <v>663</v>
      </c>
      <c r="B74" s="366" t="s">
        <v>435</v>
      </c>
      <c r="C74" s="366" t="s">
        <v>436</v>
      </c>
      <c r="D74" s="363">
        <v>571.78681500000005</v>
      </c>
      <c r="E74" s="365" t="s">
        <v>362</v>
      </c>
      <c r="G74" s="238" t="str">
        <f>LEFT('Nährstoffe und Lagerraum'!$P$5,3)</f>
        <v>0</v>
      </c>
      <c r="H74" s="238" t="str">
        <f t="shared" si="6"/>
        <v>0</v>
      </c>
      <c r="I74" s="238">
        <f t="shared" si="7"/>
        <v>0</v>
      </c>
      <c r="J74" s="363">
        <f t="shared" si="5"/>
        <v>0</v>
      </c>
      <c r="K74">
        <f t="shared" si="8"/>
        <v>0</v>
      </c>
    </row>
    <row r="75" spans="1:11" ht="14.4" x14ac:dyDescent="0.3">
      <c r="A75" s="366">
        <v>671</v>
      </c>
      <c r="B75" s="366" t="s">
        <v>433</v>
      </c>
      <c r="C75" s="366" t="s">
        <v>433</v>
      </c>
      <c r="D75" s="363">
        <v>796.91510900000003</v>
      </c>
      <c r="E75" s="365" t="s">
        <v>362</v>
      </c>
      <c r="G75" s="238" t="str">
        <f>LEFT('Nährstoffe und Lagerraum'!$P$5,3)</f>
        <v>0</v>
      </c>
      <c r="H75" s="238" t="str">
        <f t="shared" si="6"/>
        <v>0</v>
      </c>
      <c r="I75" s="238">
        <f t="shared" si="7"/>
        <v>0</v>
      </c>
      <c r="J75" s="363">
        <f t="shared" si="5"/>
        <v>0</v>
      </c>
      <c r="K75">
        <f t="shared" si="8"/>
        <v>0</v>
      </c>
    </row>
    <row r="76" spans="1:11" ht="14.4" x14ac:dyDescent="0.3">
      <c r="A76" s="366">
        <v>672</v>
      </c>
      <c r="B76" s="366" t="s">
        <v>437</v>
      </c>
      <c r="C76" s="366" t="s">
        <v>437</v>
      </c>
      <c r="D76" s="363">
        <v>690.65356199999997</v>
      </c>
      <c r="E76" s="365" t="s">
        <v>362</v>
      </c>
      <c r="G76" s="238" t="str">
        <f>LEFT('Nährstoffe und Lagerraum'!$P$5,3)</f>
        <v>0</v>
      </c>
      <c r="H76" s="238" t="str">
        <f t="shared" si="6"/>
        <v>0</v>
      </c>
      <c r="I76" s="238">
        <f t="shared" si="7"/>
        <v>0</v>
      </c>
      <c r="J76" s="363">
        <f t="shared" si="5"/>
        <v>0</v>
      </c>
      <c r="K76">
        <f t="shared" si="8"/>
        <v>0</v>
      </c>
    </row>
    <row r="77" spans="1:11" ht="14.4" x14ac:dyDescent="0.3">
      <c r="A77" s="366">
        <v>673</v>
      </c>
      <c r="B77" s="366" t="s">
        <v>438</v>
      </c>
      <c r="C77" s="366" t="s">
        <v>439</v>
      </c>
      <c r="D77" s="363">
        <v>675.03013499999997</v>
      </c>
      <c r="E77" s="365" t="s">
        <v>362</v>
      </c>
      <c r="G77" s="238" t="str">
        <f>LEFT('Nährstoffe und Lagerraum'!$P$5,3)</f>
        <v>0</v>
      </c>
      <c r="H77" s="238" t="str">
        <f t="shared" si="6"/>
        <v>0</v>
      </c>
      <c r="I77" s="238">
        <f t="shared" si="7"/>
        <v>0</v>
      </c>
      <c r="J77" s="363">
        <f t="shared" si="5"/>
        <v>0</v>
      </c>
      <c r="K77">
        <f t="shared" si="8"/>
        <v>0</v>
      </c>
    </row>
    <row r="78" spans="1:11" ht="14.4" x14ac:dyDescent="0.3">
      <c r="A78" s="366">
        <v>674</v>
      </c>
      <c r="B78" s="366" t="s">
        <v>440</v>
      </c>
      <c r="C78" s="366" t="s">
        <v>441</v>
      </c>
      <c r="D78" s="363">
        <v>636.13746000000003</v>
      </c>
      <c r="E78" s="365" t="s">
        <v>362</v>
      </c>
      <c r="G78" s="238" t="str">
        <f>LEFT('Nährstoffe und Lagerraum'!$P$5,3)</f>
        <v>0</v>
      </c>
      <c r="H78" s="238" t="str">
        <f t="shared" si="6"/>
        <v>0</v>
      </c>
      <c r="I78" s="238">
        <f t="shared" si="7"/>
        <v>0</v>
      </c>
      <c r="J78" s="363">
        <f t="shared" si="5"/>
        <v>0</v>
      </c>
      <c r="K78">
        <f t="shared" si="8"/>
        <v>0</v>
      </c>
    </row>
    <row r="79" spans="1:11" ht="14.4" x14ac:dyDescent="0.3">
      <c r="A79" s="366">
        <v>675</v>
      </c>
      <c r="B79" s="366" t="s">
        <v>442</v>
      </c>
      <c r="C79" s="366" t="s">
        <v>442</v>
      </c>
      <c r="D79" s="363">
        <v>578.59883300000001</v>
      </c>
      <c r="E79" s="365" t="s">
        <v>362</v>
      </c>
      <c r="G79" s="238" t="str">
        <f>LEFT('Nährstoffe und Lagerraum'!$P$5,3)</f>
        <v>0</v>
      </c>
      <c r="H79" s="238" t="str">
        <f t="shared" si="6"/>
        <v>0</v>
      </c>
      <c r="I79" s="238">
        <f t="shared" si="7"/>
        <v>0</v>
      </c>
      <c r="J79" s="363">
        <f t="shared" si="5"/>
        <v>0</v>
      </c>
      <c r="K79">
        <f t="shared" si="8"/>
        <v>0</v>
      </c>
    </row>
    <row r="80" spans="1:11" ht="14.4" x14ac:dyDescent="0.3">
      <c r="A80" s="366">
        <v>676</v>
      </c>
      <c r="B80" s="366" t="s">
        <v>443</v>
      </c>
      <c r="C80" s="366" t="s">
        <v>443</v>
      </c>
      <c r="D80" s="363">
        <v>708.85569499999997</v>
      </c>
      <c r="E80" s="365" t="s">
        <v>362</v>
      </c>
      <c r="G80" s="238" t="str">
        <f>LEFT('Nährstoffe und Lagerraum'!$P$5,3)</f>
        <v>0</v>
      </c>
      <c r="H80" s="238" t="str">
        <f t="shared" si="6"/>
        <v>0</v>
      </c>
      <c r="I80" s="238">
        <f t="shared" si="7"/>
        <v>0</v>
      </c>
      <c r="J80" s="363">
        <f t="shared" si="5"/>
        <v>0</v>
      </c>
      <c r="K80">
        <f t="shared" si="8"/>
        <v>0</v>
      </c>
    </row>
    <row r="81" spans="1:11" ht="14.4" x14ac:dyDescent="0.3">
      <c r="A81" s="366">
        <v>677</v>
      </c>
      <c r="B81" s="366" t="s">
        <v>444</v>
      </c>
      <c r="C81" s="366" t="s">
        <v>444</v>
      </c>
      <c r="D81" s="363">
        <v>714.86358199999995</v>
      </c>
      <c r="E81" s="365" t="s">
        <v>362</v>
      </c>
      <c r="G81" s="238" t="str">
        <f>LEFT('Nährstoffe und Lagerraum'!$P$5,3)</f>
        <v>0</v>
      </c>
      <c r="H81" s="238" t="str">
        <f t="shared" si="6"/>
        <v>0</v>
      </c>
      <c r="I81" s="238">
        <f t="shared" si="7"/>
        <v>0</v>
      </c>
      <c r="J81" s="363">
        <f t="shared" si="5"/>
        <v>0</v>
      </c>
      <c r="K81">
        <f t="shared" si="8"/>
        <v>0</v>
      </c>
    </row>
    <row r="82" spans="1:11" ht="14.4" x14ac:dyDescent="0.3">
      <c r="A82" s="366">
        <v>678</v>
      </c>
      <c r="B82" s="366" t="s">
        <v>434</v>
      </c>
      <c r="C82" s="366" t="s">
        <v>434</v>
      </c>
      <c r="D82" s="363">
        <v>593.07196199999998</v>
      </c>
      <c r="E82" s="365" t="s">
        <v>362</v>
      </c>
      <c r="G82" s="238" t="str">
        <f>LEFT('Nährstoffe und Lagerraum'!$P$5,3)</f>
        <v>0</v>
      </c>
      <c r="H82" s="238" t="str">
        <f t="shared" si="6"/>
        <v>0</v>
      </c>
      <c r="I82" s="238">
        <f t="shared" si="7"/>
        <v>0</v>
      </c>
      <c r="J82" s="363">
        <f t="shared" si="5"/>
        <v>0</v>
      </c>
      <c r="K82">
        <f t="shared" si="8"/>
        <v>0</v>
      </c>
    </row>
    <row r="83" spans="1:11" ht="14.4" x14ac:dyDescent="0.3">
      <c r="A83" s="366">
        <v>679</v>
      </c>
      <c r="B83" s="366" t="s">
        <v>435</v>
      </c>
      <c r="C83" s="366" t="s">
        <v>436</v>
      </c>
      <c r="D83" s="363">
        <v>596.123695</v>
      </c>
      <c r="E83" s="365" t="s">
        <v>362</v>
      </c>
      <c r="G83" s="238" t="str">
        <f>LEFT('Nährstoffe und Lagerraum'!$P$5,3)</f>
        <v>0</v>
      </c>
      <c r="H83" s="238" t="str">
        <f t="shared" si="6"/>
        <v>0</v>
      </c>
      <c r="I83" s="238">
        <f t="shared" si="7"/>
        <v>0</v>
      </c>
      <c r="J83" s="363">
        <f t="shared" si="5"/>
        <v>0</v>
      </c>
      <c r="K83">
        <f t="shared" si="8"/>
        <v>0</v>
      </c>
    </row>
    <row r="84" spans="1:11" ht="14.4" x14ac:dyDescent="0.3">
      <c r="A84" s="366">
        <v>761</v>
      </c>
      <c r="B84" s="366" t="s">
        <v>445</v>
      </c>
      <c r="C84" s="366" t="s">
        <v>445</v>
      </c>
      <c r="D84" s="363">
        <v>784.74589200000003</v>
      </c>
      <c r="E84" s="365" t="s">
        <v>362</v>
      </c>
      <c r="G84" s="238" t="str">
        <f>LEFT('Nährstoffe und Lagerraum'!$P$5,3)</f>
        <v>0</v>
      </c>
      <c r="H84" s="238" t="str">
        <f t="shared" si="6"/>
        <v>0</v>
      </c>
      <c r="I84" s="238">
        <f t="shared" si="7"/>
        <v>0</v>
      </c>
      <c r="J84" s="363">
        <f t="shared" si="5"/>
        <v>0</v>
      </c>
      <c r="K84">
        <f t="shared" si="8"/>
        <v>0</v>
      </c>
    </row>
    <row r="85" spans="1:11" ht="14.4" x14ac:dyDescent="0.3">
      <c r="A85" s="366">
        <v>762</v>
      </c>
      <c r="B85" s="366" t="s">
        <v>446</v>
      </c>
      <c r="C85" s="366" t="s">
        <v>446</v>
      </c>
      <c r="D85" s="363">
        <v>1070.4261980000001</v>
      </c>
      <c r="E85" s="365" t="s">
        <v>362</v>
      </c>
      <c r="G85" s="238" t="str">
        <f>LEFT('Nährstoffe und Lagerraum'!$P$5,3)</f>
        <v>0</v>
      </c>
      <c r="H85" s="238" t="str">
        <f t="shared" si="6"/>
        <v>0</v>
      </c>
      <c r="I85" s="238">
        <f t="shared" si="7"/>
        <v>0</v>
      </c>
      <c r="J85" s="363">
        <f t="shared" si="5"/>
        <v>0</v>
      </c>
      <c r="K85">
        <f t="shared" si="8"/>
        <v>0</v>
      </c>
    </row>
    <row r="86" spans="1:11" ht="14.4" x14ac:dyDescent="0.3">
      <c r="A86" s="366">
        <v>763</v>
      </c>
      <c r="B86" s="366" t="s">
        <v>447</v>
      </c>
      <c r="C86" s="366" t="s">
        <v>448</v>
      </c>
      <c r="D86" s="363">
        <v>1267.7194099999999</v>
      </c>
      <c r="E86" s="365" t="s">
        <v>362</v>
      </c>
      <c r="G86" s="238" t="str">
        <f>LEFT('Nährstoffe und Lagerraum'!$P$5,3)</f>
        <v>0</v>
      </c>
      <c r="H86" s="238" t="str">
        <f t="shared" si="6"/>
        <v>0</v>
      </c>
      <c r="I86" s="238">
        <f t="shared" si="7"/>
        <v>0</v>
      </c>
      <c r="J86" s="363">
        <f t="shared" si="5"/>
        <v>0</v>
      </c>
      <c r="K86">
        <f t="shared" si="8"/>
        <v>0</v>
      </c>
    </row>
    <row r="87" spans="1:11" ht="14.4" x14ac:dyDescent="0.3">
      <c r="A87" s="366">
        <v>764</v>
      </c>
      <c r="B87" s="366" t="s">
        <v>449</v>
      </c>
      <c r="C87" s="366" t="s">
        <v>449</v>
      </c>
      <c r="D87" s="363">
        <v>954.05857200000003</v>
      </c>
      <c r="E87" s="365" t="s">
        <v>362</v>
      </c>
      <c r="G87" s="238" t="str">
        <f>LEFT('Nährstoffe und Lagerraum'!$P$5,3)</f>
        <v>0</v>
      </c>
      <c r="H87" s="238" t="str">
        <f t="shared" si="6"/>
        <v>0</v>
      </c>
      <c r="I87" s="238">
        <f t="shared" si="7"/>
        <v>0</v>
      </c>
      <c r="J87" s="363">
        <f t="shared" si="5"/>
        <v>0</v>
      </c>
      <c r="K87">
        <f t="shared" si="8"/>
        <v>0</v>
      </c>
    </row>
    <row r="88" spans="1:11" ht="14.4" x14ac:dyDescent="0.3">
      <c r="A88" s="366">
        <v>771</v>
      </c>
      <c r="B88" s="366" t="s">
        <v>450</v>
      </c>
      <c r="C88" s="366" t="s">
        <v>450</v>
      </c>
      <c r="D88" s="363">
        <v>783.19884500000001</v>
      </c>
      <c r="E88" s="365" t="s">
        <v>362</v>
      </c>
      <c r="G88" s="238" t="str">
        <f>LEFT('Nährstoffe und Lagerraum'!$P$5,3)</f>
        <v>0</v>
      </c>
      <c r="H88" s="238" t="str">
        <f t="shared" si="6"/>
        <v>0</v>
      </c>
      <c r="I88" s="238">
        <f t="shared" si="7"/>
        <v>0</v>
      </c>
      <c r="J88" s="363">
        <f t="shared" si="5"/>
        <v>0</v>
      </c>
      <c r="K88">
        <f t="shared" si="8"/>
        <v>0</v>
      </c>
    </row>
    <row r="89" spans="1:11" ht="14.4" x14ac:dyDescent="0.3">
      <c r="A89" s="366">
        <v>772</v>
      </c>
      <c r="B89" s="366" t="s">
        <v>445</v>
      </c>
      <c r="C89" s="366" t="s">
        <v>445</v>
      </c>
      <c r="D89" s="363">
        <v>815.15079000000003</v>
      </c>
      <c r="E89" s="365" t="s">
        <v>362</v>
      </c>
      <c r="G89" s="238" t="str">
        <f>LEFT('Nährstoffe und Lagerraum'!$P$5,3)</f>
        <v>0</v>
      </c>
      <c r="H89" s="238" t="str">
        <f t="shared" si="6"/>
        <v>0</v>
      </c>
      <c r="I89" s="238">
        <f t="shared" si="7"/>
        <v>0</v>
      </c>
      <c r="J89" s="363">
        <f t="shared" si="5"/>
        <v>0</v>
      </c>
      <c r="K89">
        <f t="shared" si="8"/>
        <v>0</v>
      </c>
    </row>
    <row r="90" spans="1:11" ht="14.4" x14ac:dyDescent="0.3">
      <c r="A90" s="366">
        <v>773</v>
      </c>
      <c r="B90" s="366" t="s">
        <v>451</v>
      </c>
      <c r="C90" s="366" t="s">
        <v>451</v>
      </c>
      <c r="D90" s="363">
        <v>686.38991199999998</v>
      </c>
      <c r="E90" s="365" t="s">
        <v>362</v>
      </c>
      <c r="G90" s="238" t="str">
        <f>LEFT('Nährstoffe und Lagerraum'!$P$5,3)</f>
        <v>0</v>
      </c>
      <c r="H90" s="238" t="str">
        <f t="shared" si="6"/>
        <v>0</v>
      </c>
      <c r="I90" s="238">
        <f t="shared" si="7"/>
        <v>0</v>
      </c>
      <c r="J90" s="363">
        <f t="shared" si="5"/>
        <v>0</v>
      </c>
      <c r="K90">
        <f t="shared" si="8"/>
        <v>0</v>
      </c>
    </row>
    <row r="91" spans="1:11" ht="14.4" x14ac:dyDescent="0.3">
      <c r="A91" s="366">
        <v>774</v>
      </c>
      <c r="B91" s="366" t="s">
        <v>452</v>
      </c>
      <c r="C91" s="366" t="s">
        <v>453</v>
      </c>
      <c r="D91" s="363">
        <v>779.68375300000002</v>
      </c>
      <c r="E91" s="365" t="s">
        <v>362</v>
      </c>
      <c r="G91" s="238" t="str">
        <f>LEFT('Nährstoffe und Lagerraum'!$P$5,3)</f>
        <v>0</v>
      </c>
      <c r="H91" s="238" t="str">
        <f t="shared" si="6"/>
        <v>0</v>
      </c>
      <c r="I91" s="238">
        <f t="shared" si="7"/>
        <v>0</v>
      </c>
      <c r="J91" s="363">
        <f t="shared" si="5"/>
        <v>0</v>
      </c>
      <c r="K91">
        <f t="shared" si="8"/>
        <v>0</v>
      </c>
    </row>
    <row r="92" spans="1:11" ht="14.4" x14ac:dyDescent="0.3">
      <c r="A92" s="366">
        <v>775</v>
      </c>
      <c r="B92" s="366" t="s">
        <v>454</v>
      </c>
      <c r="C92" s="366" t="s">
        <v>454</v>
      </c>
      <c r="D92" s="363">
        <v>783.64961700000003</v>
      </c>
      <c r="E92" s="365" t="s">
        <v>362</v>
      </c>
      <c r="G92" s="238" t="str">
        <f>LEFT('Nährstoffe und Lagerraum'!$P$5,3)</f>
        <v>0</v>
      </c>
      <c r="H92" s="238" t="str">
        <f t="shared" si="6"/>
        <v>0</v>
      </c>
      <c r="I92" s="238">
        <f t="shared" si="7"/>
        <v>0</v>
      </c>
      <c r="J92" s="363">
        <f t="shared" si="5"/>
        <v>0</v>
      </c>
      <c r="K92">
        <f t="shared" si="8"/>
        <v>0</v>
      </c>
    </row>
    <row r="93" spans="1:11" ht="14.4" x14ac:dyDescent="0.3">
      <c r="A93" s="366">
        <v>776</v>
      </c>
      <c r="B93" s="366" t="s">
        <v>455</v>
      </c>
      <c r="C93" s="366" t="s">
        <v>455</v>
      </c>
      <c r="D93" s="363">
        <v>1552.55107</v>
      </c>
      <c r="E93" s="365" t="s">
        <v>362</v>
      </c>
      <c r="G93" s="238" t="str">
        <f>LEFT('Nährstoffe und Lagerraum'!$P$5,3)</f>
        <v>0</v>
      </c>
      <c r="H93" s="238" t="str">
        <f t="shared" si="6"/>
        <v>0</v>
      </c>
      <c r="I93" s="238">
        <f t="shared" si="7"/>
        <v>0</v>
      </c>
      <c r="J93" s="363">
        <f t="shared" si="5"/>
        <v>0</v>
      </c>
      <c r="K93">
        <f t="shared" si="8"/>
        <v>0</v>
      </c>
    </row>
    <row r="94" spans="1:11" ht="14.4" x14ac:dyDescent="0.3">
      <c r="A94" s="366">
        <v>777</v>
      </c>
      <c r="B94" s="366" t="s">
        <v>456</v>
      </c>
      <c r="C94" s="366" t="s">
        <v>457</v>
      </c>
      <c r="D94" s="363">
        <v>1239.5021609999999</v>
      </c>
      <c r="E94" s="365" t="s">
        <v>362</v>
      </c>
      <c r="G94" s="238" t="str">
        <f>LEFT('Nährstoffe und Lagerraum'!$P$5,3)</f>
        <v>0</v>
      </c>
      <c r="H94" s="238" t="str">
        <f t="shared" si="6"/>
        <v>0</v>
      </c>
      <c r="I94" s="238">
        <f t="shared" si="7"/>
        <v>0</v>
      </c>
      <c r="J94" s="363">
        <f t="shared" si="5"/>
        <v>0</v>
      </c>
      <c r="K94">
        <f t="shared" si="8"/>
        <v>0</v>
      </c>
    </row>
    <row r="95" spans="1:11" ht="14.4" x14ac:dyDescent="0.3">
      <c r="A95" s="366">
        <v>778</v>
      </c>
      <c r="B95" s="366" t="s">
        <v>458</v>
      </c>
      <c r="C95" s="366" t="s">
        <v>459</v>
      </c>
      <c r="D95" s="363">
        <v>957.17201999999997</v>
      </c>
      <c r="E95" s="365" t="s">
        <v>362</v>
      </c>
      <c r="G95" s="238" t="str">
        <f>LEFT('Nährstoffe und Lagerraum'!$P$5,3)</f>
        <v>0</v>
      </c>
      <c r="H95" s="238" t="str">
        <f t="shared" si="6"/>
        <v>0</v>
      </c>
      <c r="I95" s="238">
        <f t="shared" si="7"/>
        <v>0</v>
      </c>
      <c r="J95" s="363">
        <f t="shared" si="5"/>
        <v>0</v>
      </c>
      <c r="K95">
        <f t="shared" si="8"/>
        <v>0</v>
      </c>
    </row>
    <row r="96" spans="1:11" ht="14.4" x14ac:dyDescent="0.3">
      <c r="A96" s="366">
        <v>779</v>
      </c>
      <c r="B96" s="366" t="s">
        <v>460</v>
      </c>
      <c r="C96" s="366" t="s">
        <v>460</v>
      </c>
      <c r="D96" s="363">
        <v>684.44976599999995</v>
      </c>
      <c r="E96" s="365" t="s">
        <v>362</v>
      </c>
      <c r="G96" s="238" t="str">
        <f>LEFT('Nährstoffe und Lagerraum'!$P$5,3)</f>
        <v>0</v>
      </c>
      <c r="H96" s="238" t="str">
        <f t="shared" si="6"/>
        <v>0</v>
      </c>
      <c r="I96" s="238">
        <f t="shared" si="7"/>
        <v>0</v>
      </c>
      <c r="J96" s="363">
        <f t="shared" si="5"/>
        <v>0</v>
      </c>
      <c r="K96">
        <f t="shared" si="8"/>
        <v>0</v>
      </c>
    </row>
    <row r="97" spans="1:12" ht="14.4" x14ac:dyDescent="0.3">
      <c r="A97" s="366">
        <v>780</v>
      </c>
      <c r="B97" s="366" t="s">
        <v>461</v>
      </c>
      <c r="C97" s="366" t="s">
        <v>462</v>
      </c>
      <c r="D97" s="363">
        <v>1765.1118100000001</v>
      </c>
      <c r="E97" s="365" t="s">
        <v>362</v>
      </c>
      <c r="G97" s="238" t="str">
        <f>LEFT('Nährstoffe und Lagerraum'!$P$5,3)</f>
        <v>0</v>
      </c>
      <c r="H97" s="238" t="str">
        <f t="shared" si="6"/>
        <v>0</v>
      </c>
      <c r="I97" s="238">
        <f t="shared" si="7"/>
        <v>0</v>
      </c>
      <c r="J97" s="363">
        <f t="shared" si="5"/>
        <v>0</v>
      </c>
      <c r="K97">
        <f t="shared" si="8"/>
        <v>0</v>
      </c>
    </row>
    <row r="98" spans="1:12" x14ac:dyDescent="0.25">
      <c r="K98">
        <f>SUM(K2:K97)</f>
        <v>0</v>
      </c>
      <c r="L98">
        <f>IF(K98&gt;0,K98,0)</f>
        <v>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1756-AA94-4912-9644-F031ED07CE22}">
  <dimension ref="B1:S42"/>
  <sheetViews>
    <sheetView showGridLines="0" showWhiteSpace="0" zoomScaleNormal="100" workbookViewId="0">
      <selection activeCell="D15" sqref="D15:E15"/>
    </sheetView>
  </sheetViews>
  <sheetFormatPr baseColWidth="10" defaultColWidth="5.44140625" defaultRowHeight="13.2" x14ac:dyDescent="0.25"/>
  <cols>
    <col min="1" max="1" width="1.44140625" style="391" customWidth="1"/>
    <col min="2" max="2" width="8.33203125" style="391" customWidth="1"/>
    <col min="3" max="3" width="17.88671875" style="391" customWidth="1"/>
    <col min="4" max="4" width="8.33203125" style="391" customWidth="1"/>
    <col min="5" max="10" width="7.5546875" style="391" customWidth="1"/>
    <col min="11" max="11" width="4.109375" style="391" customWidth="1"/>
    <col min="12" max="12" width="7.5546875" style="391" customWidth="1"/>
    <col min="13" max="13" width="4.88671875" style="391" customWidth="1"/>
    <col min="14" max="17" width="5.44140625" style="391"/>
    <col min="18" max="18" width="10.88671875" style="391" hidden="1" customWidth="1"/>
    <col min="19" max="16384" width="5.44140625" style="391"/>
  </cols>
  <sheetData>
    <row r="1" spans="2:10" ht="14.4" customHeight="1" x14ac:dyDescent="0.25">
      <c r="B1" s="1174"/>
      <c r="C1" s="1174"/>
      <c r="D1" s="1174"/>
      <c r="E1" s="1174"/>
      <c r="F1" s="1174"/>
      <c r="G1" s="1174"/>
      <c r="H1" s="1174"/>
    </row>
    <row r="2" spans="2:10" ht="8.25" customHeight="1" x14ac:dyDescent="0.25">
      <c r="B2" s="1174"/>
      <c r="C2" s="1174"/>
      <c r="D2" s="1174"/>
      <c r="E2" s="1174"/>
      <c r="F2" s="1174"/>
      <c r="G2" s="1174"/>
      <c r="H2" s="1174"/>
    </row>
    <row r="3" spans="2:10" ht="15.75" customHeight="1" x14ac:dyDescent="0.25">
      <c r="B3" s="1687" t="str">
        <f>CONCATENATE("Deklaration des Wirtschaftsdüngers 
aus Berechnung Lagerraum und Nährstoffanfall ",'Nährstoffe und Lagerraum'!$D$5)</f>
        <v>Deklaration des Wirtschaftsdüngers 
aus Berechnung Lagerraum und Nährstoffanfall 2022</v>
      </c>
      <c r="C3" s="1687"/>
      <c r="D3" s="1687"/>
      <c r="E3" s="1687"/>
      <c r="F3" s="1687"/>
      <c r="G3" s="1687"/>
      <c r="H3" s="1687"/>
      <c r="I3" s="1147"/>
      <c r="J3" s="1147"/>
    </row>
    <row r="4" spans="2:10" ht="15.75" customHeight="1" x14ac:dyDescent="0.25">
      <c r="B4" s="1687"/>
      <c r="C4" s="1687"/>
      <c r="D4" s="1687"/>
      <c r="E4" s="1687"/>
      <c r="F4" s="1687"/>
      <c r="G4" s="1687"/>
      <c r="H4" s="1687"/>
      <c r="I4" s="1147"/>
      <c r="J4" s="1147"/>
    </row>
    <row r="5" spans="2:10" ht="15.75" customHeight="1" x14ac:dyDescent="0.25">
      <c r="C5" s="1147"/>
      <c r="D5" s="1147"/>
      <c r="E5" s="1147"/>
      <c r="F5" s="1147"/>
      <c r="G5" s="1147"/>
      <c r="H5" s="1147"/>
    </row>
    <row r="6" spans="2:10" ht="15.75" customHeight="1" x14ac:dyDescent="0.25"/>
    <row r="7" spans="2:10" ht="15.75" customHeight="1" x14ac:dyDescent="0.25">
      <c r="B7" s="1045" t="s">
        <v>7903</v>
      </c>
    </row>
    <row r="8" spans="2:10" ht="15.75" customHeight="1" x14ac:dyDescent="0.25"/>
    <row r="9" spans="2:10" ht="15.75" customHeight="1" x14ac:dyDescent="0.25">
      <c r="B9" s="391" t="str">
        <f>IF('Nährstoffe und Lagerraum'!B6="","",'Nährstoffe und Lagerraum'!B6)</f>
        <v/>
      </c>
      <c r="G9" s="1176" t="s">
        <v>12</v>
      </c>
      <c r="I9" s="1043" t="str">
        <f>IF('Nährstoffe und Lagerraum'!B5="","",'Nährstoffe und Lagerraum'!B5)</f>
        <v/>
      </c>
    </row>
    <row r="10" spans="2:10" ht="15.75" customHeight="1" x14ac:dyDescent="0.25">
      <c r="B10" s="391" t="str">
        <f>IF('Nährstoffe und Lagerraum'!B7="","",'Nährstoffe und Lagerraum'!B7)</f>
        <v/>
      </c>
      <c r="G10" s="391" t="str">
        <f>IF('Nährstoffe und Lagerraum'!B9="","","Telefon:")</f>
        <v/>
      </c>
      <c r="I10" s="391" t="str">
        <f>IF('Nährstoffe und Lagerraum'!B9="","",'Nährstoffe und Lagerraum'!B9)</f>
        <v/>
      </c>
    </row>
    <row r="11" spans="2:10" ht="15.75" customHeight="1" x14ac:dyDescent="0.25">
      <c r="B11" s="391" t="str">
        <f>IF('Nährstoffe und Lagerraum'!B8="","",'Nährstoffe und Lagerraum'!B8)</f>
        <v/>
      </c>
    </row>
    <row r="12" spans="2:10" ht="15.75" customHeight="1" x14ac:dyDescent="0.25"/>
    <row r="13" spans="2:10" ht="15.75" customHeight="1" x14ac:dyDescent="0.25"/>
    <row r="14" spans="2:10" ht="15.75" customHeight="1" x14ac:dyDescent="0.25"/>
    <row r="15" spans="2:10" ht="15.75" customHeight="1" x14ac:dyDescent="0.25">
      <c r="B15" s="1176" t="s">
        <v>7951</v>
      </c>
      <c r="D15" s="1703"/>
      <c r="E15" s="1704"/>
    </row>
    <row r="16" spans="2:10" ht="5.25" customHeight="1" x14ac:dyDescent="0.25">
      <c r="B16" s="1169"/>
    </row>
    <row r="17" spans="2:19" ht="15.75" customHeight="1" x14ac:dyDescent="0.25">
      <c r="B17" s="1169" t="s">
        <v>7904</v>
      </c>
      <c r="D17" s="1694"/>
      <c r="E17" s="1695"/>
      <c r="F17" s="1695"/>
      <c r="G17" s="1695"/>
      <c r="H17" s="1695"/>
      <c r="I17" s="1695"/>
      <c r="J17" s="1696"/>
    </row>
    <row r="18" spans="2:19" ht="15.75" customHeight="1" x14ac:dyDescent="0.25">
      <c r="B18" s="1169"/>
      <c r="D18" s="1697"/>
      <c r="E18" s="1698"/>
      <c r="F18" s="1698"/>
      <c r="G18" s="1698"/>
      <c r="H18" s="1698"/>
      <c r="I18" s="1698"/>
      <c r="J18" s="1699"/>
    </row>
    <row r="19" spans="2:19" ht="15.75" customHeight="1" x14ac:dyDescent="0.25">
      <c r="B19" s="1177"/>
      <c r="C19" s="496"/>
      <c r="D19" s="1700"/>
      <c r="E19" s="1701"/>
      <c r="F19" s="1701"/>
      <c r="G19" s="1701"/>
      <c r="H19" s="1701"/>
      <c r="I19" s="1701"/>
      <c r="J19" s="1702"/>
      <c r="S19" s="1151"/>
    </row>
    <row r="20" spans="2:19" ht="15.75" customHeight="1" x14ac:dyDescent="0.25"/>
    <row r="21" spans="2:19" ht="15.75" customHeight="1" x14ac:dyDescent="0.25">
      <c r="B21" s="1045" t="s">
        <v>7906</v>
      </c>
    </row>
    <row r="22" spans="2:19" ht="15.75" customHeight="1" x14ac:dyDescent="0.25">
      <c r="B22" s="1705" t="s">
        <v>7947</v>
      </c>
      <c r="C22" s="1705"/>
      <c r="D22" s="1705"/>
      <c r="E22" s="1705"/>
      <c r="F22" s="1705"/>
      <c r="G22" s="1705"/>
      <c r="H22" s="1705"/>
      <c r="I22" s="1705"/>
      <c r="J22" s="1705"/>
    </row>
    <row r="23" spans="2:19" customFormat="1" ht="15.75" customHeight="1" x14ac:dyDescent="0.25">
      <c r="B23" s="1706"/>
      <c r="C23" s="1706"/>
      <c r="D23" s="1706"/>
      <c r="E23" s="1706"/>
      <c r="F23" s="1706"/>
      <c r="G23" s="1706"/>
      <c r="H23" s="1706"/>
      <c r="I23" s="1706"/>
      <c r="J23" s="1706"/>
      <c r="M23" s="1045" t="s">
        <v>7899</v>
      </c>
    </row>
    <row r="24" spans="2:19" ht="15.75" customHeight="1" x14ac:dyDescent="0.25">
      <c r="B24" s="1709" t="s">
        <v>491</v>
      </c>
      <c r="C24" s="1047" t="s">
        <v>251</v>
      </c>
      <c r="D24" s="1709" t="s">
        <v>331</v>
      </c>
      <c r="E24" s="1712" t="s">
        <v>7907</v>
      </c>
      <c r="F24" s="1712"/>
      <c r="G24" s="1712"/>
      <c r="H24" s="1712"/>
      <c r="I24" s="1689" t="s">
        <v>7909</v>
      </c>
      <c r="J24" s="1690"/>
      <c r="K24" s="1046"/>
      <c r="M24" s="391" t="s">
        <v>7945</v>
      </c>
    </row>
    <row r="25" spans="2:19" ht="15.75" customHeight="1" x14ac:dyDescent="0.25">
      <c r="B25" s="1710"/>
      <c r="C25" s="1707" t="str">
        <f>IF(B28="","","für Stallmist bitte ausfüllen")</f>
        <v/>
      </c>
      <c r="D25" s="1710"/>
      <c r="E25" s="1691" t="s">
        <v>7908</v>
      </c>
      <c r="F25" s="1691"/>
      <c r="G25" s="1691"/>
      <c r="H25" s="1691"/>
      <c r="I25" s="1692" t="s">
        <v>38</v>
      </c>
      <c r="J25" s="1693"/>
      <c r="K25" s="1046"/>
      <c r="L25" s="1046"/>
      <c r="M25" s="1168" t="s">
        <v>7946</v>
      </c>
    </row>
    <row r="26" spans="2:19" ht="15.75" customHeight="1" x14ac:dyDescent="0.25">
      <c r="B26" s="1711"/>
      <c r="C26" s="1708"/>
      <c r="D26" s="1711"/>
      <c r="E26" s="1026" t="s">
        <v>4</v>
      </c>
      <c r="F26" s="531" t="s">
        <v>521</v>
      </c>
      <c r="G26" s="1026" t="s">
        <v>351</v>
      </c>
      <c r="H26" s="531" t="s">
        <v>352</v>
      </c>
      <c r="I26" s="1026" t="s">
        <v>4</v>
      </c>
      <c r="J26" s="1026" t="s">
        <v>351</v>
      </c>
      <c r="K26" s="538"/>
      <c r="L26" s="538"/>
      <c r="R26" s="391" t="s">
        <v>7902</v>
      </c>
    </row>
    <row r="27" spans="2:19" ht="15.75" customHeight="1" x14ac:dyDescent="0.25">
      <c r="B27" s="1074" t="str">
        <f>IF(OR($R27=FALSE,'Nährstoffe und Lagerraum'!$I$47=" ",'Nährstoffe und Lagerraum'!B89&lt;0.1),"",RIGHT('Nährstoffe und Lagerraum'!$AA$54,6))</f>
        <v/>
      </c>
      <c r="C27" s="1075" t="str">
        <f>IF($B27="","",'Nährstoffe und Lagerraum'!$Y$54)</f>
        <v/>
      </c>
      <c r="D27" s="1076" t="str">
        <f>IF($B27="","",'Nährstoffe und Lagerraum'!C50)</f>
        <v/>
      </c>
      <c r="E27" s="1076" t="str">
        <f>IF($B27="","",'Nährstoffe und Lagerraum'!D50)</f>
        <v/>
      </c>
      <c r="F27" s="1076" t="str">
        <f>IF($B27="","",'Nährstoffe und Lagerraum'!E50)</f>
        <v/>
      </c>
      <c r="G27" s="1076" t="str">
        <f>IF($B27="","",'Nährstoffe und Lagerraum'!F50)</f>
        <v/>
      </c>
      <c r="H27" s="1076" t="str">
        <f>IF($B27="","",'Nährstoffe und Lagerraum'!G50)</f>
        <v/>
      </c>
      <c r="I27" s="1075" t="str">
        <f>IF($B27="","",100)</f>
        <v/>
      </c>
      <c r="J27" s="1077" t="str">
        <f>IF($B27="","",100)</f>
        <v/>
      </c>
      <c r="K27" s="715"/>
      <c r="M27" s="1042"/>
      <c r="N27" s="391" t="s">
        <v>468</v>
      </c>
      <c r="R27" s="1048" t="b">
        <v>1</v>
      </c>
    </row>
    <row r="28" spans="2:19" ht="15.75" customHeight="1" x14ac:dyDescent="0.25">
      <c r="B28" s="1078" t="str">
        <f>IF(OR('Nährstoffe und Lagerraum'!J46=" ",$R28=FALSE),"","Stallmist")</f>
        <v/>
      </c>
      <c r="C28" s="1152"/>
      <c r="D28" s="1146" t="str">
        <f>IF($R28=FALSE,"",'Nährstoffe und Lagerraum'!C51)</f>
        <v xml:space="preserve"> </v>
      </c>
      <c r="E28" s="1146" t="str">
        <f>IF($R28=FALSE,"",'Nährstoffe und Lagerraum'!D51)</f>
        <v xml:space="preserve"> </v>
      </c>
      <c r="F28" s="1146" t="str">
        <f>IF($R28=FALSE,"",'Nährstoffe und Lagerraum'!E51)</f>
        <v xml:space="preserve"> </v>
      </c>
      <c r="G28" s="1146" t="str">
        <f>IF($R28=FALSE,"",'Nährstoffe und Lagerraum'!F51)</f>
        <v xml:space="preserve"> </v>
      </c>
      <c r="H28" s="1146" t="str">
        <f>IF($R28=FALSE,"",'Nährstoffe und Lagerraum'!G51)</f>
        <v xml:space="preserve"> </v>
      </c>
      <c r="I28" s="538" t="str">
        <f>IF($B28="","",100)</f>
        <v/>
      </c>
      <c r="J28" s="1079" t="str">
        <f>IF($B28="","",100)</f>
        <v/>
      </c>
      <c r="K28" s="715"/>
      <c r="M28" s="1042"/>
      <c r="N28" s="391" t="s">
        <v>195</v>
      </c>
      <c r="R28" s="1048" t="b">
        <v>1</v>
      </c>
    </row>
    <row r="29" spans="2:19" ht="15.75" customHeight="1" x14ac:dyDescent="0.25">
      <c r="B29" s="1078" t="str">
        <f>IF(OR('Nährstoffe und Lagerraum'!$F$91="",$R29=FALSE),"",CONCATENATE(RIGHT('Nährstoffe und Lagerraum'!$AA$54,6),"*"))</f>
        <v/>
      </c>
      <c r="C29" s="1144" t="str">
        <f>IF($B29="","",'Nährstoffe und Lagerraum'!$Y$54)</f>
        <v/>
      </c>
      <c r="D29" s="1146" t="str">
        <f>IF($B29="","",'Nährstoffe und Lagerraum'!F90)</f>
        <v/>
      </c>
      <c r="E29" s="1146" t="str">
        <f>IF($B29="","",'Nährstoffe und Lagerraum'!F91)</f>
        <v/>
      </c>
      <c r="F29" s="1146" t="str">
        <f>IF($B29="","",'Nährstoffe und Lagerraum'!F92)</f>
        <v/>
      </c>
      <c r="G29" s="1146" t="str">
        <f>IF($B29="","",'Nährstoffe und Lagerraum'!F93)</f>
        <v/>
      </c>
      <c r="H29" s="1146" t="str">
        <f>IF($B29="","",'Nährstoffe und Lagerraum'!F94)</f>
        <v/>
      </c>
      <c r="I29" s="1144" t="str">
        <f t="shared" ref="I29:J31" si="0">IF($B29="","",100)</f>
        <v/>
      </c>
      <c r="J29" s="1079" t="str">
        <f t="shared" si="0"/>
        <v/>
      </c>
      <c r="K29" s="715"/>
      <c r="M29" s="1042"/>
      <c r="N29" s="391" t="s">
        <v>7900</v>
      </c>
      <c r="R29" s="1048" t="b">
        <v>1</v>
      </c>
    </row>
    <row r="30" spans="2:19" ht="15.75" customHeight="1" x14ac:dyDescent="0.25">
      <c r="B30" s="1078" t="str">
        <f>IF(OR('Nährstoffe und Lagerraum'!$J$91="",$R30=FALSE),"",CONCATENATE(RIGHT('Nährstoffe und Lagerraum'!$AA$54,6),"**"))</f>
        <v/>
      </c>
      <c r="C30" s="1144" t="str">
        <f>IF($B30="","",'Nährstoffe und Lagerraum'!$Y$54)</f>
        <v/>
      </c>
      <c r="D30" s="1146" t="str">
        <f>IF($B30="","",'Nährstoffe und Lagerraum'!J90)</f>
        <v/>
      </c>
      <c r="E30" s="1146" t="str">
        <f>IF($B30="","",'Nährstoffe und Lagerraum'!J91)</f>
        <v/>
      </c>
      <c r="F30" s="1146" t="str">
        <f>IF($B30="","",'Nährstoffe und Lagerraum'!J92)</f>
        <v/>
      </c>
      <c r="G30" s="1146" t="str">
        <f>IF($B30="","",'Nährstoffe und Lagerraum'!J93)</f>
        <v/>
      </c>
      <c r="H30" s="1146" t="str">
        <f>IF($B30="","",'Nährstoffe und Lagerraum'!J94)</f>
        <v/>
      </c>
      <c r="I30" s="1144" t="str">
        <f t="shared" si="0"/>
        <v/>
      </c>
      <c r="J30" s="1079" t="str">
        <f t="shared" si="0"/>
        <v/>
      </c>
      <c r="K30" s="715"/>
      <c r="M30" s="1042"/>
      <c r="N30" s="391" t="s">
        <v>7901</v>
      </c>
      <c r="R30" s="1048" t="b">
        <v>1</v>
      </c>
    </row>
    <row r="31" spans="2:19" ht="15.75" customHeight="1" x14ac:dyDescent="0.25">
      <c r="B31" s="1080" t="str">
        <f>IF(OR('Nährstoffe und Lagerraum'!$F$91="",$R31=FALSE,'Nährstoffe und Lagerraum'!B89&lt;0.1),"",CONCATENATE(RIGHT('Nährstoffe und Lagerraum'!$AA$54,6),"***"))</f>
        <v/>
      </c>
      <c r="C31" s="1081" t="str">
        <f>IF($B31="","",'Nährstoffe und Lagerraum'!$Y$54)</f>
        <v/>
      </c>
      <c r="D31" s="1082" t="str">
        <f>IF($B31="","",'Nährstoffe und Lagerraum'!C98)</f>
        <v/>
      </c>
      <c r="E31" s="1082" t="str">
        <f>IF($B31="","",'Nährstoffe und Lagerraum'!C99)</f>
        <v/>
      </c>
      <c r="F31" s="1082" t="str">
        <f>IF($B31="","",'Nährstoffe und Lagerraum'!C100)</f>
        <v/>
      </c>
      <c r="G31" s="1082" t="str">
        <f>IF($B31="","",'Nährstoffe und Lagerraum'!C101)</f>
        <v/>
      </c>
      <c r="H31" s="1082" t="str">
        <f>IF($B31="","",'Nährstoffe und Lagerraum'!C102)</f>
        <v/>
      </c>
      <c r="I31" s="1081" t="str">
        <f t="shared" si="0"/>
        <v/>
      </c>
      <c r="J31" s="1083" t="str">
        <f t="shared" si="0"/>
        <v/>
      </c>
      <c r="K31" s="715"/>
      <c r="M31" s="1042"/>
      <c r="N31" s="496" t="s">
        <v>7905</v>
      </c>
      <c r="R31" s="1048" t="b">
        <v>1</v>
      </c>
    </row>
    <row r="32" spans="2:19" ht="15.75" customHeight="1" x14ac:dyDescent="0.25">
      <c r="B32" s="391" t="str">
        <f>IF(B29="","","* Separiert, flüssiger Wirtschaftsdünger")</f>
        <v/>
      </c>
    </row>
    <row r="33" spans="2:10" x14ac:dyDescent="0.25">
      <c r="B33" s="391" t="str">
        <f>IF(B30="","","** Separiert, fester Wirtschaftsdünger")</f>
        <v/>
      </c>
    </row>
    <row r="34" spans="2:10" x14ac:dyDescent="0.25">
      <c r="B34" s="391" t="str">
        <f>IF(B31="","","*** Separiert, flüssiger Wirtschaftsdünger gemischt mit nicht separierter Gülle")</f>
        <v/>
      </c>
    </row>
    <row r="36" spans="2:10" x14ac:dyDescent="0.25">
      <c r="D36" s="1044"/>
    </row>
    <row r="37" spans="2:10" ht="13.2" customHeight="1" x14ac:dyDescent="0.25">
      <c r="B37" s="1688" t="str">
        <f>CONCATENATE("Ändert sich der Tierbestand um ≤ 15 %, dürfen diese Nährstoffgehalte maximal bis Ablauf des Kalenderjahres ",'Nährstoffe und Lagerraum'!D5+1," für die Deklaration und Düngebedarfsermittlung verwendet werden.")</f>
        <v>Ändert sich der Tierbestand um ≤ 15 %, dürfen diese Nährstoffgehalte maximal bis Ablauf des Kalenderjahres 2023 für die Deklaration und Düngebedarfsermittlung verwendet werden.</v>
      </c>
      <c r="C37" s="1688"/>
      <c r="D37" s="1688"/>
      <c r="E37" s="1688"/>
      <c r="F37" s="1688"/>
      <c r="G37" s="1688"/>
      <c r="H37" s="1688"/>
      <c r="I37" s="1688"/>
      <c r="J37" s="1688"/>
    </row>
    <row r="38" spans="2:10" x14ac:dyDescent="0.25">
      <c r="B38" s="1688"/>
      <c r="C38" s="1688"/>
      <c r="D38" s="1688"/>
      <c r="E38" s="1688"/>
      <c r="F38" s="1688"/>
      <c r="G38" s="1688"/>
      <c r="H38" s="1688"/>
      <c r="I38" s="1688"/>
      <c r="J38" s="1688"/>
    </row>
    <row r="39" spans="2:10" x14ac:dyDescent="0.25">
      <c r="B39" s="1688"/>
      <c r="C39" s="1688"/>
      <c r="D39" s="1688"/>
      <c r="E39" s="1688"/>
      <c r="F39" s="1688"/>
      <c r="G39" s="1688"/>
      <c r="H39" s="1688"/>
      <c r="I39" s="1688"/>
      <c r="J39" s="1688"/>
    </row>
    <row r="40" spans="2:10" x14ac:dyDescent="0.25">
      <c r="B40" s="1688"/>
      <c r="C40" s="1688"/>
      <c r="D40" s="1688"/>
      <c r="E40" s="1688"/>
      <c r="F40" s="1688"/>
      <c r="G40" s="1688"/>
      <c r="H40" s="1688"/>
      <c r="I40" s="1688"/>
      <c r="J40" s="1688"/>
    </row>
    <row r="42" spans="2:10" x14ac:dyDescent="0.25">
      <c r="B42" s="391" t="str" cm="1">
        <f t="array" aca="1" ref="B42" ca="1">CONCATENATE("Dateiname: ",MID(CELL("dateiname"),FIND("[",CELL("Dateiname"))+1,FIND("]",CELL("Dateiname"))-FIND("[",CELL("Dateiname"))-1))</f>
        <v>Dateiname: LfL-Lagerraum_Nährstoffanfall22_20221020_geschützt.xlsx</v>
      </c>
    </row>
  </sheetData>
  <sheetProtection algorithmName="SHA-512" hashValue="ocfgdiT5uBnj9br/OCoNiZG1RmcRLuGzcVecy3bg3gLKLEcHepUEEmDoWNI++whBDxQ7J39uOiQUuCPJQEnphg==" saltValue="qEWUDBNEnU8tzEdZCCnGAw==" spinCount="100000" sheet="1" objects="1" scenarios="1"/>
  <mergeCells count="12">
    <mergeCell ref="B3:H4"/>
    <mergeCell ref="B37:J40"/>
    <mergeCell ref="I24:J24"/>
    <mergeCell ref="E25:H25"/>
    <mergeCell ref="I25:J25"/>
    <mergeCell ref="D17:J19"/>
    <mergeCell ref="D15:E15"/>
    <mergeCell ref="B22:J23"/>
    <mergeCell ref="C25:C26"/>
    <mergeCell ref="D24:D26"/>
    <mergeCell ref="B24:B26"/>
    <mergeCell ref="E24:H24"/>
  </mergeCells>
  <conditionalFormatting sqref="C28">
    <cfRule type="expression" dxfId="1" priority="1">
      <formula>$B$28="Stallmist"</formula>
    </cfRule>
  </conditionalFormatting>
  <pageMargins left="0.70866141732283472" right="0.70866141732283472" top="0.78740157480314965" bottom="0.78740157480314965" header="0.31496062992125984" footer="0.31496062992125984"/>
  <pageSetup paperSize="9" orientation="portrait" r:id="rId1"/>
  <headerFooter>
    <oddFooter xml:space="preserve">&amp;L© Bayerische Landesanstalt für Landwirtschaft, Agrarökologie - Düngung (Of, Sr, Sp, Ks); Stand: 20.10.2022     &amp;D, &amp;T Uhr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12</xdr:col>
                    <xdr:colOff>76200</xdr:colOff>
                    <xdr:row>25</xdr:row>
                    <xdr:rowOff>190500</xdr:rowOff>
                  </from>
                  <to>
                    <xdr:col>13</xdr:col>
                    <xdr:colOff>60960</xdr:colOff>
                    <xdr:row>27</xdr:row>
                    <xdr:rowOff>7620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12</xdr:col>
                    <xdr:colOff>76200</xdr:colOff>
                    <xdr:row>26</xdr:row>
                    <xdr:rowOff>182880</xdr:rowOff>
                  </from>
                  <to>
                    <xdr:col>13</xdr:col>
                    <xdr:colOff>60960</xdr:colOff>
                    <xdr:row>28</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12</xdr:col>
                    <xdr:colOff>76200</xdr:colOff>
                    <xdr:row>27</xdr:row>
                    <xdr:rowOff>190500</xdr:rowOff>
                  </from>
                  <to>
                    <xdr:col>13</xdr:col>
                    <xdr:colOff>60960</xdr:colOff>
                    <xdr:row>29</xdr:row>
                    <xdr:rowOff>7620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12</xdr:col>
                    <xdr:colOff>76200</xdr:colOff>
                    <xdr:row>28</xdr:row>
                    <xdr:rowOff>190500</xdr:rowOff>
                  </from>
                  <to>
                    <xdr:col>13</xdr:col>
                    <xdr:colOff>60960</xdr:colOff>
                    <xdr:row>30</xdr:row>
                    <xdr:rowOff>7620</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12</xdr:col>
                    <xdr:colOff>76200</xdr:colOff>
                    <xdr:row>29</xdr:row>
                    <xdr:rowOff>190500</xdr:rowOff>
                  </from>
                  <to>
                    <xdr:col>13</xdr:col>
                    <xdr:colOff>60960</xdr:colOff>
                    <xdr:row>31</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C296-8E1C-47BB-9E8A-C3E09D5F5223}">
  <dimension ref="B1:E7889"/>
  <sheetViews>
    <sheetView workbookViewId="0"/>
  </sheetViews>
  <sheetFormatPr baseColWidth="10" defaultRowHeight="13.2" x14ac:dyDescent="0.25"/>
  <cols>
    <col min="1" max="1" width="4.5546875" customWidth="1"/>
    <col min="2" max="2" width="13.109375" customWidth="1"/>
    <col min="3" max="3" width="23.44140625" style="553" customWidth="1"/>
    <col min="4" max="4" width="23.44140625" style="669" customWidth="1"/>
    <col min="5" max="5" width="26.44140625" customWidth="1"/>
    <col min="6" max="6" width="3.6640625" customWidth="1"/>
    <col min="8" max="12" width="0" hidden="1" customWidth="1"/>
  </cols>
  <sheetData>
    <row r="1" spans="2:5" ht="26.4" customHeight="1" x14ac:dyDescent="0.25">
      <c r="B1" s="1713" t="s">
        <v>7635</v>
      </c>
      <c r="C1" s="1713"/>
      <c r="D1" s="1713"/>
      <c r="E1" s="1713"/>
    </row>
    <row r="2" spans="2:5" ht="11.4" customHeight="1" x14ac:dyDescent="0.25">
      <c r="C2" s="550"/>
      <c r="D2" s="550"/>
      <c r="E2" s="550"/>
    </row>
    <row r="3" spans="2:5" ht="89.4" customHeight="1" x14ac:dyDescent="0.25">
      <c r="B3" s="1705" t="s">
        <v>7953</v>
      </c>
      <c r="C3" s="1705"/>
      <c r="D3" s="1705"/>
      <c r="E3" s="1705"/>
    </row>
    <row r="4" spans="2:5" ht="12" customHeight="1" thickBot="1" x14ac:dyDescent="0.3">
      <c r="C4" s="551"/>
      <c r="D4" s="551"/>
      <c r="E4" s="551"/>
    </row>
    <row r="5" spans="2:5" ht="45.6" customHeight="1" thickBot="1" x14ac:dyDescent="0.3">
      <c r="B5" s="547" t="s">
        <v>666</v>
      </c>
      <c r="C5" s="548" t="s">
        <v>667</v>
      </c>
      <c r="D5" s="714" t="s">
        <v>7749</v>
      </c>
      <c r="E5" s="549" t="s">
        <v>668</v>
      </c>
    </row>
    <row r="6" spans="2:5" x14ac:dyDescent="0.25">
      <c r="B6" s="545">
        <v>1</v>
      </c>
      <c r="C6" s="553" t="s">
        <v>5090</v>
      </c>
      <c r="D6" s="669" t="s">
        <v>439</v>
      </c>
      <c r="E6" s="546">
        <v>831.79998799999998</v>
      </c>
    </row>
    <row r="7" spans="2:5" x14ac:dyDescent="0.25">
      <c r="B7" s="545">
        <v>2</v>
      </c>
      <c r="C7" s="553" t="s">
        <v>5598</v>
      </c>
      <c r="D7" s="669" t="s">
        <v>439</v>
      </c>
      <c r="E7" s="546">
        <v>911</v>
      </c>
    </row>
    <row r="8" spans="2:5" x14ac:dyDescent="0.25">
      <c r="B8" s="545">
        <v>3</v>
      </c>
      <c r="C8" s="553" t="s">
        <v>5016</v>
      </c>
      <c r="D8" s="669" t="s">
        <v>439</v>
      </c>
      <c r="E8" s="546">
        <v>824.18332899999996</v>
      </c>
    </row>
    <row r="9" spans="2:5" x14ac:dyDescent="0.25">
      <c r="B9" s="545">
        <v>4</v>
      </c>
      <c r="C9" s="553" t="s">
        <v>6585</v>
      </c>
      <c r="D9" s="669" t="s">
        <v>439</v>
      </c>
      <c r="E9" s="546">
        <v>840.09997599999997</v>
      </c>
    </row>
    <row r="10" spans="2:5" x14ac:dyDescent="0.25">
      <c r="B10" s="545">
        <v>5</v>
      </c>
      <c r="C10" s="553" t="s">
        <v>3391</v>
      </c>
      <c r="D10" s="669" t="s">
        <v>439</v>
      </c>
      <c r="E10" s="546">
        <v>710.53333499999997</v>
      </c>
    </row>
    <row r="11" spans="2:5" ht="13.2" customHeight="1" x14ac:dyDescent="0.25">
      <c r="B11" s="545">
        <v>6</v>
      </c>
      <c r="C11" s="553" t="s">
        <v>7406</v>
      </c>
      <c r="D11" s="669" t="s">
        <v>439</v>
      </c>
      <c r="E11" s="546">
        <v>925.16668700000002</v>
      </c>
    </row>
    <row r="12" spans="2:5" x14ac:dyDescent="0.25">
      <c r="B12" s="545">
        <v>7</v>
      </c>
      <c r="C12" s="553" t="s">
        <v>5311</v>
      </c>
      <c r="D12" s="669" t="s">
        <v>439</v>
      </c>
      <c r="E12" s="546">
        <v>863.78666999999996</v>
      </c>
    </row>
    <row r="13" spans="2:5" x14ac:dyDescent="0.25">
      <c r="B13" s="545">
        <v>8</v>
      </c>
      <c r="C13" s="553" t="s">
        <v>3833</v>
      </c>
      <c r="D13" s="669" t="s">
        <v>439</v>
      </c>
      <c r="E13" s="546">
        <v>734.80001800000002</v>
      </c>
    </row>
    <row r="14" spans="2:5" x14ac:dyDescent="0.25">
      <c r="B14" s="545">
        <v>9</v>
      </c>
      <c r="C14" s="553" t="s">
        <v>3425</v>
      </c>
      <c r="D14" s="669" t="s">
        <v>439</v>
      </c>
      <c r="E14" s="546">
        <v>712.39999399999999</v>
      </c>
    </row>
    <row r="15" spans="2:5" x14ac:dyDescent="0.25">
      <c r="B15" s="545">
        <v>10</v>
      </c>
      <c r="C15" s="553" t="s">
        <v>2500</v>
      </c>
      <c r="D15" s="669" t="s">
        <v>439</v>
      </c>
      <c r="E15" s="546">
        <v>665.66666699999996</v>
      </c>
    </row>
    <row r="16" spans="2:5" x14ac:dyDescent="0.25">
      <c r="B16" s="545">
        <v>11</v>
      </c>
      <c r="C16" s="553" t="s">
        <v>963</v>
      </c>
      <c r="D16" s="669" t="s">
        <v>439</v>
      </c>
      <c r="E16" s="546">
        <v>934.03529600000002</v>
      </c>
    </row>
    <row r="17" spans="2:5" x14ac:dyDescent="0.25">
      <c r="B17" s="545">
        <v>12</v>
      </c>
      <c r="C17" s="553" t="s">
        <v>3485</v>
      </c>
      <c r="D17" s="669" t="s">
        <v>439</v>
      </c>
      <c r="E17" s="546">
        <v>715.23999000000003</v>
      </c>
    </row>
    <row r="18" spans="2:5" x14ac:dyDescent="0.25">
      <c r="B18" s="545">
        <v>13</v>
      </c>
      <c r="C18" s="553" t="s">
        <v>7247</v>
      </c>
      <c r="D18" s="669" t="s">
        <v>439</v>
      </c>
      <c r="E18" s="546">
        <v>662</v>
      </c>
    </row>
    <row r="19" spans="2:5" x14ac:dyDescent="0.25">
      <c r="B19" s="545">
        <v>14</v>
      </c>
      <c r="C19" s="553" t="s">
        <v>1779</v>
      </c>
      <c r="D19" s="669" t="s">
        <v>439</v>
      </c>
      <c r="E19" s="546">
        <v>635.41428900000005</v>
      </c>
    </row>
    <row r="20" spans="2:5" x14ac:dyDescent="0.25">
      <c r="B20" s="545">
        <v>15</v>
      </c>
      <c r="C20" s="553" t="s">
        <v>430</v>
      </c>
      <c r="D20" s="669" t="s">
        <v>439</v>
      </c>
      <c r="E20" s="546">
        <v>1007.833344</v>
      </c>
    </row>
    <row r="21" spans="2:5" x14ac:dyDescent="0.25">
      <c r="B21" s="545">
        <v>16</v>
      </c>
      <c r="C21" s="553" t="s">
        <v>5672</v>
      </c>
      <c r="D21" s="669" t="s">
        <v>439</v>
      </c>
      <c r="E21" s="546">
        <v>931.5</v>
      </c>
    </row>
    <row r="22" spans="2:5" x14ac:dyDescent="0.25">
      <c r="B22" s="545">
        <v>17</v>
      </c>
      <c r="C22" s="553" t="s">
        <v>1869</v>
      </c>
      <c r="D22" s="669" t="s">
        <v>439</v>
      </c>
      <c r="E22" s="546">
        <v>738.74999200000002</v>
      </c>
    </row>
    <row r="23" spans="2:5" x14ac:dyDescent="0.25">
      <c r="B23" s="545">
        <v>18</v>
      </c>
      <c r="C23" s="553" t="s">
        <v>7248</v>
      </c>
      <c r="D23" s="669" t="s">
        <v>439</v>
      </c>
      <c r="E23" s="546">
        <v>658.47499600000003</v>
      </c>
    </row>
    <row r="24" spans="2:5" x14ac:dyDescent="0.25">
      <c r="B24" s="545">
        <v>19</v>
      </c>
      <c r="C24" s="553" t="s">
        <v>6744</v>
      </c>
      <c r="D24" s="669" t="s">
        <v>439</v>
      </c>
      <c r="E24" s="546">
        <v>663.214294</v>
      </c>
    </row>
    <row r="25" spans="2:5" x14ac:dyDescent="0.25">
      <c r="B25" s="545">
        <v>20</v>
      </c>
      <c r="C25" s="553" t="s">
        <v>7565</v>
      </c>
      <c r="D25" s="669" t="s">
        <v>439</v>
      </c>
      <c r="E25" s="546">
        <v>665.19999700000005</v>
      </c>
    </row>
    <row r="26" spans="2:5" x14ac:dyDescent="0.25">
      <c r="B26" s="545">
        <v>21</v>
      </c>
      <c r="C26" s="553" t="s">
        <v>5640</v>
      </c>
      <c r="D26" s="669" t="s">
        <v>439</v>
      </c>
      <c r="E26" s="546">
        <v>923.15555800000004</v>
      </c>
    </row>
    <row r="27" spans="2:5" x14ac:dyDescent="0.25">
      <c r="B27" s="545">
        <v>22</v>
      </c>
      <c r="C27" s="553" t="s">
        <v>5647</v>
      </c>
      <c r="D27" s="669" t="s">
        <v>439</v>
      </c>
      <c r="E27" s="546">
        <v>924.34445300000004</v>
      </c>
    </row>
    <row r="28" spans="2:5" x14ac:dyDescent="0.25">
      <c r="B28" s="545">
        <v>23</v>
      </c>
      <c r="C28" s="553" t="s">
        <v>2136</v>
      </c>
      <c r="D28" s="669" t="s">
        <v>439</v>
      </c>
      <c r="E28" s="546">
        <v>733.11250299999995</v>
      </c>
    </row>
    <row r="29" spans="2:5" x14ac:dyDescent="0.25">
      <c r="B29" s="545">
        <v>24</v>
      </c>
      <c r="C29" s="553" t="s">
        <v>7476</v>
      </c>
      <c r="D29" s="669" t="s">
        <v>439</v>
      </c>
      <c r="E29" s="546">
        <v>695.49167399999999</v>
      </c>
    </row>
    <row r="30" spans="2:5" x14ac:dyDescent="0.25">
      <c r="B30" s="545">
        <v>25</v>
      </c>
      <c r="C30" s="553" t="s">
        <v>6487</v>
      </c>
      <c r="D30" s="669" t="s">
        <v>439</v>
      </c>
      <c r="E30" s="546">
        <v>608.57777199999998</v>
      </c>
    </row>
    <row r="31" spans="2:5" x14ac:dyDescent="0.25">
      <c r="B31" s="545">
        <v>26</v>
      </c>
      <c r="C31" s="553" t="s">
        <v>1347</v>
      </c>
      <c r="D31" s="669" t="s">
        <v>439</v>
      </c>
      <c r="E31" s="546">
        <v>612.20526400000006</v>
      </c>
    </row>
    <row r="32" spans="2:5" x14ac:dyDescent="0.25">
      <c r="B32" s="545">
        <v>27</v>
      </c>
      <c r="C32" s="553" t="s">
        <v>6722</v>
      </c>
      <c r="D32" s="669" t="s">
        <v>439</v>
      </c>
      <c r="E32" s="546">
        <v>642.81666099999995</v>
      </c>
    </row>
    <row r="33" spans="2:5" x14ac:dyDescent="0.25">
      <c r="B33" s="545">
        <v>28</v>
      </c>
      <c r="C33" s="553" t="s">
        <v>7298</v>
      </c>
      <c r="D33" s="669" t="s">
        <v>439</v>
      </c>
      <c r="E33" s="546">
        <v>985.49999000000003</v>
      </c>
    </row>
    <row r="34" spans="2:5" x14ac:dyDescent="0.25">
      <c r="B34" s="545">
        <v>29</v>
      </c>
      <c r="C34" s="553" t="s">
        <v>5817</v>
      </c>
      <c r="D34" s="669" t="s">
        <v>439</v>
      </c>
      <c r="E34" s="546">
        <v>969.56000400000005</v>
      </c>
    </row>
    <row r="35" spans="2:5" x14ac:dyDescent="0.25">
      <c r="B35" s="545">
        <v>30</v>
      </c>
      <c r="C35" s="553" t="s">
        <v>6564</v>
      </c>
      <c r="D35" s="669" t="s">
        <v>439</v>
      </c>
      <c r="E35" s="546">
        <v>921.870588</v>
      </c>
    </row>
    <row r="36" spans="2:5" x14ac:dyDescent="0.25">
      <c r="B36" s="545">
        <v>31</v>
      </c>
      <c r="C36" s="553" t="s">
        <v>5713</v>
      </c>
      <c r="D36" s="669" t="s">
        <v>439</v>
      </c>
      <c r="E36" s="546">
        <v>942.67647799999997</v>
      </c>
    </row>
    <row r="37" spans="2:5" x14ac:dyDescent="0.25">
      <c r="B37" s="545">
        <v>32</v>
      </c>
      <c r="C37" s="553" t="s">
        <v>3874</v>
      </c>
      <c r="D37" s="669" t="s">
        <v>439</v>
      </c>
      <c r="E37" s="546">
        <v>737.32500500000003</v>
      </c>
    </row>
    <row r="38" spans="2:5" x14ac:dyDescent="0.25">
      <c r="B38" s="545">
        <v>33</v>
      </c>
      <c r="C38" s="553" t="s">
        <v>3125</v>
      </c>
      <c r="D38" s="669" t="s">
        <v>439</v>
      </c>
      <c r="E38" s="546">
        <v>697.48751800000002</v>
      </c>
    </row>
    <row r="39" spans="2:5" x14ac:dyDescent="0.25">
      <c r="B39" s="545">
        <v>34</v>
      </c>
      <c r="C39" s="553" t="s">
        <v>2843</v>
      </c>
      <c r="D39" s="669" t="s">
        <v>439</v>
      </c>
      <c r="E39" s="546">
        <v>683.75</v>
      </c>
    </row>
    <row r="40" spans="2:5" x14ac:dyDescent="0.25">
      <c r="B40" s="545">
        <v>35</v>
      </c>
      <c r="C40" s="553" t="s">
        <v>2940</v>
      </c>
      <c r="D40" s="669" t="s">
        <v>439</v>
      </c>
      <c r="E40" s="546">
        <v>687.42500299999995</v>
      </c>
    </row>
    <row r="41" spans="2:5" x14ac:dyDescent="0.25">
      <c r="B41" s="545">
        <v>36</v>
      </c>
      <c r="C41" s="553" t="s">
        <v>821</v>
      </c>
      <c r="D41" s="669" t="s">
        <v>439</v>
      </c>
      <c r="E41" s="546">
        <v>571.20952199999999</v>
      </c>
    </row>
    <row r="42" spans="2:5" x14ac:dyDescent="0.25">
      <c r="B42" s="545">
        <v>37</v>
      </c>
      <c r="C42" s="553" t="s">
        <v>7204</v>
      </c>
      <c r="D42" s="669" t="s">
        <v>439</v>
      </c>
      <c r="E42" s="546">
        <v>592.51428199999998</v>
      </c>
    </row>
    <row r="43" spans="2:5" x14ac:dyDescent="0.25">
      <c r="B43" s="545">
        <v>38</v>
      </c>
      <c r="C43" s="553" t="s">
        <v>7385</v>
      </c>
      <c r="D43" s="669" t="s">
        <v>439</v>
      </c>
      <c r="E43" s="546">
        <v>582.25</v>
      </c>
    </row>
    <row r="44" spans="2:5" x14ac:dyDescent="0.25">
      <c r="B44" s="545">
        <v>39</v>
      </c>
      <c r="C44" s="553" t="s">
        <v>6975</v>
      </c>
      <c r="D44" s="669" t="s">
        <v>439</v>
      </c>
      <c r="E44" s="546">
        <v>870.33528799999999</v>
      </c>
    </row>
    <row r="45" spans="2:5" x14ac:dyDescent="0.25">
      <c r="B45" s="545">
        <v>40</v>
      </c>
      <c r="C45" s="553" t="s">
        <v>7562</v>
      </c>
      <c r="D45" s="669" t="s">
        <v>439</v>
      </c>
      <c r="E45" s="546">
        <v>814.76248899999996</v>
      </c>
    </row>
    <row r="46" spans="2:5" x14ac:dyDescent="0.25">
      <c r="B46" s="545">
        <v>41</v>
      </c>
      <c r="C46" s="553" t="s">
        <v>3750</v>
      </c>
      <c r="D46" s="669" t="s">
        <v>439</v>
      </c>
      <c r="E46" s="546">
        <v>729.66665999999998</v>
      </c>
    </row>
    <row r="47" spans="2:5" x14ac:dyDescent="0.25">
      <c r="B47" s="545">
        <v>42</v>
      </c>
      <c r="C47" s="553" t="s">
        <v>6616</v>
      </c>
      <c r="D47" s="669" t="s">
        <v>439</v>
      </c>
      <c r="E47" s="546">
        <v>701.01999499999999</v>
      </c>
    </row>
    <row r="48" spans="2:5" x14ac:dyDescent="0.25">
      <c r="B48" s="545">
        <v>43</v>
      </c>
      <c r="C48" s="553" t="s">
        <v>2784</v>
      </c>
      <c r="D48" s="669" t="s">
        <v>439</v>
      </c>
      <c r="E48" s="546">
        <v>679.97143600000004</v>
      </c>
    </row>
    <row r="49" spans="2:5" x14ac:dyDescent="0.25">
      <c r="B49" s="545">
        <v>44</v>
      </c>
      <c r="C49" s="553" t="s">
        <v>1780</v>
      </c>
      <c r="D49" s="669" t="s">
        <v>439</v>
      </c>
      <c r="E49" s="546">
        <v>635.42222800000002</v>
      </c>
    </row>
    <row r="50" spans="2:5" x14ac:dyDescent="0.25">
      <c r="B50" s="545">
        <v>45</v>
      </c>
      <c r="C50" s="553" t="s">
        <v>1723</v>
      </c>
      <c r="D50" s="669" t="s">
        <v>439</v>
      </c>
      <c r="E50" s="546">
        <v>633.31428700000004</v>
      </c>
    </row>
    <row r="51" spans="2:5" x14ac:dyDescent="0.25">
      <c r="B51" s="545">
        <v>46</v>
      </c>
      <c r="C51" s="553" t="s">
        <v>880</v>
      </c>
      <c r="D51" s="669" t="s">
        <v>439</v>
      </c>
      <c r="E51" s="546">
        <v>577.68333399999995</v>
      </c>
    </row>
    <row r="52" spans="2:5" x14ac:dyDescent="0.25">
      <c r="B52" s="545">
        <v>47</v>
      </c>
      <c r="C52" s="553" t="s">
        <v>959</v>
      </c>
      <c r="D52" s="669" t="s">
        <v>439</v>
      </c>
      <c r="E52" s="546">
        <v>584.97142699999995</v>
      </c>
    </row>
    <row r="53" spans="2:5" x14ac:dyDescent="0.25">
      <c r="B53" s="545">
        <v>48</v>
      </c>
      <c r="C53" s="553" t="s">
        <v>3070</v>
      </c>
      <c r="D53" s="669" t="s">
        <v>439</v>
      </c>
      <c r="E53" s="546">
        <v>694.5</v>
      </c>
    </row>
    <row r="54" spans="2:5" x14ac:dyDescent="0.25">
      <c r="B54" s="545">
        <v>49</v>
      </c>
      <c r="C54" s="553" t="s">
        <v>7363</v>
      </c>
      <c r="D54" s="669" t="s">
        <v>439</v>
      </c>
      <c r="E54" s="546">
        <v>661.65999799999997</v>
      </c>
    </row>
    <row r="55" spans="2:5" x14ac:dyDescent="0.25">
      <c r="B55" s="545">
        <v>50</v>
      </c>
      <c r="C55" s="553" t="s">
        <v>1379</v>
      </c>
      <c r="D55" s="669" t="s">
        <v>439</v>
      </c>
      <c r="E55" s="546">
        <v>614.04998799999998</v>
      </c>
    </row>
    <row r="56" spans="2:5" x14ac:dyDescent="0.25">
      <c r="B56" s="545">
        <v>51</v>
      </c>
      <c r="C56" s="553" t="s">
        <v>1397</v>
      </c>
      <c r="D56" s="669" t="s">
        <v>439</v>
      </c>
      <c r="E56" s="546">
        <v>615</v>
      </c>
    </row>
    <row r="57" spans="2:5" x14ac:dyDescent="0.25">
      <c r="B57" s="545">
        <v>52</v>
      </c>
      <c r="C57" s="553" t="s">
        <v>953</v>
      </c>
      <c r="D57" s="669" t="s">
        <v>439</v>
      </c>
      <c r="E57" s="546">
        <v>584.625</v>
      </c>
    </row>
    <row r="58" spans="2:5" x14ac:dyDescent="0.25">
      <c r="B58" s="545">
        <v>53</v>
      </c>
      <c r="C58" s="553" t="s">
        <v>974</v>
      </c>
      <c r="D58" s="669" t="s">
        <v>439</v>
      </c>
      <c r="E58" s="546">
        <v>586.31666099999995</v>
      </c>
    </row>
    <row r="59" spans="2:5" x14ac:dyDescent="0.25">
      <c r="B59" s="545">
        <v>54</v>
      </c>
      <c r="C59" s="553" t="s">
        <v>932</v>
      </c>
      <c r="D59" s="669" t="s">
        <v>439</v>
      </c>
      <c r="E59" s="546">
        <v>582.84999100000005</v>
      </c>
    </row>
    <row r="60" spans="2:5" x14ac:dyDescent="0.25">
      <c r="B60" s="545">
        <v>55</v>
      </c>
      <c r="C60" s="553" t="s">
        <v>1026</v>
      </c>
      <c r="D60" s="669" t="s">
        <v>439</v>
      </c>
      <c r="E60" s="546">
        <v>591.84999700000003</v>
      </c>
    </row>
    <row r="61" spans="2:5" x14ac:dyDescent="0.25">
      <c r="B61" s="545">
        <v>56</v>
      </c>
      <c r="C61" s="553" t="s">
        <v>1281</v>
      </c>
      <c r="D61" s="669" t="s">
        <v>439</v>
      </c>
      <c r="E61" s="546">
        <v>608.46667500000001</v>
      </c>
    </row>
    <row r="62" spans="2:5" x14ac:dyDescent="0.25">
      <c r="B62" s="545">
        <v>57</v>
      </c>
      <c r="C62" s="553" t="s">
        <v>815</v>
      </c>
      <c r="D62" s="669" t="s">
        <v>439</v>
      </c>
      <c r="E62" s="546">
        <v>569.91666699999996</v>
      </c>
    </row>
    <row r="63" spans="2:5" x14ac:dyDescent="0.25">
      <c r="B63" s="545">
        <v>58</v>
      </c>
      <c r="C63" s="553" t="s">
        <v>4518</v>
      </c>
      <c r="D63" s="669" t="s">
        <v>439</v>
      </c>
      <c r="E63" s="546">
        <v>780.866669</v>
      </c>
    </row>
    <row r="64" spans="2:5" x14ac:dyDescent="0.25">
      <c r="B64" s="545">
        <v>59</v>
      </c>
      <c r="C64" s="553" t="s">
        <v>4182</v>
      </c>
      <c r="D64" s="669" t="s">
        <v>439</v>
      </c>
      <c r="E64" s="546">
        <v>756.09997599999997</v>
      </c>
    </row>
    <row r="65" spans="2:5" x14ac:dyDescent="0.25">
      <c r="B65" s="545">
        <v>60</v>
      </c>
      <c r="C65" s="553" t="s">
        <v>3872</v>
      </c>
      <c r="D65" s="669" t="s">
        <v>439</v>
      </c>
      <c r="E65" s="546">
        <v>737.28750600000001</v>
      </c>
    </row>
    <row r="66" spans="2:5" x14ac:dyDescent="0.25">
      <c r="B66" s="545">
        <v>61</v>
      </c>
      <c r="C66" s="553" t="s">
        <v>2391</v>
      </c>
      <c r="D66" s="669" t="s">
        <v>439</v>
      </c>
      <c r="E66" s="546">
        <v>661.63332100000002</v>
      </c>
    </row>
    <row r="67" spans="2:5" x14ac:dyDescent="0.25">
      <c r="B67" s="545">
        <v>62</v>
      </c>
      <c r="C67" s="553" t="s">
        <v>1872</v>
      </c>
      <c r="D67" s="669" t="s">
        <v>439</v>
      </c>
      <c r="E67" s="546">
        <v>638.77000699999996</v>
      </c>
    </row>
    <row r="68" spans="2:5" x14ac:dyDescent="0.25">
      <c r="B68" s="545">
        <v>63</v>
      </c>
      <c r="C68" s="553" t="s">
        <v>1138</v>
      </c>
      <c r="D68" s="669" t="s">
        <v>439</v>
      </c>
      <c r="E68" s="546">
        <v>599.82857000000001</v>
      </c>
    </row>
    <row r="69" spans="2:5" x14ac:dyDescent="0.25">
      <c r="B69" s="545">
        <v>64</v>
      </c>
      <c r="C69" s="553" t="s">
        <v>966</v>
      </c>
      <c r="D69" s="669" t="s">
        <v>439</v>
      </c>
      <c r="E69" s="546">
        <v>585.43077700000003</v>
      </c>
    </row>
    <row r="70" spans="2:5" x14ac:dyDescent="0.25">
      <c r="B70" s="545">
        <v>65</v>
      </c>
      <c r="C70" s="553" t="s">
        <v>944</v>
      </c>
      <c r="D70" s="669" t="s">
        <v>439</v>
      </c>
      <c r="E70" s="546">
        <v>583.71818399999995</v>
      </c>
    </row>
    <row r="71" spans="2:5" x14ac:dyDescent="0.25">
      <c r="B71" s="545">
        <v>66</v>
      </c>
      <c r="C71" s="553" t="s">
        <v>906</v>
      </c>
      <c r="D71" s="669" t="s">
        <v>439</v>
      </c>
      <c r="E71" s="546">
        <v>580.03333499999997</v>
      </c>
    </row>
    <row r="72" spans="2:5" x14ac:dyDescent="0.25">
      <c r="B72" s="545">
        <v>67</v>
      </c>
      <c r="C72" s="553" t="s">
        <v>1431</v>
      </c>
      <c r="D72" s="669" t="s">
        <v>439</v>
      </c>
      <c r="E72" s="546">
        <v>616.94999700000005</v>
      </c>
    </row>
    <row r="73" spans="2:5" x14ac:dyDescent="0.25">
      <c r="B73" s="545">
        <v>68</v>
      </c>
      <c r="C73" s="553" t="s">
        <v>1200</v>
      </c>
      <c r="D73" s="669" t="s">
        <v>439</v>
      </c>
      <c r="E73" s="546">
        <v>603.79998799999998</v>
      </c>
    </row>
    <row r="74" spans="2:5" x14ac:dyDescent="0.25">
      <c r="B74" s="545">
        <v>69</v>
      </c>
      <c r="C74" s="553" t="s">
        <v>836</v>
      </c>
      <c r="D74" s="669" t="s">
        <v>439</v>
      </c>
      <c r="E74" s="546">
        <v>573.64000199999998</v>
      </c>
    </row>
    <row r="75" spans="2:5" x14ac:dyDescent="0.25">
      <c r="B75" s="545">
        <v>70</v>
      </c>
      <c r="C75" s="553" t="s">
        <v>6810</v>
      </c>
      <c r="D75" s="669" t="s">
        <v>439</v>
      </c>
      <c r="E75" s="546">
        <v>573.34999100000005</v>
      </c>
    </row>
    <row r="76" spans="2:5" ht="14.4" x14ac:dyDescent="0.25">
      <c r="B76" s="543">
        <v>71</v>
      </c>
      <c r="C76" s="553" t="s">
        <v>728</v>
      </c>
      <c r="D76" s="669" t="s">
        <v>439</v>
      </c>
      <c r="E76" s="544">
        <v>547.72500600000001</v>
      </c>
    </row>
    <row r="77" spans="2:5" x14ac:dyDescent="0.25">
      <c r="B77" s="545">
        <v>72</v>
      </c>
      <c r="C77" s="553" t="s">
        <v>830</v>
      </c>
      <c r="D77" s="669" t="s">
        <v>439</v>
      </c>
      <c r="E77" s="546">
        <v>572.67500299999995</v>
      </c>
    </row>
    <row r="78" spans="2:5" x14ac:dyDescent="0.25">
      <c r="B78" s="545">
        <v>73</v>
      </c>
      <c r="C78" s="553" t="s">
        <v>4661</v>
      </c>
      <c r="D78" s="669" t="s">
        <v>439</v>
      </c>
      <c r="E78" s="546">
        <v>793.139996</v>
      </c>
    </row>
    <row r="79" spans="2:5" x14ac:dyDescent="0.25">
      <c r="B79" s="545">
        <v>74</v>
      </c>
      <c r="C79" s="553" t="s">
        <v>3303</v>
      </c>
      <c r="D79" s="669" t="s">
        <v>439</v>
      </c>
      <c r="E79" s="546">
        <v>706.14285700000005</v>
      </c>
    </row>
    <row r="80" spans="2:5" x14ac:dyDescent="0.25">
      <c r="B80" s="545">
        <v>75</v>
      </c>
      <c r="C80" s="553" t="s">
        <v>3223</v>
      </c>
      <c r="D80" s="669" t="s">
        <v>439</v>
      </c>
      <c r="E80" s="546">
        <v>702.31999499999995</v>
      </c>
    </row>
    <row r="81" spans="2:5" x14ac:dyDescent="0.25">
      <c r="B81" s="545">
        <v>76</v>
      </c>
      <c r="C81" s="553" t="s">
        <v>6746</v>
      </c>
      <c r="D81" s="669" t="s">
        <v>439</v>
      </c>
      <c r="E81" s="546">
        <v>715.91875100000004</v>
      </c>
    </row>
    <row r="82" spans="2:5" x14ac:dyDescent="0.25">
      <c r="B82" s="545">
        <v>77</v>
      </c>
      <c r="C82" s="553" t="s">
        <v>3366</v>
      </c>
      <c r="D82" s="669" t="s">
        <v>439</v>
      </c>
      <c r="E82" s="546">
        <v>709.25713199999996</v>
      </c>
    </row>
    <row r="83" spans="2:5" x14ac:dyDescent="0.25">
      <c r="B83" s="545">
        <v>78</v>
      </c>
      <c r="C83" s="553" t="s">
        <v>2598</v>
      </c>
      <c r="D83" s="669" t="s">
        <v>439</v>
      </c>
      <c r="E83" s="546">
        <v>670.63332100000002</v>
      </c>
    </row>
    <row r="84" spans="2:5" x14ac:dyDescent="0.25">
      <c r="B84" s="545">
        <v>79</v>
      </c>
      <c r="C84" s="553" t="s">
        <v>1502</v>
      </c>
      <c r="D84" s="669" t="s">
        <v>439</v>
      </c>
      <c r="E84" s="546">
        <v>639.47499100000005</v>
      </c>
    </row>
    <row r="85" spans="2:5" x14ac:dyDescent="0.25">
      <c r="B85" s="545">
        <v>80</v>
      </c>
      <c r="C85" s="553" t="s">
        <v>1071</v>
      </c>
      <c r="D85" s="669" t="s">
        <v>439</v>
      </c>
      <c r="E85" s="546">
        <v>595.54444699999999</v>
      </c>
    </row>
    <row r="86" spans="2:5" x14ac:dyDescent="0.25">
      <c r="B86" s="545">
        <v>81</v>
      </c>
      <c r="C86" s="553" t="s">
        <v>1127</v>
      </c>
      <c r="D86" s="669" t="s">
        <v>439</v>
      </c>
      <c r="E86" s="546">
        <v>599.49998800000003</v>
      </c>
    </row>
    <row r="87" spans="2:5" x14ac:dyDescent="0.25">
      <c r="B87" s="545">
        <v>82</v>
      </c>
      <c r="C87" s="553" t="s">
        <v>6704</v>
      </c>
      <c r="D87" s="669" t="s">
        <v>439</v>
      </c>
      <c r="E87" s="546">
        <v>585.82142399999998</v>
      </c>
    </row>
    <row r="88" spans="2:5" x14ac:dyDescent="0.25">
      <c r="B88" s="545">
        <v>83</v>
      </c>
      <c r="C88" s="553" t="s">
        <v>999</v>
      </c>
      <c r="D88" s="669" t="s">
        <v>439</v>
      </c>
      <c r="E88" s="546">
        <v>589.15999799999997</v>
      </c>
    </row>
    <row r="89" spans="2:5" x14ac:dyDescent="0.25">
      <c r="B89" s="545">
        <v>84</v>
      </c>
      <c r="C89" s="553" t="s">
        <v>867</v>
      </c>
      <c r="D89" s="669" t="s">
        <v>439</v>
      </c>
      <c r="E89" s="546">
        <v>576.33077300000002</v>
      </c>
    </row>
    <row r="90" spans="2:5" x14ac:dyDescent="0.25">
      <c r="B90" s="545">
        <v>85</v>
      </c>
      <c r="C90" s="553" t="s">
        <v>773</v>
      </c>
      <c r="D90" s="669" t="s">
        <v>439</v>
      </c>
      <c r="E90" s="546">
        <v>562.74999000000003</v>
      </c>
    </row>
    <row r="91" spans="2:5" x14ac:dyDescent="0.25">
      <c r="B91" s="545">
        <v>86</v>
      </c>
      <c r="C91" s="553" t="s">
        <v>866</v>
      </c>
      <c r="D91" s="669" t="s">
        <v>439</v>
      </c>
      <c r="E91" s="546">
        <v>575.990906</v>
      </c>
    </row>
    <row r="92" spans="2:5" x14ac:dyDescent="0.25">
      <c r="B92" s="545">
        <v>87</v>
      </c>
      <c r="C92" s="553" t="s">
        <v>2300</v>
      </c>
      <c r="D92" s="669" t="s">
        <v>439</v>
      </c>
      <c r="E92" s="546">
        <v>657.35000600000001</v>
      </c>
    </row>
    <row r="93" spans="2:5" x14ac:dyDescent="0.25">
      <c r="B93" s="545">
        <v>88</v>
      </c>
      <c r="C93" s="553" t="s">
        <v>2223</v>
      </c>
      <c r="D93" s="669" t="s">
        <v>439</v>
      </c>
      <c r="E93" s="546">
        <v>653.98570900000004</v>
      </c>
    </row>
    <row r="94" spans="2:5" x14ac:dyDescent="0.25">
      <c r="B94" s="545">
        <v>89</v>
      </c>
      <c r="C94" s="553" t="s">
        <v>992</v>
      </c>
      <c r="D94" s="669" t="s">
        <v>439</v>
      </c>
      <c r="E94" s="546">
        <v>588.52499399999999</v>
      </c>
    </row>
    <row r="95" spans="2:5" x14ac:dyDescent="0.25">
      <c r="B95" s="545">
        <v>90</v>
      </c>
      <c r="C95" s="553" t="s">
        <v>7200</v>
      </c>
      <c r="D95" s="669" t="s">
        <v>439</v>
      </c>
      <c r="E95" s="546">
        <v>592.19998199999998</v>
      </c>
    </row>
    <row r="96" spans="2:5" x14ac:dyDescent="0.25">
      <c r="B96" s="545">
        <v>91</v>
      </c>
      <c r="C96" s="553" t="s">
        <v>1652</v>
      </c>
      <c r="D96" s="669" t="s">
        <v>439</v>
      </c>
      <c r="E96" s="546">
        <v>629.20001200000002</v>
      </c>
    </row>
    <row r="97" spans="2:5" x14ac:dyDescent="0.25">
      <c r="B97" s="545">
        <v>92</v>
      </c>
      <c r="C97" s="553" t="s">
        <v>6693</v>
      </c>
      <c r="D97" s="669" t="s">
        <v>439</v>
      </c>
      <c r="E97" s="546">
        <v>650.26666299999999</v>
      </c>
    </row>
    <row r="98" spans="2:5" x14ac:dyDescent="0.25">
      <c r="B98" s="545">
        <v>93</v>
      </c>
      <c r="C98" s="553" t="s">
        <v>7360</v>
      </c>
      <c r="D98" s="669" t="s">
        <v>439</v>
      </c>
      <c r="E98" s="546">
        <v>641.71667500000001</v>
      </c>
    </row>
    <row r="99" spans="2:5" x14ac:dyDescent="0.25">
      <c r="B99" s="545">
        <v>94</v>
      </c>
      <c r="C99" s="553" t="s">
        <v>1369</v>
      </c>
      <c r="D99" s="669" t="s">
        <v>439</v>
      </c>
      <c r="E99" s="546">
        <v>613.70000000000005</v>
      </c>
    </row>
    <row r="100" spans="2:5" x14ac:dyDescent="0.25">
      <c r="B100" s="545">
        <v>95</v>
      </c>
      <c r="C100" s="553" t="s">
        <v>954</v>
      </c>
      <c r="D100" s="669" t="s">
        <v>439</v>
      </c>
      <c r="E100" s="546">
        <v>584.65555800000004</v>
      </c>
    </row>
    <row r="101" spans="2:5" x14ac:dyDescent="0.25">
      <c r="B101" s="545">
        <v>96</v>
      </c>
      <c r="C101" s="553" t="s">
        <v>6870</v>
      </c>
      <c r="D101" s="669" t="s">
        <v>439</v>
      </c>
      <c r="E101" s="546">
        <v>565.80000099999995</v>
      </c>
    </row>
    <row r="102" spans="2:5" ht="14.4" x14ac:dyDescent="0.25">
      <c r="B102" s="543">
        <v>97</v>
      </c>
      <c r="C102" s="553" t="s">
        <v>6497</v>
      </c>
      <c r="D102" s="669" t="s">
        <v>439</v>
      </c>
      <c r="E102" s="544">
        <v>547.33333700000003</v>
      </c>
    </row>
    <row r="103" spans="2:5" ht="14.4" x14ac:dyDescent="0.25">
      <c r="B103" s="543">
        <v>98</v>
      </c>
      <c r="C103" s="553" t="s">
        <v>724</v>
      </c>
      <c r="D103" s="669" t="s">
        <v>439</v>
      </c>
      <c r="E103" s="544">
        <v>547.07499700000005</v>
      </c>
    </row>
    <row r="104" spans="2:5" x14ac:dyDescent="0.25">
      <c r="B104" s="545">
        <v>99</v>
      </c>
      <c r="C104" s="553" t="s">
        <v>1043</v>
      </c>
      <c r="D104" s="669" t="s">
        <v>439</v>
      </c>
      <c r="E104" s="546">
        <v>593.01538100000005</v>
      </c>
    </row>
    <row r="105" spans="2:5" x14ac:dyDescent="0.25">
      <c r="B105" s="545">
        <v>100</v>
      </c>
      <c r="C105" s="553" t="s">
        <v>1105</v>
      </c>
      <c r="D105" s="669" t="s">
        <v>439</v>
      </c>
      <c r="E105" s="546">
        <v>598.21818399999995</v>
      </c>
    </row>
    <row r="106" spans="2:5" x14ac:dyDescent="0.25">
      <c r="B106" s="545">
        <v>101</v>
      </c>
      <c r="C106" s="553" t="s">
        <v>1574</v>
      </c>
      <c r="D106" s="669" t="s">
        <v>439</v>
      </c>
      <c r="E106" s="546">
        <v>624.90000399999997</v>
      </c>
    </row>
    <row r="107" spans="2:5" x14ac:dyDescent="0.25">
      <c r="B107" s="545">
        <v>102</v>
      </c>
      <c r="C107" s="553" t="s">
        <v>1526</v>
      </c>
      <c r="D107" s="669" t="s">
        <v>439</v>
      </c>
      <c r="E107" s="546">
        <v>621.875</v>
      </c>
    </row>
    <row r="108" spans="2:5" x14ac:dyDescent="0.25">
      <c r="B108" s="545">
        <v>103</v>
      </c>
      <c r="C108" s="553" t="s">
        <v>1206</v>
      </c>
      <c r="D108" s="669" t="s">
        <v>439</v>
      </c>
      <c r="E108" s="546">
        <v>604.05999099999997</v>
      </c>
    </row>
    <row r="109" spans="2:5" x14ac:dyDescent="0.25">
      <c r="B109" s="545">
        <v>104</v>
      </c>
      <c r="C109" s="553" t="s">
        <v>7139</v>
      </c>
      <c r="D109" s="669" t="s">
        <v>439</v>
      </c>
      <c r="E109" s="546">
        <v>640.375</v>
      </c>
    </row>
    <row r="110" spans="2:5" x14ac:dyDescent="0.25">
      <c r="B110" s="545">
        <v>105</v>
      </c>
      <c r="C110" s="553" t="s">
        <v>768</v>
      </c>
      <c r="D110" s="669" t="s">
        <v>439</v>
      </c>
      <c r="E110" s="546">
        <v>562.02500899999995</v>
      </c>
    </row>
    <row r="111" spans="2:5" x14ac:dyDescent="0.25">
      <c r="B111" s="545">
        <v>106</v>
      </c>
      <c r="C111" s="553" t="s">
        <v>774</v>
      </c>
      <c r="D111" s="669" t="s">
        <v>439</v>
      </c>
      <c r="E111" s="546">
        <v>563.02000699999996</v>
      </c>
    </row>
    <row r="112" spans="2:5" x14ac:dyDescent="0.25">
      <c r="B112" s="545">
        <v>107</v>
      </c>
      <c r="C112" s="553" t="s">
        <v>750</v>
      </c>
      <c r="D112" s="669" t="s">
        <v>439</v>
      </c>
      <c r="E112" s="546">
        <v>557.44998899999996</v>
      </c>
    </row>
    <row r="113" spans="2:5" x14ac:dyDescent="0.25">
      <c r="B113" s="545">
        <v>108</v>
      </c>
      <c r="C113" s="553" t="s">
        <v>1015</v>
      </c>
      <c r="D113" s="669" t="s">
        <v>439</v>
      </c>
      <c r="E113" s="546">
        <v>590.69999600000006</v>
      </c>
    </row>
    <row r="114" spans="2:5" x14ac:dyDescent="0.25">
      <c r="B114" s="545">
        <v>109</v>
      </c>
      <c r="C114" s="553" t="s">
        <v>2915</v>
      </c>
      <c r="D114" s="669" t="s">
        <v>439</v>
      </c>
      <c r="E114" s="546">
        <v>686.34999100000005</v>
      </c>
    </row>
    <row r="115" spans="2:5" x14ac:dyDescent="0.25">
      <c r="B115" s="545">
        <v>110</v>
      </c>
      <c r="C115" s="553" t="s">
        <v>1943</v>
      </c>
      <c r="D115" s="669" t="s">
        <v>439</v>
      </c>
      <c r="E115" s="546">
        <v>641.54999999999995</v>
      </c>
    </row>
    <row r="116" spans="2:5" x14ac:dyDescent="0.25">
      <c r="B116" s="545">
        <v>111</v>
      </c>
      <c r="C116" s="553" t="s">
        <v>2488</v>
      </c>
      <c r="D116" s="669" t="s">
        <v>439</v>
      </c>
      <c r="E116" s="546">
        <v>665.34615399999996</v>
      </c>
    </row>
    <row r="117" spans="2:5" x14ac:dyDescent="0.25">
      <c r="B117" s="545">
        <v>112</v>
      </c>
      <c r="C117" s="553" t="s">
        <v>6859</v>
      </c>
      <c r="D117" s="669" t="s">
        <v>439</v>
      </c>
      <c r="E117" s="546">
        <v>586.56666399999995</v>
      </c>
    </row>
    <row r="118" spans="2:5" x14ac:dyDescent="0.25">
      <c r="B118" s="545">
        <v>113</v>
      </c>
      <c r="C118" s="553" t="s">
        <v>1013</v>
      </c>
      <c r="D118" s="669" t="s">
        <v>439</v>
      </c>
      <c r="E118" s="546">
        <v>590.38666999999998</v>
      </c>
    </row>
    <row r="119" spans="2:5" x14ac:dyDescent="0.25">
      <c r="B119" s="545">
        <v>114</v>
      </c>
      <c r="C119" s="553" t="s">
        <v>1272</v>
      </c>
      <c r="D119" s="669" t="s">
        <v>439</v>
      </c>
      <c r="E119" s="546">
        <v>607.67999899999995</v>
      </c>
    </row>
    <row r="120" spans="2:5" x14ac:dyDescent="0.25">
      <c r="B120" s="545">
        <v>115</v>
      </c>
      <c r="C120" s="553" t="s">
        <v>929</v>
      </c>
      <c r="D120" s="669" t="s">
        <v>439</v>
      </c>
      <c r="E120" s="546">
        <v>635.64999399999999</v>
      </c>
    </row>
    <row r="121" spans="2:5" x14ac:dyDescent="0.25">
      <c r="B121" s="545">
        <v>116</v>
      </c>
      <c r="C121" s="553" t="s">
        <v>800</v>
      </c>
      <c r="D121" s="669" t="s">
        <v>439</v>
      </c>
      <c r="E121" s="546">
        <v>567.21249399999999</v>
      </c>
    </row>
    <row r="122" spans="2:5" x14ac:dyDescent="0.25">
      <c r="B122" s="545">
        <v>117</v>
      </c>
      <c r="C122" s="553" t="s">
        <v>7549</v>
      </c>
      <c r="D122" s="669" t="s">
        <v>439</v>
      </c>
      <c r="E122" s="546">
        <v>578.84999600000003</v>
      </c>
    </row>
    <row r="123" spans="2:5" x14ac:dyDescent="0.25">
      <c r="B123" s="545">
        <v>118</v>
      </c>
      <c r="C123" s="553" t="s">
        <v>7266</v>
      </c>
      <c r="D123" s="669" t="s">
        <v>439</v>
      </c>
      <c r="E123" s="546">
        <v>576.885716</v>
      </c>
    </row>
    <row r="124" spans="2:5" x14ac:dyDescent="0.25">
      <c r="B124" s="545">
        <v>119</v>
      </c>
      <c r="C124" s="553" t="s">
        <v>949</v>
      </c>
      <c r="D124" s="669" t="s">
        <v>439</v>
      </c>
      <c r="E124" s="546">
        <v>583.93332899999996</v>
      </c>
    </row>
    <row r="125" spans="2:5" x14ac:dyDescent="0.25">
      <c r="B125" s="545">
        <v>120</v>
      </c>
      <c r="C125" s="553" t="s">
        <v>1312</v>
      </c>
      <c r="D125" s="669" t="s">
        <v>439</v>
      </c>
      <c r="E125" s="546">
        <v>610.35000600000001</v>
      </c>
    </row>
    <row r="126" spans="2:5" x14ac:dyDescent="0.25">
      <c r="B126" s="545">
        <v>121</v>
      </c>
      <c r="C126" s="553" t="s">
        <v>1291</v>
      </c>
      <c r="D126" s="669" t="s">
        <v>439</v>
      </c>
      <c r="E126" s="546">
        <v>609.20001200000002</v>
      </c>
    </row>
    <row r="127" spans="2:5" x14ac:dyDescent="0.25">
      <c r="B127" s="545">
        <v>122</v>
      </c>
      <c r="C127" s="553" t="s">
        <v>2098</v>
      </c>
      <c r="D127" s="669" t="s">
        <v>439</v>
      </c>
      <c r="E127" s="546">
        <v>648.07499700000005</v>
      </c>
    </row>
    <row r="128" spans="2:5" x14ac:dyDescent="0.25">
      <c r="B128" s="545">
        <v>123</v>
      </c>
      <c r="C128" s="553" t="s">
        <v>2141</v>
      </c>
      <c r="D128" s="669" t="s">
        <v>439</v>
      </c>
      <c r="E128" s="546">
        <v>650.38420699999995</v>
      </c>
    </row>
    <row r="129" spans="2:5" x14ac:dyDescent="0.25">
      <c r="B129" s="545">
        <v>124</v>
      </c>
      <c r="C129" s="553" t="s">
        <v>1233</v>
      </c>
      <c r="D129" s="669" t="s">
        <v>439</v>
      </c>
      <c r="E129" s="546">
        <v>605.73076900000001</v>
      </c>
    </row>
    <row r="130" spans="2:5" x14ac:dyDescent="0.25">
      <c r="B130" s="545">
        <v>125</v>
      </c>
      <c r="C130" s="553" t="s">
        <v>1478</v>
      </c>
      <c r="D130" s="669" t="s">
        <v>439</v>
      </c>
      <c r="E130" s="546">
        <v>619.08335399999999</v>
      </c>
    </row>
    <row r="131" spans="2:5" x14ac:dyDescent="0.25">
      <c r="B131" s="545">
        <v>126</v>
      </c>
      <c r="C131" s="553" t="s">
        <v>1201</v>
      </c>
      <c r="D131" s="669" t="s">
        <v>439</v>
      </c>
      <c r="E131" s="546">
        <v>603.84999100000005</v>
      </c>
    </row>
    <row r="132" spans="2:5" x14ac:dyDescent="0.25">
      <c r="B132" s="545">
        <v>150</v>
      </c>
      <c r="C132" s="553" t="s">
        <v>2055</v>
      </c>
      <c r="D132" s="669" t="s">
        <v>439</v>
      </c>
      <c r="E132" s="546">
        <v>645.69999199999995</v>
      </c>
    </row>
    <row r="133" spans="2:5" x14ac:dyDescent="0.25">
      <c r="B133" s="545">
        <v>151</v>
      </c>
      <c r="C133" s="553" t="s">
        <v>5144</v>
      </c>
      <c r="D133" s="669" t="s">
        <v>437</v>
      </c>
      <c r="E133" s="546">
        <v>838.10000300000002</v>
      </c>
    </row>
    <row r="134" spans="2:5" x14ac:dyDescent="0.25">
      <c r="B134" s="545">
        <v>152</v>
      </c>
      <c r="C134" s="553" t="s">
        <v>5501</v>
      </c>
      <c r="D134" s="669" t="s">
        <v>437</v>
      </c>
      <c r="E134" s="546">
        <v>896.10000600000001</v>
      </c>
    </row>
    <row r="135" spans="2:5" x14ac:dyDescent="0.25">
      <c r="B135" s="545">
        <v>153</v>
      </c>
      <c r="C135" s="553" t="s">
        <v>5685</v>
      </c>
      <c r="D135" s="669" t="s">
        <v>437</v>
      </c>
      <c r="E135" s="546">
        <v>934.59343799999999</v>
      </c>
    </row>
    <row r="136" spans="2:5" x14ac:dyDescent="0.25">
      <c r="B136" s="545">
        <v>154</v>
      </c>
      <c r="C136" s="553" t="s">
        <v>5326</v>
      </c>
      <c r="D136" s="669" t="s">
        <v>437</v>
      </c>
      <c r="E136" s="546">
        <v>866.79998799999998</v>
      </c>
    </row>
    <row r="137" spans="2:5" x14ac:dyDescent="0.25">
      <c r="B137" s="545">
        <v>155</v>
      </c>
      <c r="C137" s="553" t="s">
        <v>4753</v>
      </c>
      <c r="D137" s="669" t="s">
        <v>437</v>
      </c>
      <c r="E137" s="546">
        <v>800</v>
      </c>
    </row>
    <row r="138" spans="2:5" x14ac:dyDescent="0.25">
      <c r="B138" s="545">
        <v>156</v>
      </c>
      <c r="C138" s="553" t="s">
        <v>5555</v>
      </c>
      <c r="D138" s="669" t="s">
        <v>437</v>
      </c>
      <c r="E138" s="546">
        <v>905.72500600000001</v>
      </c>
    </row>
    <row r="139" spans="2:5" x14ac:dyDescent="0.25">
      <c r="B139" s="545">
        <v>157</v>
      </c>
      <c r="C139" s="553" t="s">
        <v>5426</v>
      </c>
      <c r="D139" s="669" t="s">
        <v>437</v>
      </c>
      <c r="E139" s="546">
        <v>883.75</v>
      </c>
    </row>
    <row r="140" spans="2:5" x14ac:dyDescent="0.25">
      <c r="B140" s="545">
        <v>158</v>
      </c>
      <c r="C140" s="553" t="s">
        <v>4322</v>
      </c>
      <c r="D140" s="669" t="s">
        <v>437</v>
      </c>
      <c r="E140" s="546">
        <v>766.40000399999997</v>
      </c>
    </row>
    <row r="141" spans="2:5" x14ac:dyDescent="0.25">
      <c r="B141" s="545">
        <v>159</v>
      </c>
      <c r="C141" s="553" t="s">
        <v>7198</v>
      </c>
      <c r="D141" s="669" t="s">
        <v>437</v>
      </c>
      <c r="E141" s="546">
        <v>844.62501499999996</v>
      </c>
    </row>
    <row r="142" spans="2:5" x14ac:dyDescent="0.25">
      <c r="B142" s="545">
        <v>160</v>
      </c>
      <c r="C142" s="553" t="s">
        <v>5421</v>
      </c>
      <c r="D142" s="669" t="s">
        <v>437</v>
      </c>
      <c r="E142" s="546">
        <v>882.75833599999999</v>
      </c>
    </row>
    <row r="143" spans="2:5" x14ac:dyDescent="0.25">
      <c r="B143" s="545">
        <v>161</v>
      </c>
      <c r="C143" s="553" t="s">
        <v>7370</v>
      </c>
      <c r="D143" s="669" t="s">
        <v>437</v>
      </c>
      <c r="E143" s="546">
        <v>858.50000499999999</v>
      </c>
    </row>
    <row r="144" spans="2:5" x14ac:dyDescent="0.25">
      <c r="B144" s="545">
        <v>162</v>
      </c>
      <c r="C144" s="553" t="s">
        <v>6881</v>
      </c>
      <c r="D144" s="669" t="s">
        <v>437</v>
      </c>
      <c r="E144" s="546">
        <v>865.02499399999999</v>
      </c>
    </row>
    <row r="145" spans="2:5" x14ac:dyDescent="0.25">
      <c r="B145" s="545">
        <v>163</v>
      </c>
      <c r="C145" s="553" t="s">
        <v>5109</v>
      </c>
      <c r="D145" s="669" t="s">
        <v>437</v>
      </c>
      <c r="E145" s="546">
        <v>834.29998799999998</v>
      </c>
    </row>
    <row r="146" spans="2:5" x14ac:dyDescent="0.25">
      <c r="B146" s="545">
        <v>164</v>
      </c>
      <c r="C146" s="553" t="s">
        <v>5244</v>
      </c>
      <c r="D146" s="669" t="s">
        <v>437</v>
      </c>
      <c r="E146" s="546">
        <v>852.99286300000006</v>
      </c>
    </row>
    <row r="147" spans="2:5" x14ac:dyDescent="0.25">
      <c r="B147" s="545">
        <v>165</v>
      </c>
      <c r="C147" s="553" t="s">
        <v>7373</v>
      </c>
      <c r="D147" s="669" t="s">
        <v>437</v>
      </c>
      <c r="E147" s="546">
        <v>809.51999499999999</v>
      </c>
    </row>
    <row r="148" spans="2:5" x14ac:dyDescent="0.25">
      <c r="B148" s="545">
        <v>166</v>
      </c>
      <c r="C148" s="553" t="s">
        <v>7369</v>
      </c>
      <c r="D148" s="669" t="s">
        <v>437</v>
      </c>
      <c r="E148" s="546">
        <v>743.59999600000003</v>
      </c>
    </row>
    <row r="149" spans="2:5" x14ac:dyDescent="0.25">
      <c r="B149" s="545">
        <v>167</v>
      </c>
      <c r="C149" s="553" t="s">
        <v>6532</v>
      </c>
      <c r="D149" s="669" t="s">
        <v>437</v>
      </c>
      <c r="E149" s="546">
        <v>750.51999499999999</v>
      </c>
    </row>
    <row r="150" spans="2:5" x14ac:dyDescent="0.25">
      <c r="B150" s="545">
        <v>168</v>
      </c>
      <c r="C150" s="553" t="s">
        <v>7371</v>
      </c>
      <c r="D150" s="669" t="s">
        <v>437</v>
      </c>
      <c r="E150" s="546">
        <v>844.62501499999996</v>
      </c>
    </row>
    <row r="151" spans="2:5" x14ac:dyDescent="0.25">
      <c r="B151" s="545">
        <v>169</v>
      </c>
      <c r="C151" s="553" t="s">
        <v>4763</v>
      </c>
      <c r="D151" s="669" t="s">
        <v>437</v>
      </c>
      <c r="E151" s="546">
        <v>801.14999399999999</v>
      </c>
    </row>
    <row r="152" spans="2:5" x14ac:dyDescent="0.25">
      <c r="B152" s="545">
        <v>170</v>
      </c>
      <c r="C152" s="553" t="s">
        <v>5281</v>
      </c>
      <c r="D152" s="669" t="s">
        <v>437</v>
      </c>
      <c r="E152" s="546">
        <v>858.39444300000002</v>
      </c>
    </row>
    <row r="153" spans="2:5" x14ac:dyDescent="0.25">
      <c r="B153" s="545">
        <v>171</v>
      </c>
      <c r="C153" s="553" t="s">
        <v>6787</v>
      </c>
      <c r="D153" s="669" t="s">
        <v>437</v>
      </c>
      <c r="E153" s="546">
        <v>701.89999399999999</v>
      </c>
    </row>
    <row r="154" spans="2:5" x14ac:dyDescent="0.25">
      <c r="B154" s="545">
        <v>172</v>
      </c>
      <c r="C154" s="553" t="s">
        <v>2343</v>
      </c>
      <c r="D154" s="669" t="s">
        <v>437</v>
      </c>
      <c r="E154" s="546">
        <v>659.34286099999997</v>
      </c>
    </row>
    <row r="155" spans="2:5" x14ac:dyDescent="0.25">
      <c r="B155" s="545">
        <v>173</v>
      </c>
      <c r="C155" s="553" t="s">
        <v>3789</v>
      </c>
      <c r="D155" s="669" t="s">
        <v>437</v>
      </c>
      <c r="E155" s="546">
        <v>732.02499399999999</v>
      </c>
    </row>
    <row r="156" spans="2:5" x14ac:dyDescent="0.25">
      <c r="B156" s="545">
        <v>174</v>
      </c>
      <c r="C156" s="553" t="s">
        <v>7372</v>
      </c>
      <c r="D156" s="669" t="s">
        <v>437</v>
      </c>
      <c r="E156" s="546">
        <v>768.76668299999994</v>
      </c>
    </row>
    <row r="157" spans="2:5" x14ac:dyDescent="0.25">
      <c r="B157" s="545">
        <v>175</v>
      </c>
      <c r="C157" s="553" t="s">
        <v>4148</v>
      </c>
      <c r="D157" s="669" t="s">
        <v>437</v>
      </c>
      <c r="E157" s="546">
        <v>753.9</v>
      </c>
    </row>
    <row r="158" spans="2:5" x14ac:dyDescent="0.25">
      <c r="B158" s="545">
        <v>176</v>
      </c>
      <c r="C158" s="553" t="s">
        <v>4911</v>
      </c>
      <c r="D158" s="669" t="s">
        <v>437</v>
      </c>
      <c r="E158" s="546">
        <v>813.25</v>
      </c>
    </row>
    <row r="159" spans="2:5" x14ac:dyDescent="0.25">
      <c r="B159" s="545">
        <v>177</v>
      </c>
      <c r="C159" s="553" t="s">
        <v>5215</v>
      </c>
      <c r="D159" s="669" t="s">
        <v>437</v>
      </c>
      <c r="E159" s="546">
        <v>847.70999099999995</v>
      </c>
    </row>
    <row r="160" spans="2:5" x14ac:dyDescent="0.25">
      <c r="B160" s="545">
        <v>178</v>
      </c>
      <c r="C160" s="553" t="s">
        <v>3614</v>
      </c>
      <c r="D160" s="669" t="s">
        <v>437</v>
      </c>
      <c r="E160" s="546">
        <v>722.58571099999995</v>
      </c>
    </row>
    <row r="161" spans="2:5" x14ac:dyDescent="0.25">
      <c r="B161" s="545">
        <v>179</v>
      </c>
      <c r="C161" s="553" t="s">
        <v>1878</v>
      </c>
      <c r="D161" s="669" t="s">
        <v>437</v>
      </c>
      <c r="E161" s="546">
        <v>639.17500299999995</v>
      </c>
    </row>
    <row r="162" spans="2:5" x14ac:dyDescent="0.25">
      <c r="B162" s="545">
        <v>180</v>
      </c>
      <c r="C162" s="553" t="s">
        <v>1586</v>
      </c>
      <c r="D162" s="669" t="s">
        <v>437</v>
      </c>
      <c r="E162" s="546">
        <v>625.64999399999999</v>
      </c>
    </row>
    <row r="163" spans="2:5" x14ac:dyDescent="0.25">
      <c r="B163" s="545">
        <v>181</v>
      </c>
      <c r="C163" s="553" t="s">
        <v>3014</v>
      </c>
      <c r="D163" s="669" t="s">
        <v>437</v>
      </c>
      <c r="E163" s="546">
        <v>691.46666500000003</v>
      </c>
    </row>
    <row r="164" spans="2:5" x14ac:dyDescent="0.25">
      <c r="B164" s="545">
        <v>182</v>
      </c>
      <c r="C164" s="553" t="s">
        <v>4803</v>
      </c>
      <c r="D164" s="669" t="s">
        <v>437</v>
      </c>
      <c r="E164" s="546">
        <v>803.76666299999999</v>
      </c>
    </row>
    <row r="165" spans="2:5" x14ac:dyDescent="0.25">
      <c r="B165" s="545">
        <v>183</v>
      </c>
      <c r="C165" s="553" t="s">
        <v>4327</v>
      </c>
      <c r="D165" s="669" t="s">
        <v>437</v>
      </c>
      <c r="E165" s="546">
        <v>766.87999300000001</v>
      </c>
    </row>
    <row r="166" spans="2:5" x14ac:dyDescent="0.25">
      <c r="B166" s="545">
        <v>184</v>
      </c>
      <c r="C166" s="553" t="s">
        <v>1051</v>
      </c>
      <c r="D166" s="669" t="s">
        <v>437</v>
      </c>
      <c r="E166" s="546">
        <v>594</v>
      </c>
    </row>
    <row r="167" spans="2:5" x14ac:dyDescent="0.25">
      <c r="B167" s="545">
        <v>185</v>
      </c>
      <c r="C167" s="553" t="s">
        <v>1762</v>
      </c>
      <c r="D167" s="669" t="s">
        <v>437</v>
      </c>
      <c r="E167" s="546">
        <v>634.39999799999998</v>
      </c>
    </row>
    <row r="168" spans="2:5" x14ac:dyDescent="0.25">
      <c r="B168" s="545">
        <v>186</v>
      </c>
      <c r="C168" s="553" t="s">
        <v>4192</v>
      </c>
      <c r="D168" s="669" t="s">
        <v>437</v>
      </c>
      <c r="E168" s="546">
        <v>756.96429899999998</v>
      </c>
    </row>
    <row r="169" spans="2:5" x14ac:dyDescent="0.25">
      <c r="B169" s="545">
        <v>187</v>
      </c>
      <c r="C169" s="553" t="s">
        <v>4467</v>
      </c>
      <c r="D169" s="669" t="s">
        <v>437</v>
      </c>
      <c r="E169" s="546">
        <v>778.00000899999998</v>
      </c>
    </row>
    <row r="170" spans="2:5" x14ac:dyDescent="0.25">
      <c r="B170" s="545">
        <v>188</v>
      </c>
      <c r="C170" s="553" t="s">
        <v>2844</v>
      </c>
      <c r="D170" s="669" t="s">
        <v>437</v>
      </c>
      <c r="E170" s="546">
        <v>683.75</v>
      </c>
    </row>
    <row r="171" spans="2:5" x14ac:dyDescent="0.25">
      <c r="B171" s="545">
        <v>189</v>
      </c>
      <c r="C171" s="553" t="s">
        <v>1138</v>
      </c>
      <c r="D171" s="669" t="s">
        <v>437</v>
      </c>
      <c r="E171" s="546">
        <v>681.07499700000005</v>
      </c>
    </row>
    <row r="172" spans="2:5" x14ac:dyDescent="0.25">
      <c r="B172" s="545">
        <v>190</v>
      </c>
      <c r="C172" s="553" t="s">
        <v>2886</v>
      </c>
      <c r="D172" s="669" t="s">
        <v>437</v>
      </c>
      <c r="E172" s="546">
        <v>685.48999600000002</v>
      </c>
    </row>
    <row r="173" spans="2:5" x14ac:dyDescent="0.25">
      <c r="B173" s="545">
        <v>191</v>
      </c>
      <c r="C173" s="553" t="s">
        <v>1001</v>
      </c>
      <c r="D173" s="669" t="s">
        <v>437</v>
      </c>
      <c r="E173" s="546">
        <v>589.30001800000002</v>
      </c>
    </row>
    <row r="174" spans="2:5" x14ac:dyDescent="0.25">
      <c r="B174" s="545">
        <v>192</v>
      </c>
      <c r="C174" s="553" t="s">
        <v>3155</v>
      </c>
      <c r="D174" s="669" t="s">
        <v>439</v>
      </c>
      <c r="E174" s="546">
        <v>699.20001200000002</v>
      </c>
    </row>
    <row r="175" spans="2:5" x14ac:dyDescent="0.25">
      <c r="B175" s="545">
        <v>193</v>
      </c>
      <c r="C175" s="553" t="s">
        <v>6559</v>
      </c>
      <c r="D175" s="669" t="s">
        <v>437</v>
      </c>
      <c r="E175" s="546">
        <v>631.45001200000002</v>
      </c>
    </row>
    <row r="176" spans="2:5" x14ac:dyDescent="0.25">
      <c r="B176" s="545">
        <v>194</v>
      </c>
      <c r="C176" s="553" t="s">
        <v>2835</v>
      </c>
      <c r="D176" s="669" t="s">
        <v>437</v>
      </c>
      <c r="E176" s="546">
        <v>683.12498500000004</v>
      </c>
    </row>
    <row r="177" spans="2:5" x14ac:dyDescent="0.25">
      <c r="B177" s="545">
        <v>195</v>
      </c>
      <c r="C177" s="553" t="s">
        <v>3748</v>
      </c>
      <c r="D177" s="669" t="s">
        <v>437</v>
      </c>
      <c r="E177" s="546">
        <v>729.61250299999995</v>
      </c>
    </row>
    <row r="178" spans="2:5" x14ac:dyDescent="0.25">
      <c r="B178" s="545">
        <v>196</v>
      </c>
      <c r="C178" s="553" t="s">
        <v>4272</v>
      </c>
      <c r="D178" s="669" t="s">
        <v>437</v>
      </c>
      <c r="E178" s="546">
        <v>762.80000500000006</v>
      </c>
    </row>
    <row r="179" spans="2:5" x14ac:dyDescent="0.25">
      <c r="B179" s="545">
        <v>197</v>
      </c>
      <c r="C179" s="553" t="s">
        <v>4612</v>
      </c>
      <c r="D179" s="669" t="s">
        <v>437</v>
      </c>
      <c r="E179" s="546">
        <v>788.8</v>
      </c>
    </row>
    <row r="180" spans="2:5" x14ac:dyDescent="0.25">
      <c r="B180" s="545">
        <v>198</v>
      </c>
      <c r="C180" s="553" t="s">
        <v>3650</v>
      </c>
      <c r="D180" s="669" t="s">
        <v>437</v>
      </c>
      <c r="E180" s="546">
        <v>724.42499499999997</v>
      </c>
    </row>
    <row r="181" spans="2:5" x14ac:dyDescent="0.25">
      <c r="B181" s="545">
        <v>199</v>
      </c>
      <c r="C181" s="553" t="s">
        <v>4108</v>
      </c>
      <c r="D181" s="669" t="s">
        <v>437</v>
      </c>
      <c r="E181" s="546">
        <v>751.20000700000003</v>
      </c>
    </row>
    <row r="182" spans="2:5" x14ac:dyDescent="0.25">
      <c r="B182" s="545">
        <v>200</v>
      </c>
      <c r="C182" s="553" t="s">
        <v>4319</v>
      </c>
      <c r="D182" s="669" t="s">
        <v>437</v>
      </c>
      <c r="E182" s="546">
        <v>766.19999199999995</v>
      </c>
    </row>
    <row r="183" spans="2:5" x14ac:dyDescent="0.25">
      <c r="B183" s="545">
        <v>201</v>
      </c>
      <c r="C183" s="553" t="s">
        <v>2830</v>
      </c>
      <c r="D183" s="669" t="s">
        <v>437</v>
      </c>
      <c r="E183" s="546">
        <v>682.77999299999999</v>
      </c>
    </row>
    <row r="184" spans="2:5" x14ac:dyDescent="0.25">
      <c r="B184" s="545">
        <v>202</v>
      </c>
      <c r="C184" s="553" t="s">
        <v>1530</v>
      </c>
      <c r="D184" s="669" t="s">
        <v>437</v>
      </c>
      <c r="E184" s="546">
        <v>622</v>
      </c>
    </row>
    <row r="185" spans="2:5" x14ac:dyDescent="0.25">
      <c r="B185" s="545">
        <v>203</v>
      </c>
      <c r="C185" s="553" t="s">
        <v>1562</v>
      </c>
      <c r="D185" s="669" t="s">
        <v>437</v>
      </c>
      <c r="E185" s="546">
        <v>624.36665900000003</v>
      </c>
    </row>
    <row r="186" spans="2:5" x14ac:dyDescent="0.25">
      <c r="B186" s="545">
        <v>204</v>
      </c>
      <c r="C186" s="553" t="s">
        <v>1546</v>
      </c>
      <c r="D186" s="669" t="s">
        <v>437</v>
      </c>
      <c r="E186" s="546">
        <v>623.56666099999995</v>
      </c>
    </row>
    <row r="187" spans="2:5" x14ac:dyDescent="0.25">
      <c r="B187" s="545">
        <v>205</v>
      </c>
      <c r="C187" s="553" t="s">
        <v>7597</v>
      </c>
      <c r="D187" s="669" t="s">
        <v>437</v>
      </c>
      <c r="E187" s="546">
        <v>674.89998400000002</v>
      </c>
    </row>
    <row r="188" spans="2:5" x14ac:dyDescent="0.25">
      <c r="B188" s="545">
        <v>206</v>
      </c>
      <c r="C188" s="553" t="s">
        <v>2240</v>
      </c>
      <c r="D188" s="669" t="s">
        <v>437</v>
      </c>
      <c r="E188" s="546">
        <v>654.76666299999999</v>
      </c>
    </row>
    <row r="189" spans="2:5" x14ac:dyDescent="0.25">
      <c r="B189" s="545">
        <v>207</v>
      </c>
      <c r="C189" s="553" t="s">
        <v>2142</v>
      </c>
      <c r="D189" s="669" t="s">
        <v>437</v>
      </c>
      <c r="E189" s="546">
        <v>650.53334600000005</v>
      </c>
    </row>
    <row r="190" spans="2:5" x14ac:dyDescent="0.25">
      <c r="B190" s="545">
        <v>208</v>
      </c>
      <c r="C190" s="553" t="s">
        <v>1107</v>
      </c>
      <c r="D190" s="669" t="s">
        <v>437</v>
      </c>
      <c r="E190" s="546">
        <v>598.38889600000005</v>
      </c>
    </row>
    <row r="191" spans="2:5" x14ac:dyDescent="0.25">
      <c r="B191" s="545">
        <v>209</v>
      </c>
      <c r="C191" s="553" t="s">
        <v>6926</v>
      </c>
      <c r="D191" s="669" t="s">
        <v>437</v>
      </c>
      <c r="E191" s="546">
        <v>583.12306599999999</v>
      </c>
    </row>
    <row r="192" spans="2:5" x14ac:dyDescent="0.25">
      <c r="B192" s="545">
        <v>210</v>
      </c>
      <c r="C192" s="553" t="s">
        <v>4268</v>
      </c>
      <c r="D192" s="669" t="s">
        <v>437</v>
      </c>
      <c r="E192" s="546">
        <v>762.59997599999997</v>
      </c>
    </row>
    <row r="193" spans="2:5" x14ac:dyDescent="0.25">
      <c r="B193" s="545">
        <v>211</v>
      </c>
      <c r="C193" s="553" t="s">
        <v>3523</v>
      </c>
      <c r="D193" s="669" t="s">
        <v>437</v>
      </c>
      <c r="E193" s="546">
        <v>717.56664999999998</v>
      </c>
    </row>
    <row r="194" spans="2:5" x14ac:dyDescent="0.25">
      <c r="B194" s="545">
        <v>212</v>
      </c>
      <c r="C194" s="553" t="s">
        <v>7225</v>
      </c>
      <c r="D194" s="669" t="s">
        <v>437</v>
      </c>
      <c r="E194" s="546">
        <v>681.74998500000004</v>
      </c>
    </row>
    <row r="195" spans="2:5" x14ac:dyDescent="0.25">
      <c r="B195" s="545">
        <v>213</v>
      </c>
      <c r="C195" s="553" t="s">
        <v>7583</v>
      </c>
      <c r="D195" s="669" t="s">
        <v>437</v>
      </c>
      <c r="E195" s="546">
        <v>713.44999700000005</v>
      </c>
    </row>
    <row r="196" spans="2:5" x14ac:dyDescent="0.25">
      <c r="B196" s="545">
        <v>214</v>
      </c>
      <c r="C196" s="553" t="s">
        <v>7441</v>
      </c>
      <c r="D196" s="669" t="s">
        <v>437</v>
      </c>
      <c r="E196" s="546">
        <v>710.42501100000004</v>
      </c>
    </row>
    <row r="197" spans="2:5" x14ac:dyDescent="0.25">
      <c r="B197" s="545">
        <v>215</v>
      </c>
      <c r="C197" s="553" t="s">
        <v>2004</v>
      </c>
      <c r="D197" s="669" t="s">
        <v>437</v>
      </c>
      <c r="E197" s="546">
        <v>715.95001200000002</v>
      </c>
    </row>
    <row r="198" spans="2:5" x14ac:dyDescent="0.25">
      <c r="B198" s="545">
        <v>216</v>
      </c>
      <c r="C198" s="553" t="s">
        <v>6871</v>
      </c>
      <c r="D198" s="669" t="s">
        <v>437</v>
      </c>
      <c r="E198" s="546">
        <v>590.6</v>
      </c>
    </row>
    <row r="199" spans="2:5" x14ac:dyDescent="0.25">
      <c r="B199" s="545">
        <v>217</v>
      </c>
      <c r="C199" s="553" t="s">
        <v>1373</v>
      </c>
      <c r="D199" s="669" t="s">
        <v>437</v>
      </c>
      <c r="E199" s="546">
        <v>669.48751100000004</v>
      </c>
    </row>
    <row r="200" spans="2:5" x14ac:dyDescent="0.25">
      <c r="B200" s="545">
        <v>218</v>
      </c>
      <c r="C200" s="553" t="s">
        <v>1272</v>
      </c>
      <c r="D200" s="669" t="s">
        <v>437</v>
      </c>
      <c r="E200" s="546">
        <v>646.32000700000003</v>
      </c>
    </row>
    <row r="201" spans="2:5" x14ac:dyDescent="0.25">
      <c r="B201" s="545">
        <v>219</v>
      </c>
      <c r="C201" s="553" t="s">
        <v>3272</v>
      </c>
      <c r="D201" s="669" t="s">
        <v>437</v>
      </c>
      <c r="E201" s="546">
        <v>704.20001200000002</v>
      </c>
    </row>
    <row r="202" spans="2:5" x14ac:dyDescent="0.25">
      <c r="B202" s="545">
        <v>220</v>
      </c>
      <c r="C202" s="553" t="s">
        <v>2656</v>
      </c>
      <c r="D202" s="669" t="s">
        <v>437</v>
      </c>
      <c r="E202" s="546">
        <v>674.14999399999999</v>
      </c>
    </row>
    <row r="203" spans="2:5" x14ac:dyDescent="0.25">
      <c r="B203" s="545">
        <v>221</v>
      </c>
      <c r="C203" s="553" t="s">
        <v>2556</v>
      </c>
      <c r="D203" s="669" t="s">
        <v>437</v>
      </c>
      <c r="E203" s="546">
        <v>668.68333900000005</v>
      </c>
    </row>
    <row r="204" spans="2:5" x14ac:dyDescent="0.25">
      <c r="B204" s="545">
        <v>222</v>
      </c>
      <c r="C204" s="553" t="s">
        <v>1917</v>
      </c>
      <c r="D204" s="669" t="s">
        <v>437</v>
      </c>
      <c r="E204" s="546">
        <v>640.69999700000005</v>
      </c>
    </row>
    <row r="205" spans="2:5" x14ac:dyDescent="0.25">
      <c r="B205" s="545">
        <v>223</v>
      </c>
      <c r="C205" s="553" t="s">
        <v>6498</v>
      </c>
      <c r="D205" s="669" t="s">
        <v>437</v>
      </c>
      <c r="E205" s="546">
        <v>646.35555999999997</v>
      </c>
    </row>
    <row r="206" spans="2:5" x14ac:dyDescent="0.25">
      <c r="B206" s="545">
        <v>224</v>
      </c>
      <c r="C206" s="553" t="s">
        <v>6589</v>
      </c>
      <c r="D206" s="669" t="s">
        <v>437</v>
      </c>
      <c r="E206" s="546">
        <v>609.89999399999999</v>
      </c>
    </row>
    <row r="207" spans="2:5" x14ac:dyDescent="0.25">
      <c r="B207" s="545">
        <v>225</v>
      </c>
      <c r="C207" s="553" t="s">
        <v>7375</v>
      </c>
      <c r="D207" s="669" t="s">
        <v>437</v>
      </c>
      <c r="E207" s="546">
        <v>732.06087300000002</v>
      </c>
    </row>
    <row r="208" spans="2:5" x14ac:dyDescent="0.25">
      <c r="B208" s="545">
        <v>226</v>
      </c>
      <c r="C208" s="553" t="s">
        <v>3627</v>
      </c>
      <c r="D208" s="669" t="s">
        <v>437</v>
      </c>
      <c r="E208" s="546">
        <v>723.52499399999999</v>
      </c>
    </row>
    <row r="209" spans="2:5" x14ac:dyDescent="0.25">
      <c r="B209" s="545">
        <v>227</v>
      </c>
      <c r="C209" s="553" t="s">
        <v>3727</v>
      </c>
      <c r="D209" s="669" t="s">
        <v>437</v>
      </c>
      <c r="E209" s="546">
        <v>728.60868800000003</v>
      </c>
    </row>
    <row r="210" spans="2:5" x14ac:dyDescent="0.25">
      <c r="B210" s="545">
        <v>228</v>
      </c>
      <c r="C210" s="553" t="s">
        <v>781</v>
      </c>
      <c r="D210" s="669" t="s">
        <v>437</v>
      </c>
      <c r="E210" s="546">
        <v>563.89999399999999</v>
      </c>
    </row>
    <row r="211" spans="2:5" x14ac:dyDescent="0.25">
      <c r="B211" s="545">
        <v>229</v>
      </c>
      <c r="C211" s="553" t="s">
        <v>1096</v>
      </c>
      <c r="D211" s="669" t="s">
        <v>437</v>
      </c>
      <c r="E211" s="546">
        <v>597.240002</v>
      </c>
    </row>
    <row r="212" spans="2:5" x14ac:dyDescent="0.25">
      <c r="B212" s="545">
        <v>230</v>
      </c>
      <c r="C212" s="553" t="s">
        <v>2994</v>
      </c>
      <c r="D212" s="669" t="s">
        <v>437</v>
      </c>
      <c r="E212" s="546">
        <v>690.33331299999998</v>
      </c>
    </row>
    <row r="213" spans="2:5" x14ac:dyDescent="0.25">
      <c r="B213" s="545">
        <v>231</v>
      </c>
      <c r="C213" s="553" t="s">
        <v>2668</v>
      </c>
      <c r="D213" s="669" t="s">
        <v>437</v>
      </c>
      <c r="E213" s="546">
        <v>674.54000199999996</v>
      </c>
    </row>
    <row r="214" spans="2:5" x14ac:dyDescent="0.25">
      <c r="B214" s="545">
        <v>232</v>
      </c>
      <c r="C214" s="553" t="s">
        <v>7070</v>
      </c>
      <c r="D214" s="669" t="s">
        <v>437</v>
      </c>
      <c r="E214" s="546">
        <v>646.31818699999997</v>
      </c>
    </row>
    <row r="215" spans="2:5" x14ac:dyDescent="0.25">
      <c r="B215" s="545">
        <v>233</v>
      </c>
      <c r="C215" s="553" t="s">
        <v>963</v>
      </c>
      <c r="D215" s="669" t="s">
        <v>437</v>
      </c>
      <c r="E215" s="546">
        <v>585.366669</v>
      </c>
    </row>
    <row r="216" spans="2:5" x14ac:dyDescent="0.25">
      <c r="B216" s="545">
        <v>234</v>
      </c>
      <c r="C216" s="553" t="s">
        <v>1065</v>
      </c>
      <c r="D216" s="669" t="s">
        <v>437</v>
      </c>
      <c r="E216" s="546">
        <v>594.89000199999998</v>
      </c>
    </row>
    <row r="217" spans="2:5" x14ac:dyDescent="0.25">
      <c r="B217" s="545">
        <v>235</v>
      </c>
      <c r="C217" s="553" t="s">
        <v>6739</v>
      </c>
      <c r="D217" s="669" t="s">
        <v>437</v>
      </c>
      <c r="E217" s="546">
        <v>730.2</v>
      </c>
    </row>
    <row r="218" spans="2:5" x14ac:dyDescent="0.25">
      <c r="B218" s="545">
        <v>236</v>
      </c>
      <c r="C218" s="553" t="s">
        <v>3370</v>
      </c>
      <c r="D218" s="669" t="s">
        <v>437</v>
      </c>
      <c r="E218" s="546">
        <v>709.37917100000004</v>
      </c>
    </row>
    <row r="219" spans="2:5" x14ac:dyDescent="0.25">
      <c r="B219" s="545">
        <v>237</v>
      </c>
      <c r="C219" s="553" t="s">
        <v>2287</v>
      </c>
      <c r="D219" s="669" t="s">
        <v>437</v>
      </c>
      <c r="E219" s="546">
        <v>656.83333300000004</v>
      </c>
    </row>
    <row r="220" spans="2:5" x14ac:dyDescent="0.25">
      <c r="B220" s="545">
        <v>238</v>
      </c>
      <c r="C220" s="553" t="s">
        <v>6960</v>
      </c>
      <c r="D220" s="669" t="s">
        <v>437</v>
      </c>
      <c r="E220" s="546">
        <v>638.100008</v>
      </c>
    </row>
    <row r="221" spans="2:5" x14ac:dyDescent="0.25">
      <c r="B221" s="545">
        <v>239</v>
      </c>
      <c r="C221" s="553" t="s">
        <v>1973</v>
      </c>
      <c r="D221" s="669" t="s">
        <v>437</v>
      </c>
      <c r="E221" s="546">
        <v>642.49998500000004</v>
      </c>
    </row>
    <row r="222" spans="2:5" x14ac:dyDescent="0.25">
      <c r="B222" s="545">
        <v>240</v>
      </c>
      <c r="C222" s="553" t="s">
        <v>1249</v>
      </c>
      <c r="D222" s="669" t="s">
        <v>437</v>
      </c>
      <c r="E222" s="546">
        <v>606.46520999999996</v>
      </c>
    </row>
    <row r="223" spans="2:5" x14ac:dyDescent="0.25">
      <c r="B223" s="545">
        <v>241</v>
      </c>
      <c r="C223" s="553" t="s">
        <v>1082</v>
      </c>
      <c r="D223" s="669" t="s">
        <v>437</v>
      </c>
      <c r="E223" s="546">
        <v>596.23333700000001</v>
      </c>
    </row>
    <row r="224" spans="2:5" x14ac:dyDescent="0.25">
      <c r="B224" s="545">
        <v>242</v>
      </c>
      <c r="C224" s="553" t="s">
        <v>1229</v>
      </c>
      <c r="D224" s="669" t="s">
        <v>437</v>
      </c>
      <c r="E224" s="546">
        <v>605.42500299999995</v>
      </c>
    </row>
    <row r="225" spans="2:5" x14ac:dyDescent="0.25">
      <c r="B225" s="545">
        <v>243</v>
      </c>
      <c r="C225" s="553" t="s">
        <v>3888</v>
      </c>
      <c r="D225" s="669" t="s">
        <v>437</v>
      </c>
      <c r="E225" s="546">
        <v>738.03334600000005</v>
      </c>
    </row>
    <row r="226" spans="2:5" x14ac:dyDescent="0.25">
      <c r="B226" s="545">
        <v>244</v>
      </c>
      <c r="C226" s="553" t="s">
        <v>2633</v>
      </c>
      <c r="D226" s="669" t="s">
        <v>437</v>
      </c>
      <c r="E226" s="546">
        <v>673.11665900000003</v>
      </c>
    </row>
    <row r="227" spans="2:5" x14ac:dyDescent="0.25">
      <c r="B227" s="545">
        <v>245</v>
      </c>
      <c r="C227" s="553" t="s">
        <v>1054</v>
      </c>
      <c r="D227" s="669" t="s">
        <v>437</v>
      </c>
      <c r="E227" s="546">
        <v>652.72858499999995</v>
      </c>
    </row>
    <row r="228" spans="2:5" x14ac:dyDescent="0.25">
      <c r="B228" s="545">
        <v>246</v>
      </c>
      <c r="C228" s="553" t="s">
        <v>437</v>
      </c>
      <c r="D228" s="669" t="s">
        <v>437</v>
      </c>
      <c r="E228" s="546">
        <v>609.68461300000001</v>
      </c>
    </row>
    <row r="229" spans="2:5" x14ac:dyDescent="0.25">
      <c r="B229" s="545">
        <v>247</v>
      </c>
      <c r="C229" s="553" t="s">
        <v>1234</v>
      </c>
      <c r="D229" s="669" t="s">
        <v>437</v>
      </c>
      <c r="E229" s="546">
        <v>605.79998799999998</v>
      </c>
    </row>
    <row r="230" spans="2:5" x14ac:dyDescent="0.25">
      <c r="B230" s="545">
        <v>248</v>
      </c>
      <c r="C230" s="553" t="s">
        <v>7566</v>
      </c>
      <c r="D230" s="669" t="s">
        <v>437</v>
      </c>
      <c r="E230" s="546">
        <v>702.56249200000002</v>
      </c>
    </row>
    <row r="231" spans="2:5" x14ac:dyDescent="0.25">
      <c r="B231" s="545">
        <v>249</v>
      </c>
      <c r="C231" s="553" t="s">
        <v>7463</v>
      </c>
      <c r="D231" s="669" t="s">
        <v>437</v>
      </c>
      <c r="E231" s="546">
        <v>674.84286899999995</v>
      </c>
    </row>
    <row r="232" spans="2:5" x14ac:dyDescent="0.25">
      <c r="B232" s="545">
        <v>250</v>
      </c>
      <c r="C232" s="553" t="s">
        <v>2647</v>
      </c>
      <c r="D232" s="669" t="s">
        <v>437</v>
      </c>
      <c r="E232" s="546">
        <v>673.740002</v>
      </c>
    </row>
    <row r="233" spans="2:5" x14ac:dyDescent="0.25">
      <c r="B233" s="545">
        <v>251</v>
      </c>
      <c r="C233" s="553" t="s">
        <v>2559</v>
      </c>
      <c r="D233" s="669" t="s">
        <v>437</v>
      </c>
      <c r="E233" s="546">
        <v>668.75</v>
      </c>
    </row>
    <row r="234" spans="2:5" x14ac:dyDescent="0.25">
      <c r="B234" s="545">
        <v>252</v>
      </c>
      <c r="C234" s="553" t="s">
        <v>2384</v>
      </c>
      <c r="D234" s="669" t="s">
        <v>437</v>
      </c>
      <c r="E234" s="546">
        <v>661.13334099999997</v>
      </c>
    </row>
    <row r="235" spans="2:5" x14ac:dyDescent="0.25">
      <c r="B235" s="545">
        <v>253</v>
      </c>
      <c r="C235" s="553" t="s">
        <v>2361</v>
      </c>
      <c r="D235" s="669" t="s">
        <v>437</v>
      </c>
      <c r="E235" s="546">
        <v>660.29999799999996</v>
      </c>
    </row>
    <row r="236" spans="2:5" x14ac:dyDescent="0.25">
      <c r="B236" s="545">
        <v>254</v>
      </c>
      <c r="C236" s="553" t="s">
        <v>1189</v>
      </c>
      <c r="D236" s="669" t="s">
        <v>437</v>
      </c>
      <c r="E236" s="546">
        <v>603.30001200000004</v>
      </c>
    </row>
    <row r="237" spans="2:5" x14ac:dyDescent="0.25">
      <c r="B237" s="545">
        <v>255</v>
      </c>
      <c r="C237" s="553" t="s">
        <v>1570</v>
      </c>
      <c r="D237" s="669" t="s">
        <v>437</v>
      </c>
      <c r="E237" s="546">
        <v>624.68000500000005</v>
      </c>
    </row>
    <row r="238" spans="2:5" x14ac:dyDescent="0.25">
      <c r="B238" s="545">
        <v>256</v>
      </c>
      <c r="C238" s="553" t="s">
        <v>1141</v>
      </c>
      <c r="D238" s="669" t="s">
        <v>437</v>
      </c>
      <c r="E238" s="546">
        <v>600.25714100000005</v>
      </c>
    </row>
    <row r="239" spans="2:5" x14ac:dyDescent="0.25">
      <c r="B239" s="545">
        <v>257</v>
      </c>
      <c r="C239" s="553" t="s">
        <v>1835</v>
      </c>
      <c r="D239" s="669" t="s">
        <v>437</v>
      </c>
      <c r="E239" s="546">
        <v>637.21250199999997</v>
      </c>
    </row>
    <row r="240" spans="2:5" x14ac:dyDescent="0.25">
      <c r="B240" s="545">
        <v>258</v>
      </c>
      <c r="C240" s="553" t="s">
        <v>2296</v>
      </c>
      <c r="D240" s="669" t="s">
        <v>437</v>
      </c>
      <c r="E240" s="546">
        <v>657.1</v>
      </c>
    </row>
    <row r="241" spans="2:5" x14ac:dyDescent="0.25">
      <c r="B241" s="545">
        <v>259</v>
      </c>
      <c r="C241" s="553" t="s">
        <v>2121</v>
      </c>
      <c r="D241" s="669" t="s">
        <v>437</v>
      </c>
      <c r="E241" s="546">
        <v>649.53332499999999</v>
      </c>
    </row>
    <row r="242" spans="2:5" x14ac:dyDescent="0.25">
      <c r="B242" s="545">
        <v>260</v>
      </c>
      <c r="C242" s="553" t="s">
        <v>2450</v>
      </c>
      <c r="D242" s="669" t="s">
        <v>437</v>
      </c>
      <c r="E242" s="546">
        <v>664.114284</v>
      </c>
    </row>
    <row r="243" spans="2:5" x14ac:dyDescent="0.25">
      <c r="B243" s="545">
        <v>261</v>
      </c>
      <c r="C243" s="553" t="s">
        <v>1658</v>
      </c>
      <c r="D243" s="669" t="s">
        <v>437</v>
      </c>
      <c r="E243" s="546">
        <v>629.70000600000003</v>
      </c>
    </row>
    <row r="244" spans="2:5" x14ac:dyDescent="0.25">
      <c r="B244" s="545">
        <v>262</v>
      </c>
      <c r="C244" s="553" t="s">
        <v>1678</v>
      </c>
      <c r="D244" s="669" t="s">
        <v>437</v>
      </c>
      <c r="E244" s="546">
        <v>631.08181999999999</v>
      </c>
    </row>
    <row r="245" spans="2:5" x14ac:dyDescent="0.25">
      <c r="B245" s="545">
        <v>263</v>
      </c>
      <c r="C245" s="553" t="s">
        <v>1700</v>
      </c>
      <c r="D245" s="669" t="s">
        <v>437</v>
      </c>
      <c r="E245" s="546">
        <v>632.259998</v>
      </c>
    </row>
    <row r="246" spans="2:5" x14ac:dyDescent="0.25">
      <c r="B246" s="545">
        <v>264</v>
      </c>
      <c r="C246" s="553" t="s">
        <v>2130</v>
      </c>
      <c r="D246" s="669" t="s">
        <v>437</v>
      </c>
      <c r="E246" s="546">
        <v>649.89999399999999</v>
      </c>
    </row>
    <row r="247" spans="2:5" x14ac:dyDescent="0.25">
      <c r="B247" s="545">
        <v>265</v>
      </c>
      <c r="C247" s="553" t="s">
        <v>1230</v>
      </c>
      <c r="D247" s="669" t="s">
        <v>437</v>
      </c>
      <c r="E247" s="546">
        <v>605.44999700000005</v>
      </c>
    </row>
    <row r="248" spans="2:5" x14ac:dyDescent="0.25">
      <c r="B248" s="545">
        <v>266</v>
      </c>
      <c r="C248" s="553" t="s">
        <v>1213</v>
      </c>
      <c r="D248" s="669" t="s">
        <v>437</v>
      </c>
      <c r="E248" s="546">
        <v>604.59998900000005</v>
      </c>
    </row>
    <row r="249" spans="2:5" x14ac:dyDescent="0.25">
      <c r="B249" s="545">
        <v>267</v>
      </c>
      <c r="C249" s="553" t="s">
        <v>1120</v>
      </c>
      <c r="D249" s="669" t="s">
        <v>437</v>
      </c>
      <c r="E249" s="546">
        <v>598.88181399999996</v>
      </c>
    </row>
    <row r="250" spans="2:5" x14ac:dyDescent="0.25">
      <c r="B250" s="545">
        <v>268</v>
      </c>
      <c r="C250" s="553" t="s">
        <v>1232</v>
      </c>
      <c r="D250" s="669" t="s">
        <v>437</v>
      </c>
      <c r="E250" s="546">
        <v>605.62222599999996</v>
      </c>
    </row>
    <row r="251" spans="2:5" x14ac:dyDescent="0.25">
      <c r="B251" s="545">
        <v>269</v>
      </c>
      <c r="C251" s="553" t="s">
        <v>1618</v>
      </c>
      <c r="D251" s="669" t="s">
        <v>437</v>
      </c>
      <c r="E251" s="546">
        <v>627.48748799999998</v>
      </c>
    </row>
    <row r="252" spans="2:5" x14ac:dyDescent="0.25">
      <c r="B252" s="545">
        <v>270</v>
      </c>
      <c r="C252" s="553" t="s">
        <v>1824</v>
      </c>
      <c r="D252" s="669" t="s">
        <v>437</v>
      </c>
      <c r="E252" s="546">
        <v>636.81000400000005</v>
      </c>
    </row>
    <row r="253" spans="2:5" x14ac:dyDescent="0.25">
      <c r="B253" s="545">
        <v>271</v>
      </c>
      <c r="C253" s="553" t="s">
        <v>1523</v>
      </c>
      <c r="D253" s="669" t="s">
        <v>437</v>
      </c>
      <c r="E253" s="546">
        <v>621.66842199999996</v>
      </c>
    </row>
    <row r="254" spans="2:5" x14ac:dyDescent="0.25">
      <c r="B254" s="545">
        <v>272</v>
      </c>
      <c r="C254" s="553" t="s">
        <v>7161</v>
      </c>
      <c r="D254" s="669" t="s">
        <v>437</v>
      </c>
      <c r="E254" s="546">
        <v>598.20000200000004</v>
      </c>
    </row>
    <row r="255" spans="2:5" x14ac:dyDescent="0.25">
      <c r="B255" s="545">
        <v>273</v>
      </c>
      <c r="C255" s="553" t="s">
        <v>7160</v>
      </c>
      <c r="D255" s="669" t="s">
        <v>437</v>
      </c>
      <c r="E255" s="546">
        <v>594.92916600000001</v>
      </c>
    </row>
    <row r="256" spans="2:5" x14ac:dyDescent="0.25">
      <c r="B256" s="545">
        <v>274</v>
      </c>
      <c r="C256" s="553" t="s">
        <v>1135</v>
      </c>
      <c r="D256" s="669" t="s">
        <v>437</v>
      </c>
      <c r="E256" s="546">
        <v>599.70000200000004</v>
      </c>
    </row>
    <row r="257" spans="2:5" x14ac:dyDescent="0.25">
      <c r="B257" s="545">
        <v>275</v>
      </c>
      <c r="C257" s="553" t="s">
        <v>1405</v>
      </c>
      <c r="D257" s="669" t="s">
        <v>437</v>
      </c>
      <c r="E257" s="546">
        <v>615.29998799999998</v>
      </c>
    </row>
    <row r="258" spans="2:5" x14ac:dyDescent="0.25">
      <c r="B258" s="545">
        <v>276</v>
      </c>
      <c r="C258" s="553" t="s">
        <v>1482</v>
      </c>
      <c r="D258" s="669" t="s">
        <v>437</v>
      </c>
      <c r="E258" s="546">
        <v>619.24999000000003</v>
      </c>
    </row>
    <row r="259" spans="2:5" x14ac:dyDescent="0.25">
      <c r="B259" s="545">
        <v>277</v>
      </c>
      <c r="C259" s="553" t="s">
        <v>1964</v>
      </c>
      <c r="D259" s="669" t="s">
        <v>437</v>
      </c>
      <c r="E259" s="546">
        <v>642.15002400000003</v>
      </c>
    </row>
    <row r="260" spans="2:5" x14ac:dyDescent="0.25">
      <c r="B260" s="545">
        <v>278</v>
      </c>
      <c r="C260" s="553" t="s">
        <v>1075</v>
      </c>
      <c r="D260" s="669" t="s">
        <v>437</v>
      </c>
      <c r="E260" s="546">
        <v>595.889996</v>
      </c>
    </row>
    <row r="261" spans="2:5" x14ac:dyDescent="0.25">
      <c r="B261" s="545">
        <v>279</v>
      </c>
      <c r="C261" s="553" t="s">
        <v>1090</v>
      </c>
      <c r="D261" s="669" t="s">
        <v>437</v>
      </c>
      <c r="E261" s="546">
        <v>596.84374600000001</v>
      </c>
    </row>
    <row r="262" spans="2:5" x14ac:dyDescent="0.25">
      <c r="B262" s="545">
        <v>280</v>
      </c>
      <c r="C262" s="553" t="s">
        <v>909</v>
      </c>
      <c r="D262" s="669" t="s">
        <v>437</v>
      </c>
      <c r="E262" s="546">
        <v>598.125</v>
      </c>
    </row>
    <row r="263" spans="2:5" x14ac:dyDescent="0.25">
      <c r="B263" s="545">
        <v>281</v>
      </c>
      <c r="C263" s="553" t="s">
        <v>958</v>
      </c>
      <c r="D263" s="669" t="s">
        <v>437</v>
      </c>
      <c r="E263" s="546">
        <v>584.90000399999997</v>
      </c>
    </row>
    <row r="264" spans="2:5" x14ac:dyDescent="0.25">
      <c r="B264" s="545">
        <v>282</v>
      </c>
      <c r="C264" s="553" t="s">
        <v>2437</v>
      </c>
      <c r="D264" s="669" t="s">
        <v>437</v>
      </c>
      <c r="E264" s="546">
        <v>663.79998799999998</v>
      </c>
    </row>
    <row r="265" spans="2:5" x14ac:dyDescent="0.25">
      <c r="B265" s="545">
        <v>283</v>
      </c>
      <c r="C265" s="553" t="s">
        <v>1370</v>
      </c>
      <c r="D265" s="669" t="s">
        <v>437</v>
      </c>
      <c r="E265" s="546">
        <v>613.70000200000004</v>
      </c>
    </row>
    <row r="266" spans="2:5" x14ac:dyDescent="0.25">
      <c r="B266" s="545">
        <v>284</v>
      </c>
      <c r="C266" s="553" t="s">
        <v>1946</v>
      </c>
      <c r="D266" s="669" t="s">
        <v>437</v>
      </c>
      <c r="E266" s="546">
        <v>641.62726399999997</v>
      </c>
    </row>
    <row r="267" spans="2:5" x14ac:dyDescent="0.25">
      <c r="B267" s="545">
        <v>285</v>
      </c>
      <c r="C267" s="553" t="s">
        <v>1036</v>
      </c>
      <c r="D267" s="669" t="s">
        <v>437</v>
      </c>
      <c r="E267" s="546">
        <v>592.39999399999999</v>
      </c>
    </row>
    <row r="268" spans="2:5" x14ac:dyDescent="0.25">
      <c r="B268" s="545">
        <v>286</v>
      </c>
      <c r="C268" s="553" t="s">
        <v>1429</v>
      </c>
      <c r="D268" s="669" t="s">
        <v>437</v>
      </c>
      <c r="E268" s="546">
        <v>616.85000600000001</v>
      </c>
    </row>
    <row r="269" spans="2:5" x14ac:dyDescent="0.25">
      <c r="B269" s="545">
        <v>287</v>
      </c>
      <c r="C269" s="553" t="s">
        <v>1655</v>
      </c>
      <c r="D269" s="669" t="s">
        <v>437</v>
      </c>
      <c r="E269" s="546">
        <v>629.42999899999995</v>
      </c>
    </row>
    <row r="270" spans="2:5" x14ac:dyDescent="0.25">
      <c r="B270" s="545">
        <v>288</v>
      </c>
      <c r="C270" s="553" t="s">
        <v>1551</v>
      </c>
      <c r="D270" s="669" t="s">
        <v>437</v>
      </c>
      <c r="E270" s="546">
        <v>623.84999500000004</v>
      </c>
    </row>
    <row r="271" spans="2:5" x14ac:dyDescent="0.25">
      <c r="B271" s="545">
        <v>289</v>
      </c>
      <c r="C271" s="553" t="s">
        <v>1825</v>
      </c>
      <c r="D271" s="669" t="s">
        <v>437</v>
      </c>
      <c r="E271" s="546">
        <v>636.86665900000003</v>
      </c>
    </row>
    <row r="272" spans="2:5" x14ac:dyDescent="0.25">
      <c r="B272" s="545">
        <v>290</v>
      </c>
      <c r="C272" s="553" t="s">
        <v>1424</v>
      </c>
      <c r="D272" s="669" t="s">
        <v>437</v>
      </c>
      <c r="E272" s="546">
        <v>616.56364299999996</v>
      </c>
    </row>
    <row r="273" spans="2:5" x14ac:dyDescent="0.25">
      <c r="B273" s="545">
        <v>291</v>
      </c>
      <c r="C273" s="553" t="s">
        <v>1514</v>
      </c>
      <c r="D273" s="669" t="s">
        <v>437</v>
      </c>
      <c r="E273" s="546">
        <v>621.44999700000005</v>
      </c>
    </row>
    <row r="274" spans="2:5" x14ac:dyDescent="0.25">
      <c r="B274" s="545">
        <v>292</v>
      </c>
      <c r="C274" s="553" t="s">
        <v>1815</v>
      </c>
      <c r="D274" s="669" t="s">
        <v>437</v>
      </c>
      <c r="E274" s="546">
        <v>636.69999199999995</v>
      </c>
    </row>
    <row r="275" spans="2:5" x14ac:dyDescent="0.25">
      <c r="B275" s="545">
        <v>293</v>
      </c>
      <c r="C275" s="553" t="s">
        <v>977</v>
      </c>
      <c r="D275" s="669" t="s">
        <v>437</v>
      </c>
      <c r="E275" s="546">
        <v>640.67894899999999</v>
      </c>
    </row>
    <row r="276" spans="2:5" x14ac:dyDescent="0.25">
      <c r="B276" s="545">
        <v>294</v>
      </c>
      <c r="C276" s="553" t="s">
        <v>2000</v>
      </c>
      <c r="D276" s="669" t="s">
        <v>437</v>
      </c>
      <c r="E276" s="546">
        <v>643.30769499999997</v>
      </c>
    </row>
    <row r="277" spans="2:5" x14ac:dyDescent="0.25">
      <c r="B277" s="545">
        <v>295</v>
      </c>
      <c r="C277" s="553" t="s">
        <v>2170</v>
      </c>
      <c r="D277" s="669" t="s">
        <v>437</v>
      </c>
      <c r="E277" s="546">
        <v>651.84616300000005</v>
      </c>
    </row>
    <row r="278" spans="2:5" x14ac:dyDescent="0.25">
      <c r="B278" s="545">
        <v>296</v>
      </c>
      <c r="C278" s="553" t="s">
        <v>1706</v>
      </c>
      <c r="D278" s="669" t="s">
        <v>437</v>
      </c>
      <c r="E278" s="546">
        <v>632.56922799999995</v>
      </c>
    </row>
    <row r="279" spans="2:5" x14ac:dyDescent="0.25">
      <c r="B279" s="545">
        <v>301</v>
      </c>
      <c r="C279" s="553" t="s">
        <v>5300</v>
      </c>
      <c r="D279" s="669" t="s">
        <v>433</v>
      </c>
      <c r="E279" s="546">
        <v>862.13999000000001</v>
      </c>
    </row>
    <row r="280" spans="2:5" x14ac:dyDescent="0.25">
      <c r="B280" s="545">
        <v>302</v>
      </c>
      <c r="C280" s="553" t="s">
        <v>4072</v>
      </c>
      <c r="D280" s="669" t="s">
        <v>433</v>
      </c>
      <c r="E280" s="546">
        <v>749.54285500000003</v>
      </c>
    </row>
    <row r="281" spans="2:5" x14ac:dyDescent="0.25">
      <c r="B281" s="545">
        <v>303</v>
      </c>
      <c r="C281" s="553" t="s">
        <v>5080</v>
      </c>
      <c r="D281" s="669" t="s">
        <v>433</v>
      </c>
      <c r="E281" s="546">
        <v>831.16667700000005</v>
      </c>
    </row>
    <row r="282" spans="2:5" x14ac:dyDescent="0.25">
      <c r="B282" s="545">
        <v>304</v>
      </c>
      <c r="C282" s="553" t="s">
        <v>5342</v>
      </c>
      <c r="D282" s="669" t="s">
        <v>433</v>
      </c>
      <c r="E282" s="546">
        <v>869.38889600000005</v>
      </c>
    </row>
    <row r="283" spans="2:5" x14ac:dyDescent="0.25">
      <c r="B283" s="545">
        <v>305</v>
      </c>
      <c r="C283" s="553" t="s">
        <v>4910</v>
      </c>
      <c r="D283" s="669" t="s">
        <v>433</v>
      </c>
      <c r="E283" s="546">
        <v>813.02502400000003</v>
      </c>
    </row>
    <row r="284" spans="2:5" x14ac:dyDescent="0.25">
      <c r="B284" s="545">
        <v>306</v>
      </c>
      <c r="C284" s="553" t="s">
        <v>2326</v>
      </c>
      <c r="D284" s="669" t="s">
        <v>433</v>
      </c>
      <c r="E284" s="546">
        <v>658.86499900000001</v>
      </c>
    </row>
    <row r="285" spans="2:5" x14ac:dyDescent="0.25">
      <c r="B285" s="545">
        <v>307</v>
      </c>
      <c r="C285" s="553" t="s">
        <v>7057</v>
      </c>
      <c r="D285" s="669" t="s">
        <v>433</v>
      </c>
      <c r="E285" s="546">
        <v>705.89999399999999</v>
      </c>
    </row>
    <row r="286" spans="2:5" x14ac:dyDescent="0.25">
      <c r="B286" s="545">
        <v>308</v>
      </c>
      <c r="C286" s="553" t="s">
        <v>2760</v>
      </c>
      <c r="D286" s="669" t="s">
        <v>433</v>
      </c>
      <c r="E286" s="546">
        <v>734.35</v>
      </c>
    </row>
    <row r="287" spans="2:5" x14ac:dyDescent="0.25">
      <c r="B287" s="545">
        <v>309</v>
      </c>
      <c r="C287" s="553" t="s">
        <v>6661</v>
      </c>
      <c r="D287" s="669" t="s">
        <v>433</v>
      </c>
      <c r="E287" s="546">
        <v>838.29998799999998</v>
      </c>
    </row>
    <row r="288" spans="2:5" x14ac:dyDescent="0.25">
      <c r="B288" s="545">
        <v>310</v>
      </c>
      <c r="C288" s="553" t="s">
        <v>4888</v>
      </c>
      <c r="D288" s="669" t="s">
        <v>433</v>
      </c>
      <c r="E288" s="546">
        <v>810.32499700000005</v>
      </c>
    </row>
    <row r="289" spans="2:5" x14ac:dyDescent="0.25">
      <c r="B289" s="545">
        <v>311</v>
      </c>
      <c r="C289" s="553" t="s">
        <v>7003</v>
      </c>
      <c r="D289" s="669" t="s">
        <v>433</v>
      </c>
      <c r="E289" s="546">
        <v>808.96665399999995</v>
      </c>
    </row>
    <row r="290" spans="2:5" x14ac:dyDescent="0.25">
      <c r="B290" s="545">
        <v>312</v>
      </c>
      <c r="C290" s="553" t="s">
        <v>4527</v>
      </c>
      <c r="D290" s="669" t="s">
        <v>433</v>
      </c>
      <c r="E290" s="546">
        <v>781.60000600000001</v>
      </c>
    </row>
    <row r="291" spans="2:5" x14ac:dyDescent="0.25">
      <c r="B291" s="545">
        <v>313</v>
      </c>
      <c r="C291" s="553" t="s">
        <v>4705</v>
      </c>
      <c r="D291" s="669" t="s">
        <v>433</v>
      </c>
      <c r="E291" s="546">
        <v>796.43332899999996</v>
      </c>
    </row>
    <row r="292" spans="2:5" x14ac:dyDescent="0.25">
      <c r="B292" s="545">
        <v>314</v>
      </c>
      <c r="C292" s="553" t="s">
        <v>6905</v>
      </c>
      <c r="D292" s="669" t="s">
        <v>433</v>
      </c>
      <c r="E292" s="546">
        <v>801.79998799999998</v>
      </c>
    </row>
    <row r="293" spans="2:5" x14ac:dyDescent="0.25">
      <c r="B293" s="545">
        <v>315</v>
      </c>
      <c r="C293" s="553" t="s">
        <v>4909</v>
      </c>
      <c r="D293" s="669" t="s">
        <v>433</v>
      </c>
      <c r="E293" s="546">
        <v>812.90002400000003</v>
      </c>
    </row>
    <row r="294" spans="2:5" x14ac:dyDescent="0.25">
      <c r="B294" s="545">
        <v>316</v>
      </c>
      <c r="C294" s="553" t="s">
        <v>5029</v>
      </c>
      <c r="D294" s="669" t="s">
        <v>433</v>
      </c>
      <c r="E294" s="546">
        <v>825.83335399999999</v>
      </c>
    </row>
    <row r="295" spans="2:5" x14ac:dyDescent="0.25">
      <c r="B295" s="545">
        <v>317</v>
      </c>
      <c r="C295" s="553" t="s">
        <v>6896</v>
      </c>
      <c r="D295" s="669" t="s">
        <v>433</v>
      </c>
      <c r="E295" s="546">
        <v>868.16667700000005</v>
      </c>
    </row>
    <row r="296" spans="2:5" x14ac:dyDescent="0.25">
      <c r="B296" s="545">
        <v>318</v>
      </c>
      <c r="C296" s="553" t="s">
        <v>5270</v>
      </c>
      <c r="D296" s="669" t="s">
        <v>433</v>
      </c>
      <c r="E296" s="546">
        <v>856.79998799999998</v>
      </c>
    </row>
    <row r="297" spans="2:5" x14ac:dyDescent="0.25">
      <c r="B297" s="545">
        <v>319</v>
      </c>
      <c r="C297" s="553" t="s">
        <v>5777</v>
      </c>
      <c r="D297" s="669" t="s">
        <v>433</v>
      </c>
      <c r="E297" s="546">
        <v>960.875</v>
      </c>
    </row>
    <row r="298" spans="2:5" x14ac:dyDescent="0.25">
      <c r="B298" s="545">
        <v>320</v>
      </c>
      <c r="C298" s="553" t="s">
        <v>1111</v>
      </c>
      <c r="D298" s="669" t="s">
        <v>433</v>
      </c>
      <c r="E298" s="546">
        <v>948.41428900000005</v>
      </c>
    </row>
    <row r="299" spans="2:5" x14ac:dyDescent="0.25">
      <c r="B299" s="545">
        <v>321</v>
      </c>
      <c r="C299" s="553" t="s">
        <v>1677</v>
      </c>
      <c r="D299" s="669" t="s">
        <v>433</v>
      </c>
      <c r="E299" s="546">
        <v>631.07500500000003</v>
      </c>
    </row>
    <row r="300" spans="2:5" x14ac:dyDescent="0.25">
      <c r="B300" s="545">
        <v>322</v>
      </c>
      <c r="C300" s="553" t="s">
        <v>2564</v>
      </c>
      <c r="D300" s="669" t="s">
        <v>433</v>
      </c>
      <c r="E300" s="546">
        <v>668.93333900000005</v>
      </c>
    </row>
    <row r="301" spans="2:5" x14ac:dyDescent="0.25">
      <c r="B301" s="545">
        <v>323</v>
      </c>
      <c r="C301" s="553" t="s">
        <v>5442</v>
      </c>
      <c r="D301" s="669" t="s">
        <v>433</v>
      </c>
      <c r="E301" s="546">
        <v>886.5</v>
      </c>
    </row>
    <row r="302" spans="2:5" x14ac:dyDescent="0.25">
      <c r="B302" s="545">
        <v>324</v>
      </c>
      <c r="C302" s="553" t="s">
        <v>5013</v>
      </c>
      <c r="D302" s="669" t="s">
        <v>433</v>
      </c>
      <c r="E302" s="546">
        <v>823.96667500000001</v>
      </c>
    </row>
    <row r="303" spans="2:5" x14ac:dyDescent="0.25">
      <c r="B303" s="545">
        <v>325</v>
      </c>
      <c r="C303" s="553" t="s">
        <v>6624</v>
      </c>
      <c r="D303" s="669" t="s">
        <v>433</v>
      </c>
      <c r="E303" s="546">
        <v>808.442858</v>
      </c>
    </row>
    <row r="304" spans="2:5" x14ac:dyDescent="0.25">
      <c r="B304" s="545">
        <v>326</v>
      </c>
      <c r="C304" s="553" t="s">
        <v>7166</v>
      </c>
      <c r="D304" s="669" t="s">
        <v>433</v>
      </c>
      <c r="E304" s="546">
        <v>825.5</v>
      </c>
    </row>
    <row r="305" spans="2:5" x14ac:dyDescent="0.25">
      <c r="B305" s="545">
        <v>327</v>
      </c>
      <c r="C305" s="553" t="s">
        <v>4744</v>
      </c>
      <c r="D305" s="669" t="s">
        <v>433</v>
      </c>
      <c r="E305" s="546">
        <v>799.47000100000002</v>
      </c>
    </row>
    <row r="306" spans="2:5" x14ac:dyDescent="0.25">
      <c r="B306" s="545">
        <v>328</v>
      </c>
      <c r="C306" s="553" t="s">
        <v>7004</v>
      </c>
      <c r="D306" s="669" t="s">
        <v>433</v>
      </c>
      <c r="E306" s="546">
        <v>788.81428700000004</v>
      </c>
    </row>
    <row r="307" spans="2:5" x14ac:dyDescent="0.25">
      <c r="B307" s="545">
        <v>329</v>
      </c>
      <c r="C307" s="553" t="s">
        <v>4520</v>
      </c>
      <c r="D307" s="669" t="s">
        <v>433</v>
      </c>
      <c r="E307" s="546">
        <v>781</v>
      </c>
    </row>
    <row r="308" spans="2:5" x14ac:dyDescent="0.25">
      <c r="B308" s="545">
        <v>330</v>
      </c>
      <c r="C308" s="553" t="s">
        <v>7434</v>
      </c>
      <c r="D308" s="669" t="s">
        <v>433</v>
      </c>
      <c r="E308" s="546">
        <v>929.34444499999995</v>
      </c>
    </row>
    <row r="309" spans="2:5" x14ac:dyDescent="0.25">
      <c r="B309" s="545">
        <v>331</v>
      </c>
      <c r="C309" s="553" t="s">
        <v>5807</v>
      </c>
      <c r="D309" s="669" t="s">
        <v>433</v>
      </c>
      <c r="E309" s="546">
        <v>968.259998</v>
      </c>
    </row>
    <row r="310" spans="2:5" x14ac:dyDescent="0.25">
      <c r="B310" s="545">
        <v>332</v>
      </c>
      <c r="C310" s="553" t="s">
        <v>6924</v>
      </c>
      <c r="D310" s="669" t="s">
        <v>433</v>
      </c>
      <c r="E310" s="546">
        <v>627.48333700000001</v>
      </c>
    </row>
    <row r="311" spans="2:5" x14ac:dyDescent="0.25">
      <c r="B311" s="545">
        <v>333</v>
      </c>
      <c r="C311" s="553" t="s">
        <v>7032</v>
      </c>
      <c r="D311" s="669" t="s">
        <v>433</v>
      </c>
      <c r="E311" s="546">
        <v>676.5</v>
      </c>
    </row>
    <row r="312" spans="2:5" x14ac:dyDescent="0.25">
      <c r="B312" s="545">
        <v>334</v>
      </c>
      <c r="C312" s="553" t="s">
        <v>4445</v>
      </c>
      <c r="D312" s="669" t="s">
        <v>433</v>
      </c>
      <c r="E312" s="546">
        <v>776.5</v>
      </c>
    </row>
    <row r="313" spans="2:5" x14ac:dyDescent="0.25">
      <c r="B313" s="545">
        <v>335</v>
      </c>
      <c r="C313" s="553" t="s">
        <v>4037</v>
      </c>
      <c r="D313" s="669" t="s">
        <v>433</v>
      </c>
      <c r="E313" s="546">
        <v>747.26666299999999</v>
      </c>
    </row>
    <row r="314" spans="2:5" x14ac:dyDescent="0.25">
      <c r="B314" s="545">
        <v>336</v>
      </c>
      <c r="C314" s="553" t="s">
        <v>7088</v>
      </c>
      <c r="D314" s="669" t="s">
        <v>433</v>
      </c>
      <c r="E314" s="546">
        <v>763.70001200000002</v>
      </c>
    </row>
    <row r="315" spans="2:5" x14ac:dyDescent="0.25">
      <c r="B315" s="545">
        <v>337</v>
      </c>
      <c r="C315" s="553" t="s">
        <v>6866</v>
      </c>
      <c r="D315" s="669" t="s">
        <v>433</v>
      </c>
      <c r="E315" s="546">
        <v>752.54998799999998</v>
      </c>
    </row>
    <row r="316" spans="2:5" x14ac:dyDescent="0.25">
      <c r="B316" s="545">
        <v>338</v>
      </c>
      <c r="C316" s="553" t="s">
        <v>4051</v>
      </c>
      <c r="D316" s="669" t="s">
        <v>433</v>
      </c>
      <c r="E316" s="546">
        <v>748.20001200000002</v>
      </c>
    </row>
    <row r="317" spans="2:5" x14ac:dyDescent="0.25">
      <c r="B317" s="545">
        <v>339</v>
      </c>
      <c r="C317" s="553" t="s">
        <v>4960</v>
      </c>
      <c r="D317" s="669" t="s">
        <v>433</v>
      </c>
      <c r="E317" s="546">
        <v>817.63335199999995</v>
      </c>
    </row>
    <row r="318" spans="2:5" x14ac:dyDescent="0.25">
      <c r="B318" s="545">
        <v>340</v>
      </c>
      <c r="C318" s="553" t="s">
        <v>5813</v>
      </c>
      <c r="D318" s="669" t="s">
        <v>433</v>
      </c>
      <c r="E318" s="546">
        <v>969.04998799999998</v>
      </c>
    </row>
    <row r="319" spans="2:5" x14ac:dyDescent="0.25">
      <c r="B319" s="545">
        <v>341</v>
      </c>
      <c r="C319" s="553" t="s">
        <v>5805</v>
      </c>
      <c r="D319" s="669" t="s">
        <v>433</v>
      </c>
      <c r="E319" s="546">
        <v>967.68148499999995</v>
      </c>
    </row>
    <row r="320" spans="2:5" x14ac:dyDescent="0.25">
      <c r="B320" s="545">
        <v>342</v>
      </c>
      <c r="C320" s="553" t="s">
        <v>1760</v>
      </c>
      <c r="D320" s="669" t="s">
        <v>433</v>
      </c>
      <c r="E320" s="546">
        <v>634.34998599999994</v>
      </c>
    </row>
    <row r="321" spans="2:5" x14ac:dyDescent="0.25">
      <c r="B321" s="545">
        <v>343</v>
      </c>
      <c r="C321" s="553" t="s">
        <v>7398</v>
      </c>
      <c r="D321" s="669" t="s">
        <v>433</v>
      </c>
      <c r="E321" s="546">
        <v>720.59999600000003</v>
      </c>
    </row>
    <row r="322" spans="2:5" x14ac:dyDescent="0.25">
      <c r="B322" s="545">
        <v>344</v>
      </c>
      <c r="C322" s="553" t="s">
        <v>2240</v>
      </c>
      <c r="D322" s="669" t="s">
        <v>433</v>
      </c>
      <c r="E322" s="546">
        <v>757.375</v>
      </c>
    </row>
    <row r="323" spans="2:5" x14ac:dyDescent="0.25">
      <c r="B323" s="545">
        <v>345</v>
      </c>
      <c r="C323" s="553" t="s">
        <v>3964</v>
      </c>
      <c r="D323" s="669" t="s">
        <v>433</v>
      </c>
      <c r="E323" s="546">
        <v>742.47500600000001</v>
      </c>
    </row>
    <row r="324" spans="2:5" x14ac:dyDescent="0.25">
      <c r="B324" s="545">
        <v>346</v>
      </c>
      <c r="C324" s="553" t="s">
        <v>3899</v>
      </c>
      <c r="D324" s="669" t="s">
        <v>433</v>
      </c>
      <c r="E324" s="546">
        <v>738.59999600000003</v>
      </c>
    </row>
    <row r="325" spans="2:5" x14ac:dyDescent="0.25">
      <c r="B325" s="545">
        <v>347</v>
      </c>
      <c r="C325" s="553" t="s">
        <v>4157</v>
      </c>
      <c r="D325" s="669" t="s">
        <v>433</v>
      </c>
      <c r="E325" s="546">
        <v>754.40002400000003</v>
      </c>
    </row>
    <row r="326" spans="2:5" x14ac:dyDescent="0.25">
      <c r="B326" s="545">
        <v>348</v>
      </c>
      <c r="C326" s="553" t="s">
        <v>4627</v>
      </c>
      <c r="D326" s="669" t="s">
        <v>433</v>
      </c>
      <c r="E326" s="546">
        <v>790.79998799999998</v>
      </c>
    </row>
    <row r="327" spans="2:5" x14ac:dyDescent="0.25">
      <c r="B327" s="545">
        <v>349</v>
      </c>
      <c r="C327" s="553" t="s">
        <v>7595</v>
      </c>
      <c r="D327" s="669" t="s">
        <v>433</v>
      </c>
      <c r="E327" s="546">
        <v>726.41999499999997</v>
      </c>
    </row>
    <row r="328" spans="2:5" x14ac:dyDescent="0.25">
      <c r="B328" s="545">
        <v>350</v>
      </c>
      <c r="C328" s="553" t="s">
        <v>4331</v>
      </c>
      <c r="D328" s="669" t="s">
        <v>433</v>
      </c>
      <c r="E328" s="546">
        <v>767.14000199999998</v>
      </c>
    </row>
    <row r="329" spans="2:5" x14ac:dyDescent="0.25">
      <c r="B329" s="545">
        <v>351</v>
      </c>
      <c r="C329" s="553" t="s">
        <v>4452</v>
      </c>
      <c r="D329" s="669" t="s">
        <v>433</v>
      </c>
      <c r="E329" s="546">
        <v>777</v>
      </c>
    </row>
    <row r="330" spans="2:5" x14ac:dyDescent="0.25">
      <c r="B330" s="545">
        <v>352</v>
      </c>
      <c r="C330" s="553" t="s">
        <v>5699</v>
      </c>
      <c r="D330" s="669" t="s">
        <v>433</v>
      </c>
      <c r="E330" s="546">
        <v>938.81539199999997</v>
      </c>
    </row>
    <row r="331" spans="2:5" x14ac:dyDescent="0.25">
      <c r="B331" s="545">
        <v>353</v>
      </c>
      <c r="C331" s="553" t="s">
        <v>1042</v>
      </c>
      <c r="D331" s="669" t="s">
        <v>433</v>
      </c>
      <c r="E331" s="546">
        <v>727.16666699999996</v>
      </c>
    </row>
    <row r="332" spans="2:5" x14ac:dyDescent="0.25">
      <c r="B332" s="545">
        <v>354</v>
      </c>
      <c r="C332" s="553" t="s">
        <v>3348</v>
      </c>
      <c r="D332" s="669" t="s">
        <v>433</v>
      </c>
      <c r="E332" s="546">
        <v>708.375</v>
      </c>
    </row>
    <row r="333" spans="2:5" x14ac:dyDescent="0.25">
      <c r="B333" s="545">
        <v>355</v>
      </c>
      <c r="C333" s="553" t="s">
        <v>3169</v>
      </c>
      <c r="D333" s="669" t="s">
        <v>433</v>
      </c>
      <c r="E333" s="546">
        <v>699.75</v>
      </c>
    </row>
    <row r="334" spans="2:5" x14ac:dyDescent="0.25">
      <c r="B334" s="545">
        <v>356</v>
      </c>
      <c r="C334" s="553" t="s">
        <v>4237</v>
      </c>
      <c r="D334" s="669" t="s">
        <v>433</v>
      </c>
      <c r="E334" s="546">
        <v>760.21111399999995</v>
      </c>
    </row>
    <row r="335" spans="2:5" x14ac:dyDescent="0.25">
      <c r="B335" s="545">
        <v>357</v>
      </c>
      <c r="C335" s="553" t="s">
        <v>4785</v>
      </c>
      <c r="D335" s="669" t="s">
        <v>433</v>
      </c>
      <c r="E335" s="546">
        <v>802.35455300000001</v>
      </c>
    </row>
    <row r="336" spans="2:5" x14ac:dyDescent="0.25">
      <c r="B336" s="545">
        <v>358</v>
      </c>
      <c r="C336" s="553" t="s">
        <v>5384</v>
      </c>
      <c r="D336" s="669" t="s">
        <v>433</v>
      </c>
      <c r="E336" s="546">
        <v>875.73333700000001</v>
      </c>
    </row>
    <row r="337" spans="2:5" x14ac:dyDescent="0.25">
      <c r="B337" s="545">
        <v>359</v>
      </c>
      <c r="C337" s="553" t="s">
        <v>6986</v>
      </c>
      <c r="D337" s="669" t="s">
        <v>433</v>
      </c>
      <c r="E337" s="546">
        <v>939.67498799999998</v>
      </c>
    </row>
    <row r="338" spans="2:5" x14ac:dyDescent="0.25">
      <c r="B338" s="545">
        <v>360</v>
      </c>
      <c r="C338" s="553" t="s">
        <v>1632</v>
      </c>
      <c r="D338" s="669" t="s">
        <v>433</v>
      </c>
      <c r="E338" s="546">
        <v>628.06427900000006</v>
      </c>
    </row>
    <row r="339" spans="2:5" x14ac:dyDescent="0.25">
      <c r="B339" s="545">
        <v>361</v>
      </c>
      <c r="C339" s="553" t="s">
        <v>1389</v>
      </c>
      <c r="D339" s="669" t="s">
        <v>433</v>
      </c>
      <c r="E339" s="546">
        <v>614.67367999999999</v>
      </c>
    </row>
    <row r="340" spans="2:5" x14ac:dyDescent="0.25">
      <c r="B340" s="545">
        <v>362</v>
      </c>
      <c r="C340" s="553" t="s">
        <v>2285</v>
      </c>
      <c r="D340" s="669" t="s">
        <v>433</v>
      </c>
      <c r="E340" s="546">
        <v>656.69231200000002</v>
      </c>
    </row>
    <row r="341" spans="2:5" x14ac:dyDescent="0.25">
      <c r="B341" s="545">
        <v>363</v>
      </c>
      <c r="C341" s="553" t="s">
        <v>2932</v>
      </c>
      <c r="D341" s="669" t="s">
        <v>433</v>
      </c>
      <c r="E341" s="546">
        <v>687.20908999999995</v>
      </c>
    </row>
    <row r="342" spans="2:5" x14ac:dyDescent="0.25">
      <c r="B342" s="545">
        <v>364</v>
      </c>
      <c r="C342" s="553" t="s">
        <v>6726</v>
      </c>
      <c r="D342" s="669" t="s">
        <v>433</v>
      </c>
      <c r="E342" s="546">
        <v>706.625</v>
      </c>
    </row>
    <row r="343" spans="2:5" x14ac:dyDescent="0.25">
      <c r="B343" s="545">
        <v>365</v>
      </c>
      <c r="C343" s="553" t="s">
        <v>5623</v>
      </c>
      <c r="D343" s="669" t="s">
        <v>433</v>
      </c>
      <c r="E343" s="546">
        <v>917.42500099999995</v>
      </c>
    </row>
    <row r="344" spans="2:5" x14ac:dyDescent="0.25">
      <c r="B344" s="545">
        <v>366</v>
      </c>
      <c r="C344" s="553" t="s">
        <v>1756</v>
      </c>
      <c r="D344" s="669" t="s">
        <v>433</v>
      </c>
      <c r="E344" s="546">
        <v>634.3125</v>
      </c>
    </row>
    <row r="345" spans="2:5" x14ac:dyDescent="0.25">
      <c r="B345" s="545">
        <v>367</v>
      </c>
      <c r="C345" s="553" t="s">
        <v>1407</v>
      </c>
      <c r="D345" s="669" t="s">
        <v>433</v>
      </c>
      <c r="E345" s="546">
        <v>615.39090199999998</v>
      </c>
    </row>
    <row r="346" spans="2:5" x14ac:dyDescent="0.25">
      <c r="B346" s="545">
        <v>368</v>
      </c>
      <c r="C346" s="553" t="s">
        <v>433</v>
      </c>
      <c r="D346" s="669" t="s">
        <v>433</v>
      </c>
      <c r="E346" s="546">
        <v>657.866669</v>
      </c>
    </row>
    <row r="347" spans="2:5" x14ac:dyDescent="0.25">
      <c r="B347" s="545">
        <v>369</v>
      </c>
      <c r="C347" s="553" t="s">
        <v>3926</v>
      </c>
      <c r="D347" s="669" t="s">
        <v>433</v>
      </c>
      <c r="E347" s="546">
        <v>740.30000299999995</v>
      </c>
    </row>
    <row r="348" spans="2:5" x14ac:dyDescent="0.25">
      <c r="B348" s="545">
        <v>370</v>
      </c>
      <c r="C348" s="553" t="s">
        <v>4033</v>
      </c>
      <c r="D348" s="669" t="s">
        <v>433</v>
      </c>
      <c r="E348" s="546">
        <v>746.95714499999997</v>
      </c>
    </row>
    <row r="349" spans="2:5" x14ac:dyDescent="0.25">
      <c r="B349" s="545">
        <v>371</v>
      </c>
      <c r="C349" s="553" t="s">
        <v>4559</v>
      </c>
      <c r="D349" s="669" t="s">
        <v>433</v>
      </c>
      <c r="E349" s="546">
        <v>784.63999799999999</v>
      </c>
    </row>
    <row r="350" spans="2:5" x14ac:dyDescent="0.25">
      <c r="B350" s="545">
        <v>372</v>
      </c>
      <c r="C350" s="553" t="s">
        <v>4440</v>
      </c>
      <c r="D350" s="669" t="s">
        <v>433</v>
      </c>
      <c r="E350" s="546">
        <v>776.18889000000001</v>
      </c>
    </row>
    <row r="351" spans="2:5" x14ac:dyDescent="0.25">
      <c r="B351" s="545">
        <v>373</v>
      </c>
      <c r="C351" s="553" t="s">
        <v>5389</v>
      </c>
      <c r="D351" s="669" t="s">
        <v>433</v>
      </c>
      <c r="E351" s="546">
        <v>876.63000799999998</v>
      </c>
    </row>
    <row r="352" spans="2:5" x14ac:dyDescent="0.25">
      <c r="B352" s="545">
        <v>374</v>
      </c>
      <c r="C352" s="553" t="s">
        <v>5423</v>
      </c>
      <c r="D352" s="669" t="s">
        <v>433</v>
      </c>
      <c r="E352" s="546">
        <v>883.18332899999996</v>
      </c>
    </row>
    <row r="353" spans="2:5" x14ac:dyDescent="0.25">
      <c r="B353" s="545">
        <v>375</v>
      </c>
      <c r="C353" s="553" t="s">
        <v>2751</v>
      </c>
      <c r="D353" s="669" t="s">
        <v>433</v>
      </c>
      <c r="E353" s="546">
        <v>678.42000700000006</v>
      </c>
    </row>
    <row r="354" spans="2:5" x14ac:dyDescent="0.25">
      <c r="B354" s="545">
        <v>376</v>
      </c>
      <c r="C354" s="553" t="s">
        <v>3973</v>
      </c>
      <c r="D354" s="669" t="s">
        <v>433</v>
      </c>
      <c r="E354" s="546">
        <v>743.29998799999998</v>
      </c>
    </row>
    <row r="355" spans="2:5" x14ac:dyDescent="0.25">
      <c r="B355" s="545">
        <v>377</v>
      </c>
      <c r="C355" s="553" t="s">
        <v>6934</v>
      </c>
      <c r="D355" s="669" t="s">
        <v>433</v>
      </c>
      <c r="E355" s="546">
        <v>757.03334600000005</v>
      </c>
    </row>
    <row r="356" spans="2:5" x14ac:dyDescent="0.25">
      <c r="B356" s="545">
        <v>378</v>
      </c>
      <c r="C356" s="553" t="s">
        <v>6664</v>
      </c>
      <c r="D356" s="669" t="s">
        <v>433</v>
      </c>
      <c r="E356" s="546">
        <v>827.90002400000003</v>
      </c>
    </row>
    <row r="357" spans="2:5" x14ac:dyDescent="0.25">
      <c r="B357" s="545">
        <v>379</v>
      </c>
      <c r="C357" s="553" t="s">
        <v>7493</v>
      </c>
      <c r="D357" s="669" t="s">
        <v>433</v>
      </c>
      <c r="E357" s="546">
        <v>738.44000200000005</v>
      </c>
    </row>
    <row r="358" spans="2:5" x14ac:dyDescent="0.25">
      <c r="B358" s="545">
        <v>380</v>
      </c>
      <c r="C358" s="553" t="s">
        <v>4609</v>
      </c>
      <c r="D358" s="669" t="s">
        <v>433</v>
      </c>
      <c r="E358" s="546">
        <v>788.58572000000004</v>
      </c>
    </row>
    <row r="359" spans="2:5" x14ac:dyDescent="0.25">
      <c r="B359" s="545">
        <v>381</v>
      </c>
      <c r="C359" s="553" t="s">
        <v>5543</v>
      </c>
      <c r="D359" s="669" t="s">
        <v>433</v>
      </c>
      <c r="E359" s="546">
        <v>902.59411999999998</v>
      </c>
    </row>
    <row r="360" spans="2:5" x14ac:dyDescent="0.25">
      <c r="B360" s="545">
        <v>382</v>
      </c>
      <c r="C360" s="553" t="s">
        <v>6911</v>
      </c>
      <c r="D360" s="669" t="s">
        <v>433</v>
      </c>
      <c r="E360" s="546">
        <v>613.75184899999999</v>
      </c>
    </row>
    <row r="361" spans="2:5" x14ac:dyDescent="0.25">
      <c r="B361" s="545">
        <v>383</v>
      </c>
      <c r="C361" s="553" t="s">
        <v>1321</v>
      </c>
      <c r="D361" s="669" t="s">
        <v>433</v>
      </c>
      <c r="E361" s="546">
        <v>610.78749100000005</v>
      </c>
    </row>
    <row r="362" spans="2:5" x14ac:dyDescent="0.25">
      <c r="B362" s="545">
        <v>384</v>
      </c>
      <c r="C362" s="553" t="s">
        <v>5278</v>
      </c>
      <c r="D362" s="669" t="s">
        <v>433</v>
      </c>
      <c r="E362" s="546">
        <v>857.94001500000002</v>
      </c>
    </row>
    <row r="363" spans="2:5" x14ac:dyDescent="0.25">
      <c r="B363" s="545">
        <v>385</v>
      </c>
      <c r="C363" s="553" t="s">
        <v>5343</v>
      </c>
      <c r="D363" s="669" t="s">
        <v>433</v>
      </c>
      <c r="E363" s="546">
        <v>869.40002400000003</v>
      </c>
    </row>
    <row r="364" spans="2:5" x14ac:dyDescent="0.25">
      <c r="B364" s="545">
        <v>386</v>
      </c>
      <c r="C364" s="553" t="s">
        <v>1704</v>
      </c>
      <c r="D364" s="669" t="s">
        <v>433</v>
      </c>
      <c r="E364" s="546">
        <v>632.55713800000001</v>
      </c>
    </row>
    <row r="365" spans="2:5" x14ac:dyDescent="0.25">
      <c r="B365" s="545">
        <v>387</v>
      </c>
      <c r="C365" s="553" t="s">
        <v>5206</v>
      </c>
      <c r="D365" s="669" t="s">
        <v>433</v>
      </c>
      <c r="E365" s="546">
        <v>846.44545700000003</v>
      </c>
    </row>
    <row r="366" spans="2:5" x14ac:dyDescent="0.25">
      <c r="B366" s="545">
        <v>388</v>
      </c>
      <c r="C366" s="553" t="s">
        <v>5397</v>
      </c>
      <c r="D366" s="669" t="s">
        <v>433</v>
      </c>
      <c r="E366" s="546">
        <v>878.99512300000004</v>
      </c>
    </row>
    <row r="367" spans="2:5" x14ac:dyDescent="0.25">
      <c r="B367" s="545">
        <v>389</v>
      </c>
      <c r="C367" s="553" t="s">
        <v>2358</v>
      </c>
      <c r="D367" s="669" t="s">
        <v>433</v>
      </c>
      <c r="E367" s="546">
        <v>660.259998</v>
      </c>
    </row>
    <row r="368" spans="2:5" x14ac:dyDescent="0.25">
      <c r="B368" s="545">
        <v>390</v>
      </c>
      <c r="C368" s="553" t="s">
        <v>4830</v>
      </c>
      <c r="D368" s="669" t="s">
        <v>433</v>
      </c>
      <c r="E368" s="546">
        <v>806.12500399999999</v>
      </c>
    </row>
    <row r="369" spans="2:5" x14ac:dyDescent="0.25">
      <c r="B369" s="545">
        <v>391</v>
      </c>
      <c r="C369" s="553" t="s">
        <v>4313</v>
      </c>
      <c r="D369" s="669" t="s">
        <v>433</v>
      </c>
      <c r="E369" s="546">
        <v>765.61000999999999</v>
      </c>
    </row>
    <row r="370" spans="2:5" x14ac:dyDescent="0.25">
      <c r="B370" s="545">
        <v>392</v>
      </c>
      <c r="C370" s="553" t="s">
        <v>4305</v>
      </c>
      <c r="D370" s="669" t="s">
        <v>433</v>
      </c>
      <c r="E370" s="546">
        <v>765.10000300000002</v>
      </c>
    </row>
    <row r="371" spans="2:5" x14ac:dyDescent="0.25">
      <c r="B371" s="545">
        <v>393</v>
      </c>
      <c r="C371" s="553" t="s">
        <v>5142</v>
      </c>
      <c r="D371" s="669" t="s">
        <v>433</v>
      </c>
      <c r="E371" s="546">
        <v>837.87499500000001</v>
      </c>
    </row>
    <row r="372" spans="2:5" x14ac:dyDescent="0.25">
      <c r="B372" s="545">
        <v>401</v>
      </c>
      <c r="C372" s="553" t="s">
        <v>1475</v>
      </c>
      <c r="D372" s="669" t="s">
        <v>443</v>
      </c>
      <c r="E372" s="546">
        <v>618.98235699999998</v>
      </c>
    </row>
    <row r="373" spans="2:5" x14ac:dyDescent="0.25">
      <c r="B373" s="545">
        <v>402</v>
      </c>
      <c r="C373" s="553" t="s">
        <v>1462</v>
      </c>
      <c r="D373" s="669" t="s">
        <v>443</v>
      </c>
      <c r="E373" s="546">
        <v>618.31000400000005</v>
      </c>
    </row>
    <row r="374" spans="2:5" x14ac:dyDescent="0.25">
      <c r="B374" s="545">
        <v>403</v>
      </c>
      <c r="C374" s="553" t="s">
        <v>4175</v>
      </c>
      <c r="D374" s="669" t="s">
        <v>443</v>
      </c>
      <c r="E374" s="546">
        <v>755.65714800000001</v>
      </c>
    </row>
    <row r="375" spans="2:5" x14ac:dyDescent="0.25">
      <c r="B375" s="545">
        <v>404</v>
      </c>
      <c r="C375" s="553" t="s">
        <v>1428</v>
      </c>
      <c r="D375" s="669" t="s">
        <v>443</v>
      </c>
      <c r="E375" s="546">
        <v>693.86665900000003</v>
      </c>
    </row>
    <row r="376" spans="2:5" x14ac:dyDescent="0.25">
      <c r="B376" s="545">
        <v>405</v>
      </c>
      <c r="C376" s="553" t="s">
        <v>3815</v>
      </c>
      <c r="D376" s="669" t="s">
        <v>443</v>
      </c>
      <c r="E376" s="546">
        <v>733.64000199999998</v>
      </c>
    </row>
    <row r="377" spans="2:5" x14ac:dyDescent="0.25">
      <c r="B377" s="545">
        <v>406</v>
      </c>
      <c r="C377" s="553" t="s">
        <v>5323</v>
      </c>
      <c r="D377" s="669" t="s">
        <v>443</v>
      </c>
      <c r="E377" s="546">
        <v>866.55999799999995</v>
      </c>
    </row>
    <row r="378" spans="2:5" x14ac:dyDescent="0.25">
      <c r="B378" s="545">
        <v>407</v>
      </c>
      <c r="C378" s="553" t="s">
        <v>1989</v>
      </c>
      <c r="D378" s="669" t="s">
        <v>443</v>
      </c>
      <c r="E378" s="546">
        <v>643.04998799999998</v>
      </c>
    </row>
    <row r="379" spans="2:5" x14ac:dyDescent="0.25">
      <c r="B379" s="545">
        <v>408</v>
      </c>
      <c r="C379" s="553" t="s">
        <v>4884</v>
      </c>
      <c r="D379" s="669" t="s">
        <v>443</v>
      </c>
      <c r="E379" s="546">
        <v>809.96667500000001</v>
      </c>
    </row>
    <row r="380" spans="2:5" x14ac:dyDescent="0.25">
      <c r="B380" s="545">
        <v>409</v>
      </c>
      <c r="C380" s="553" t="s">
        <v>6920</v>
      </c>
      <c r="D380" s="669" t="s">
        <v>443</v>
      </c>
      <c r="E380" s="546">
        <v>666.72500600000001</v>
      </c>
    </row>
    <row r="381" spans="2:5" x14ac:dyDescent="0.25">
      <c r="B381" s="545">
        <v>410</v>
      </c>
      <c r="C381" s="553" t="s">
        <v>1821</v>
      </c>
      <c r="D381" s="669" t="s">
        <v>443</v>
      </c>
      <c r="E381" s="546">
        <v>636.76363900000001</v>
      </c>
    </row>
    <row r="382" spans="2:5" x14ac:dyDescent="0.25">
      <c r="B382" s="545">
        <v>411</v>
      </c>
      <c r="C382" s="553" t="s">
        <v>963</v>
      </c>
      <c r="D382" s="669" t="s">
        <v>443</v>
      </c>
      <c r="E382" s="546">
        <v>712.90000399999997</v>
      </c>
    </row>
    <row r="383" spans="2:5" x14ac:dyDescent="0.25">
      <c r="B383" s="545">
        <v>412</v>
      </c>
      <c r="C383" s="553" t="s">
        <v>7225</v>
      </c>
      <c r="D383" s="669" t="s">
        <v>443</v>
      </c>
      <c r="E383" s="546">
        <v>759.92000700000006</v>
      </c>
    </row>
    <row r="384" spans="2:5" x14ac:dyDescent="0.25">
      <c r="B384" s="545">
        <v>413</v>
      </c>
      <c r="C384" s="553" t="s">
        <v>7175</v>
      </c>
      <c r="D384" s="669" t="s">
        <v>443</v>
      </c>
      <c r="E384" s="546">
        <v>687.38889600000005</v>
      </c>
    </row>
    <row r="385" spans="2:5" x14ac:dyDescent="0.25">
      <c r="B385" s="545">
        <v>414</v>
      </c>
      <c r="C385" s="553" t="s">
        <v>3634</v>
      </c>
      <c r="D385" s="669" t="s">
        <v>443</v>
      </c>
      <c r="E385" s="546">
        <v>723.6875</v>
      </c>
    </row>
    <row r="386" spans="2:5" x14ac:dyDescent="0.25">
      <c r="B386" s="545">
        <v>415</v>
      </c>
      <c r="C386" s="553" t="s">
        <v>3518</v>
      </c>
      <c r="D386" s="669" t="s">
        <v>443</v>
      </c>
      <c r="E386" s="546">
        <v>717.222219</v>
      </c>
    </row>
    <row r="387" spans="2:5" x14ac:dyDescent="0.25">
      <c r="B387" s="545">
        <v>416</v>
      </c>
      <c r="C387" s="553" t="s">
        <v>2199</v>
      </c>
      <c r="D387" s="669" t="s">
        <v>443</v>
      </c>
      <c r="E387" s="546">
        <v>652.81428700000004</v>
      </c>
    </row>
    <row r="388" spans="2:5" x14ac:dyDescent="0.25">
      <c r="B388" s="545">
        <v>417</v>
      </c>
      <c r="C388" s="553" t="s">
        <v>1949</v>
      </c>
      <c r="D388" s="669" t="s">
        <v>443</v>
      </c>
      <c r="E388" s="546">
        <v>699.07141999999999</v>
      </c>
    </row>
    <row r="389" spans="2:5" x14ac:dyDescent="0.25">
      <c r="B389" s="545">
        <v>418</v>
      </c>
      <c r="C389" s="553" t="s">
        <v>3972</v>
      </c>
      <c r="D389" s="669" t="s">
        <v>443</v>
      </c>
      <c r="E389" s="546">
        <v>743.26666299999999</v>
      </c>
    </row>
    <row r="390" spans="2:5" x14ac:dyDescent="0.25">
      <c r="B390" s="545">
        <v>419</v>
      </c>
      <c r="C390" s="553" t="s">
        <v>3686</v>
      </c>
      <c r="D390" s="669" t="s">
        <v>443</v>
      </c>
      <c r="E390" s="546">
        <v>726.44000200000005</v>
      </c>
    </row>
    <row r="391" spans="2:5" x14ac:dyDescent="0.25">
      <c r="B391" s="545">
        <v>420</v>
      </c>
      <c r="C391" s="553" t="s">
        <v>1969</v>
      </c>
      <c r="D391" s="669" t="s">
        <v>443</v>
      </c>
      <c r="E391" s="546">
        <v>642.36251100000004</v>
      </c>
    </row>
    <row r="392" spans="2:5" x14ac:dyDescent="0.25">
      <c r="B392" s="545">
        <v>421</v>
      </c>
      <c r="C392" s="553" t="s">
        <v>2465</v>
      </c>
      <c r="D392" s="669" t="s">
        <v>443</v>
      </c>
      <c r="E392" s="546">
        <v>664.68000500000005</v>
      </c>
    </row>
    <row r="393" spans="2:5" x14ac:dyDescent="0.25">
      <c r="B393" s="545">
        <v>422</v>
      </c>
      <c r="C393" s="553" t="s">
        <v>7397</v>
      </c>
      <c r="D393" s="669" t="s">
        <v>443</v>
      </c>
      <c r="E393" s="546">
        <v>657.16249800000003</v>
      </c>
    </row>
    <row r="394" spans="2:5" x14ac:dyDescent="0.25">
      <c r="B394" s="545">
        <v>423</v>
      </c>
      <c r="C394" s="553" t="s">
        <v>2669</v>
      </c>
      <c r="D394" s="669" t="s">
        <v>443</v>
      </c>
      <c r="E394" s="546">
        <v>674.55000299999995</v>
      </c>
    </row>
    <row r="395" spans="2:5" x14ac:dyDescent="0.25">
      <c r="B395" s="545">
        <v>424</v>
      </c>
      <c r="C395" s="553" t="s">
        <v>2766</v>
      </c>
      <c r="D395" s="669" t="s">
        <v>443</v>
      </c>
      <c r="E395" s="546">
        <v>679.02000699999996</v>
      </c>
    </row>
    <row r="396" spans="2:5" x14ac:dyDescent="0.25">
      <c r="B396" s="545">
        <v>425</v>
      </c>
      <c r="C396" s="553" t="s">
        <v>4620</v>
      </c>
      <c r="D396" s="669" t="s">
        <v>443</v>
      </c>
      <c r="E396" s="546">
        <v>789.54999799999996</v>
      </c>
    </row>
    <row r="397" spans="2:5" x14ac:dyDescent="0.25">
      <c r="B397" s="545">
        <v>426</v>
      </c>
      <c r="C397" s="553" t="s">
        <v>5046</v>
      </c>
      <c r="D397" s="669" t="s">
        <v>443</v>
      </c>
      <c r="E397" s="546">
        <v>827.72307599999999</v>
      </c>
    </row>
    <row r="398" spans="2:5" x14ac:dyDescent="0.25">
      <c r="B398" s="545">
        <v>427</v>
      </c>
      <c r="C398" s="553" t="s">
        <v>3661</v>
      </c>
      <c r="D398" s="669" t="s">
        <v>443</v>
      </c>
      <c r="E398" s="546">
        <v>724.89523799999995</v>
      </c>
    </row>
    <row r="399" spans="2:5" x14ac:dyDescent="0.25">
      <c r="B399" s="545">
        <v>428</v>
      </c>
      <c r="C399" s="553" t="s">
        <v>4350</v>
      </c>
      <c r="D399" s="669" t="s">
        <v>443</v>
      </c>
      <c r="E399" s="546">
        <v>768.19998199999998</v>
      </c>
    </row>
    <row r="400" spans="2:5" x14ac:dyDescent="0.25">
      <c r="B400" s="545">
        <v>429</v>
      </c>
      <c r="C400" s="553" t="s">
        <v>4429</v>
      </c>
      <c r="D400" s="669" t="s">
        <v>443</v>
      </c>
      <c r="E400" s="546">
        <v>775.05001800000002</v>
      </c>
    </row>
    <row r="401" spans="2:5" x14ac:dyDescent="0.25">
      <c r="B401" s="545">
        <v>430</v>
      </c>
      <c r="C401" s="553" t="s">
        <v>4163</v>
      </c>
      <c r="D401" s="669" t="s">
        <v>443</v>
      </c>
      <c r="E401" s="546">
        <v>754.97143600000004</v>
      </c>
    </row>
    <row r="402" spans="2:5" x14ac:dyDescent="0.25">
      <c r="B402" s="545">
        <v>431</v>
      </c>
      <c r="C402" s="553" t="s">
        <v>7615</v>
      </c>
      <c r="D402" s="669" t="s">
        <v>443</v>
      </c>
      <c r="E402" s="546">
        <v>678.44443799999999</v>
      </c>
    </row>
    <row r="403" spans="2:5" x14ac:dyDescent="0.25">
      <c r="B403" s="545">
        <v>432</v>
      </c>
      <c r="C403" s="553" t="s">
        <v>1740</v>
      </c>
      <c r="D403" s="669" t="s">
        <v>443</v>
      </c>
      <c r="E403" s="546">
        <v>633.76668299999994</v>
      </c>
    </row>
    <row r="404" spans="2:5" x14ac:dyDescent="0.25">
      <c r="B404" s="545">
        <v>433</v>
      </c>
      <c r="C404" s="553" t="s">
        <v>2635</v>
      </c>
      <c r="D404" s="669" t="s">
        <v>443</v>
      </c>
      <c r="E404" s="546">
        <v>673.22500600000001</v>
      </c>
    </row>
    <row r="405" spans="2:5" x14ac:dyDescent="0.25">
      <c r="B405" s="545">
        <v>434</v>
      </c>
      <c r="C405" s="553" t="s">
        <v>3139</v>
      </c>
      <c r="D405" s="669" t="s">
        <v>443</v>
      </c>
      <c r="E405" s="546">
        <v>698.25</v>
      </c>
    </row>
    <row r="406" spans="2:5" x14ac:dyDescent="0.25">
      <c r="B406" s="545">
        <v>435</v>
      </c>
      <c r="C406" s="553" t="s">
        <v>849</v>
      </c>
      <c r="D406" s="669" t="s">
        <v>443</v>
      </c>
      <c r="E406" s="546">
        <v>673.04000199999996</v>
      </c>
    </row>
    <row r="407" spans="2:5" x14ac:dyDescent="0.25">
      <c r="B407" s="545">
        <v>436</v>
      </c>
      <c r="C407" s="553" t="s">
        <v>7177</v>
      </c>
      <c r="D407" s="669" t="s">
        <v>443</v>
      </c>
      <c r="E407" s="546">
        <v>696.15263300000004</v>
      </c>
    </row>
    <row r="408" spans="2:5" x14ac:dyDescent="0.25">
      <c r="B408" s="545">
        <v>437</v>
      </c>
      <c r="C408" s="553" t="s">
        <v>3350</v>
      </c>
      <c r="D408" s="669" t="s">
        <v>443</v>
      </c>
      <c r="E408" s="546">
        <v>708.52999299999999</v>
      </c>
    </row>
    <row r="409" spans="2:5" x14ac:dyDescent="0.25">
      <c r="B409" s="545">
        <v>439</v>
      </c>
      <c r="C409" s="553" t="s">
        <v>3444</v>
      </c>
      <c r="D409" s="669" t="s">
        <v>443</v>
      </c>
      <c r="E409" s="546">
        <v>713.009094</v>
      </c>
    </row>
    <row r="410" spans="2:5" x14ac:dyDescent="0.25">
      <c r="B410" s="545">
        <v>440</v>
      </c>
      <c r="C410" s="553" t="s">
        <v>3805</v>
      </c>
      <c r="D410" s="669" t="s">
        <v>443</v>
      </c>
      <c r="E410" s="546">
        <v>733.20000200000004</v>
      </c>
    </row>
    <row r="411" spans="2:5" x14ac:dyDescent="0.25">
      <c r="B411" s="545">
        <v>441</v>
      </c>
      <c r="C411" s="553" t="s">
        <v>3828</v>
      </c>
      <c r="D411" s="669" t="s">
        <v>443</v>
      </c>
      <c r="E411" s="546">
        <v>734.53998999999999</v>
      </c>
    </row>
    <row r="412" spans="2:5" x14ac:dyDescent="0.25">
      <c r="B412" s="545">
        <v>442</v>
      </c>
      <c r="C412" s="553" t="s">
        <v>4407</v>
      </c>
      <c r="D412" s="669" t="s">
        <v>443</v>
      </c>
      <c r="E412" s="546">
        <v>773.27499399999999</v>
      </c>
    </row>
    <row r="413" spans="2:5" x14ac:dyDescent="0.25">
      <c r="B413" s="545">
        <v>443</v>
      </c>
      <c r="C413" s="553" t="s">
        <v>1609</v>
      </c>
      <c r="D413" s="669" t="s">
        <v>443</v>
      </c>
      <c r="E413" s="546">
        <v>665.96667500000001</v>
      </c>
    </row>
    <row r="414" spans="2:5" x14ac:dyDescent="0.25">
      <c r="B414" s="545">
        <v>444</v>
      </c>
      <c r="C414" s="553" t="s">
        <v>1800</v>
      </c>
      <c r="D414" s="669" t="s">
        <v>443</v>
      </c>
      <c r="E414" s="546">
        <v>635.97778300000004</v>
      </c>
    </row>
    <row r="415" spans="2:5" x14ac:dyDescent="0.25">
      <c r="B415" s="545">
        <v>445</v>
      </c>
      <c r="C415" s="553" t="s">
        <v>2320</v>
      </c>
      <c r="D415" s="669" t="s">
        <v>443</v>
      </c>
      <c r="E415" s="546">
        <v>658.27778499999999</v>
      </c>
    </row>
    <row r="416" spans="2:5" x14ac:dyDescent="0.25">
      <c r="B416" s="545">
        <v>446</v>
      </c>
      <c r="C416" s="553" t="s">
        <v>7368</v>
      </c>
      <c r="D416" s="669" t="s">
        <v>443</v>
      </c>
      <c r="E416" s="546">
        <v>627.26000399999998</v>
      </c>
    </row>
    <row r="417" spans="2:5" x14ac:dyDescent="0.25">
      <c r="B417" s="545">
        <v>447</v>
      </c>
      <c r="C417" s="553" t="s">
        <v>7367</v>
      </c>
      <c r="D417" s="669" t="s">
        <v>443</v>
      </c>
      <c r="E417" s="546">
        <v>669.10000100000002</v>
      </c>
    </row>
    <row r="418" spans="2:5" x14ac:dyDescent="0.25">
      <c r="B418" s="545">
        <v>448</v>
      </c>
      <c r="C418" s="553" t="s">
        <v>3426</v>
      </c>
      <c r="D418" s="669" t="s">
        <v>443</v>
      </c>
      <c r="E418" s="546">
        <v>712.41333399999996</v>
      </c>
    </row>
    <row r="419" spans="2:5" x14ac:dyDescent="0.25">
      <c r="B419" s="545">
        <v>449</v>
      </c>
      <c r="C419" s="553" t="s">
        <v>2254</v>
      </c>
      <c r="D419" s="669" t="s">
        <v>443</v>
      </c>
      <c r="E419" s="546">
        <v>659.740002</v>
      </c>
    </row>
    <row r="420" spans="2:5" x14ac:dyDescent="0.25">
      <c r="B420" s="545">
        <v>450</v>
      </c>
      <c r="C420" s="553" t="s">
        <v>6892</v>
      </c>
      <c r="D420" s="669" t="s">
        <v>443</v>
      </c>
      <c r="E420" s="546">
        <v>671.46666800000003</v>
      </c>
    </row>
    <row r="421" spans="2:5" x14ac:dyDescent="0.25">
      <c r="B421" s="545">
        <v>451</v>
      </c>
      <c r="C421" s="553" t="s">
        <v>3798</v>
      </c>
      <c r="D421" s="669" t="s">
        <v>443</v>
      </c>
      <c r="E421" s="546">
        <v>732.57777899999996</v>
      </c>
    </row>
    <row r="422" spans="2:5" x14ac:dyDescent="0.25">
      <c r="B422" s="545">
        <v>452</v>
      </c>
      <c r="C422" s="553" t="s">
        <v>6615</v>
      </c>
      <c r="D422" s="669" t="s">
        <v>443</v>
      </c>
      <c r="E422" s="546">
        <v>641.52104699999995</v>
      </c>
    </row>
    <row r="423" spans="2:5" x14ac:dyDescent="0.25">
      <c r="B423" s="545">
        <v>453</v>
      </c>
      <c r="C423" s="553" t="s">
        <v>7404</v>
      </c>
      <c r="D423" s="669" t="s">
        <v>443</v>
      </c>
      <c r="E423" s="546">
        <v>702.03334600000005</v>
      </c>
    </row>
    <row r="424" spans="2:5" x14ac:dyDescent="0.25">
      <c r="B424" s="545">
        <v>454</v>
      </c>
      <c r="C424" s="553" t="s">
        <v>4811</v>
      </c>
      <c r="D424" s="669" t="s">
        <v>443</v>
      </c>
      <c r="E424" s="546">
        <v>804.19999199999995</v>
      </c>
    </row>
    <row r="425" spans="2:5" x14ac:dyDescent="0.25">
      <c r="B425" s="545">
        <v>455</v>
      </c>
      <c r="C425" s="553" t="s">
        <v>3033</v>
      </c>
      <c r="D425" s="669" t="s">
        <v>443</v>
      </c>
      <c r="E425" s="546">
        <v>692.5</v>
      </c>
    </row>
    <row r="426" spans="2:5" x14ac:dyDescent="0.25">
      <c r="B426" s="545">
        <v>456</v>
      </c>
      <c r="C426" s="553" t="s">
        <v>443</v>
      </c>
      <c r="D426" s="669" t="s">
        <v>443</v>
      </c>
      <c r="E426" s="546">
        <v>711.76666599999999</v>
      </c>
    </row>
    <row r="427" spans="2:5" x14ac:dyDescent="0.25">
      <c r="B427" s="545">
        <v>457</v>
      </c>
      <c r="C427" s="553" t="s">
        <v>6702</v>
      </c>
      <c r="D427" s="669" t="s">
        <v>443</v>
      </c>
      <c r="E427" s="546">
        <v>627.25000599999998</v>
      </c>
    </row>
    <row r="428" spans="2:5" x14ac:dyDescent="0.25">
      <c r="B428" s="545">
        <v>458</v>
      </c>
      <c r="C428" s="553" t="s">
        <v>2681</v>
      </c>
      <c r="D428" s="669" t="s">
        <v>443</v>
      </c>
      <c r="E428" s="546">
        <v>675.16666699999996</v>
      </c>
    </row>
    <row r="429" spans="2:5" x14ac:dyDescent="0.25">
      <c r="B429" s="545">
        <v>459</v>
      </c>
      <c r="C429" s="553" t="s">
        <v>2698</v>
      </c>
      <c r="D429" s="669" t="s">
        <v>443</v>
      </c>
      <c r="E429" s="546">
        <v>675.69999499999994</v>
      </c>
    </row>
    <row r="430" spans="2:5" x14ac:dyDescent="0.25">
      <c r="B430" s="545">
        <v>460</v>
      </c>
      <c r="C430" s="553" t="s">
        <v>1786</v>
      </c>
      <c r="D430" s="669" t="s">
        <v>443</v>
      </c>
      <c r="E430" s="546">
        <v>635.55000299999995</v>
      </c>
    </row>
    <row r="431" spans="2:5" x14ac:dyDescent="0.25">
      <c r="B431" s="545">
        <v>461</v>
      </c>
      <c r="C431" s="553" t="s">
        <v>1124</v>
      </c>
      <c r="D431" s="669" t="s">
        <v>443</v>
      </c>
      <c r="E431" s="546">
        <v>748.84999600000003</v>
      </c>
    </row>
    <row r="432" spans="2:5" x14ac:dyDescent="0.25">
      <c r="B432" s="545">
        <v>462</v>
      </c>
      <c r="C432" s="553" t="s">
        <v>4114</v>
      </c>
      <c r="D432" s="669" t="s">
        <v>443</v>
      </c>
      <c r="E432" s="546">
        <v>751.64545199999998</v>
      </c>
    </row>
    <row r="433" spans="2:5" x14ac:dyDescent="0.25">
      <c r="B433" s="545">
        <v>463</v>
      </c>
      <c r="C433" s="553" t="s">
        <v>2436</v>
      </c>
      <c r="D433" s="669" t="s">
        <v>443</v>
      </c>
      <c r="E433" s="546">
        <v>663.76000399999998</v>
      </c>
    </row>
    <row r="434" spans="2:5" x14ac:dyDescent="0.25">
      <c r="B434" s="545">
        <v>464</v>
      </c>
      <c r="C434" s="553" t="s">
        <v>4110</v>
      </c>
      <c r="D434" s="669" t="s">
        <v>443</v>
      </c>
      <c r="E434" s="546">
        <v>751.36363600000004</v>
      </c>
    </row>
    <row r="435" spans="2:5" x14ac:dyDescent="0.25">
      <c r="B435" s="545">
        <v>465</v>
      </c>
      <c r="C435" s="553" t="s">
        <v>2850</v>
      </c>
      <c r="D435" s="669" t="s">
        <v>443</v>
      </c>
      <c r="E435" s="546">
        <v>683.95714499999997</v>
      </c>
    </row>
    <row r="436" spans="2:5" x14ac:dyDescent="0.25">
      <c r="B436" s="545">
        <v>466</v>
      </c>
      <c r="C436" s="553" t="s">
        <v>2665</v>
      </c>
      <c r="D436" s="669" t="s">
        <v>443</v>
      </c>
      <c r="E436" s="546">
        <v>674.4</v>
      </c>
    </row>
    <row r="437" spans="2:5" x14ac:dyDescent="0.25">
      <c r="B437" s="545">
        <v>467</v>
      </c>
      <c r="C437" s="553" t="s">
        <v>5441</v>
      </c>
      <c r="D437" s="669" t="s">
        <v>443</v>
      </c>
      <c r="E437" s="546">
        <v>886.43332899999996</v>
      </c>
    </row>
    <row r="438" spans="2:5" x14ac:dyDescent="0.25">
      <c r="B438" s="545">
        <v>468</v>
      </c>
      <c r="C438" s="553" t="s">
        <v>4457</v>
      </c>
      <c r="D438" s="669" t="s">
        <v>443</v>
      </c>
      <c r="E438" s="546">
        <v>777.30000199999995</v>
      </c>
    </row>
    <row r="439" spans="2:5" x14ac:dyDescent="0.25">
      <c r="B439" s="545">
        <v>469</v>
      </c>
      <c r="C439" s="553" t="s">
        <v>2545</v>
      </c>
      <c r="D439" s="669" t="s">
        <v>443</v>
      </c>
      <c r="E439" s="546">
        <v>668.28332999999998</v>
      </c>
    </row>
    <row r="440" spans="2:5" x14ac:dyDescent="0.25">
      <c r="B440" s="545">
        <v>470</v>
      </c>
      <c r="C440" s="553" t="s">
        <v>3341</v>
      </c>
      <c r="D440" s="669" t="s">
        <v>443</v>
      </c>
      <c r="E440" s="546">
        <v>707.74443900000006</v>
      </c>
    </row>
    <row r="441" spans="2:5" x14ac:dyDescent="0.25">
      <c r="B441" s="545">
        <v>471</v>
      </c>
      <c r="C441" s="553" t="s">
        <v>2166</v>
      </c>
      <c r="D441" s="669" t="s">
        <v>443</v>
      </c>
      <c r="E441" s="546">
        <v>651.47997999999995</v>
      </c>
    </row>
    <row r="442" spans="2:5" x14ac:dyDescent="0.25">
      <c r="B442" s="545">
        <v>472</v>
      </c>
      <c r="C442" s="553" t="s">
        <v>2325</v>
      </c>
      <c r="D442" s="669" t="s">
        <v>443</v>
      </c>
      <c r="E442" s="546">
        <v>658.77778499999999</v>
      </c>
    </row>
    <row r="443" spans="2:5" x14ac:dyDescent="0.25">
      <c r="B443" s="545">
        <v>473</v>
      </c>
      <c r="C443" s="553" t="s">
        <v>2984</v>
      </c>
      <c r="D443" s="669" t="s">
        <v>443</v>
      </c>
      <c r="E443" s="546">
        <v>689.74284999999998</v>
      </c>
    </row>
    <row r="444" spans="2:5" x14ac:dyDescent="0.25">
      <c r="B444" s="545">
        <v>474</v>
      </c>
      <c r="C444" s="553" t="s">
        <v>4779</v>
      </c>
      <c r="D444" s="669" t="s">
        <v>443</v>
      </c>
      <c r="E444" s="546">
        <v>802.12963200000002</v>
      </c>
    </row>
    <row r="445" spans="2:5" x14ac:dyDescent="0.25">
      <c r="B445" s="545">
        <v>475</v>
      </c>
      <c r="C445" s="553" t="s">
        <v>3448</v>
      </c>
      <c r="D445" s="669" t="s">
        <v>443</v>
      </c>
      <c r="E445" s="546">
        <v>713.19999299999995</v>
      </c>
    </row>
    <row r="446" spans="2:5" x14ac:dyDescent="0.25">
      <c r="B446" s="545">
        <v>476</v>
      </c>
      <c r="C446" s="553" t="s">
        <v>4321</v>
      </c>
      <c r="D446" s="669" t="s">
        <v>443</v>
      </c>
      <c r="E446" s="546">
        <v>766.26248899999996</v>
      </c>
    </row>
    <row r="447" spans="2:5" x14ac:dyDescent="0.25">
      <c r="B447" s="545">
        <v>477</v>
      </c>
      <c r="C447" s="553" t="s">
        <v>4238</v>
      </c>
      <c r="D447" s="669" t="s">
        <v>443</v>
      </c>
      <c r="E447" s="546">
        <v>760.21334200000001</v>
      </c>
    </row>
    <row r="448" spans="2:5" x14ac:dyDescent="0.25">
      <c r="B448" s="545">
        <v>478</v>
      </c>
      <c r="C448" s="553" t="s">
        <v>4728</v>
      </c>
      <c r="D448" s="669" t="s">
        <v>443</v>
      </c>
      <c r="E448" s="546">
        <v>798.46666500000003</v>
      </c>
    </row>
    <row r="449" spans="2:5" x14ac:dyDescent="0.25">
      <c r="B449" s="545">
        <v>479</v>
      </c>
      <c r="C449" s="553" t="s">
        <v>2973</v>
      </c>
      <c r="D449" s="669" t="s">
        <v>443</v>
      </c>
      <c r="E449" s="546">
        <v>688.95001200000002</v>
      </c>
    </row>
    <row r="450" spans="2:5" x14ac:dyDescent="0.25">
      <c r="B450" s="545">
        <v>480</v>
      </c>
      <c r="C450" s="553" t="s">
        <v>4223</v>
      </c>
      <c r="D450" s="669" t="s">
        <v>443</v>
      </c>
      <c r="E450" s="546">
        <v>759.39998400000002</v>
      </c>
    </row>
    <row r="451" spans="2:5" x14ac:dyDescent="0.25">
      <c r="B451" s="545">
        <v>501</v>
      </c>
      <c r="C451" s="553" t="s">
        <v>6613</v>
      </c>
      <c r="D451" s="669" t="s">
        <v>444</v>
      </c>
      <c r="E451" s="546">
        <v>847.92400399999997</v>
      </c>
    </row>
    <row r="452" spans="2:5" x14ac:dyDescent="0.25">
      <c r="B452" s="545">
        <v>502</v>
      </c>
      <c r="C452" s="553" t="s">
        <v>3049</v>
      </c>
      <c r="D452" s="669" t="s">
        <v>444</v>
      </c>
      <c r="E452" s="546">
        <v>693.60908600000005</v>
      </c>
    </row>
    <row r="453" spans="2:5" x14ac:dyDescent="0.25">
      <c r="B453" s="545">
        <v>503</v>
      </c>
      <c r="C453" s="553" t="s">
        <v>4468</v>
      </c>
      <c r="D453" s="669" t="s">
        <v>444</v>
      </c>
      <c r="E453" s="546">
        <v>778.04583000000002</v>
      </c>
    </row>
    <row r="454" spans="2:5" x14ac:dyDescent="0.25">
      <c r="B454" s="545">
        <v>504</v>
      </c>
      <c r="C454" s="553" t="s">
        <v>3178</v>
      </c>
      <c r="D454" s="669" t="s">
        <v>444</v>
      </c>
      <c r="E454" s="546">
        <v>700.10714700000005</v>
      </c>
    </row>
    <row r="455" spans="2:5" x14ac:dyDescent="0.25">
      <c r="B455" s="545">
        <v>505</v>
      </c>
      <c r="C455" s="553" t="s">
        <v>4177</v>
      </c>
      <c r="D455" s="669" t="s">
        <v>444</v>
      </c>
      <c r="E455" s="546">
        <v>755.736356</v>
      </c>
    </row>
    <row r="456" spans="2:5" x14ac:dyDescent="0.25">
      <c r="B456" s="545">
        <v>506</v>
      </c>
      <c r="C456" s="553" t="s">
        <v>4818</v>
      </c>
      <c r="D456" s="669" t="s">
        <v>444</v>
      </c>
      <c r="E456" s="546">
        <v>804.95769299999995</v>
      </c>
    </row>
    <row r="457" spans="2:5" x14ac:dyDescent="0.25">
      <c r="B457" s="545">
        <v>507</v>
      </c>
      <c r="C457" s="553" t="s">
        <v>4018</v>
      </c>
      <c r="D457" s="669" t="s">
        <v>444</v>
      </c>
      <c r="E457" s="546">
        <v>746.07692399999996</v>
      </c>
    </row>
    <row r="458" spans="2:5" x14ac:dyDescent="0.25">
      <c r="B458" s="545">
        <v>508</v>
      </c>
      <c r="C458" s="553" t="s">
        <v>5563</v>
      </c>
      <c r="D458" s="669" t="s">
        <v>444</v>
      </c>
      <c r="E458" s="546">
        <v>906.52220999999997</v>
      </c>
    </row>
    <row r="459" spans="2:5" x14ac:dyDescent="0.25">
      <c r="B459" s="545">
        <v>509</v>
      </c>
      <c r="C459" s="553" t="s">
        <v>5566</v>
      </c>
      <c r="D459" s="669" t="s">
        <v>444</v>
      </c>
      <c r="E459" s="546">
        <v>906.79998799999998</v>
      </c>
    </row>
    <row r="460" spans="2:5" x14ac:dyDescent="0.25">
      <c r="B460" s="545">
        <v>510</v>
      </c>
      <c r="C460" s="553" t="s">
        <v>3824</v>
      </c>
      <c r="D460" s="669" t="s">
        <v>444</v>
      </c>
      <c r="E460" s="546">
        <v>734.06154200000003</v>
      </c>
    </row>
    <row r="461" spans="2:5" x14ac:dyDescent="0.25">
      <c r="B461" s="545">
        <v>511</v>
      </c>
      <c r="C461" s="553" t="s">
        <v>3176</v>
      </c>
      <c r="D461" s="669" t="s">
        <v>444</v>
      </c>
      <c r="E461" s="546">
        <v>700.08571099999995</v>
      </c>
    </row>
    <row r="462" spans="2:5" x14ac:dyDescent="0.25">
      <c r="B462" s="545">
        <v>512</v>
      </c>
      <c r="C462" s="553" t="s">
        <v>7603</v>
      </c>
      <c r="D462" s="669" t="s">
        <v>444</v>
      </c>
      <c r="E462" s="546">
        <v>682.98749499999997</v>
      </c>
    </row>
    <row r="463" spans="2:5" x14ac:dyDescent="0.25">
      <c r="B463" s="545">
        <v>513</v>
      </c>
      <c r="C463" s="553" t="s">
        <v>2110</v>
      </c>
      <c r="D463" s="669" t="s">
        <v>444</v>
      </c>
      <c r="E463" s="546">
        <v>648.99998800000003</v>
      </c>
    </row>
    <row r="464" spans="2:5" x14ac:dyDescent="0.25">
      <c r="B464" s="545">
        <v>514</v>
      </c>
      <c r="C464" s="553" t="s">
        <v>6834</v>
      </c>
      <c r="D464" s="669" t="s">
        <v>444</v>
      </c>
      <c r="E464" s="546">
        <v>660.05908999999997</v>
      </c>
    </row>
    <row r="465" spans="2:5" x14ac:dyDescent="0.25">
      <c r="B465" s="545">
        <v>515</v>
      </c>
      <c r="C465" s="553" t="s">
        <v>1519</v>
      </c>
      <c r="D465" s="669" t="s">
        <v>444</v>
      </c>
      <c r="E465" s="546">
        <v>621.58332299999995</v>
      </c>
    </row>
    <row r="466" spans="2:5" x14ac:dyDescent="0.25">
      <c r="B466" s="545">
        <v>516</v>
      </c>
      <c r="C466" s="553" t="s">
        <v>7577</v>
      </c>
      <c r="D466" s="669" t="s">
        <v>444</v>
      </c>
      <c r="E466" s="546">
        <v>627.21666500000003</v>
      </c>
    </row>
    <row r="467" spans="2:5" x14ac:dyDescent="0.25">
      <c r="B467" s="545">
        <v>517</v>
      </c>
      <c r="C467" s="553" t="s">
        <v>2856</v>
      </c>
      <c r="D467" s="669" t="s">
        <v>444</v>
      </c>
      <c r="E467" s="546">
        <v>684.14000199999998</v>
      </c>
    </row>
    <row r="468" spans="2:5" x14ac:dyDescent="0.25">
      <c r="B468" s="545">
        <v>518</v>
      </c>
      <c r="C468" s="553" t="s">
        <v>2420</v>
      </c>
      <c r="D468" s="669" t="s">
        <v>444</v>
      </c>
      <c r="E468" s="546">
        <v>663.19999199999995</v>
      </c>
    </row>
    <row r="469" spans="2:5" x14ac:dyDescent="0.25">
      <c r="B469" s="545">
        <v>519</v>
      </c>
      <c r="C469" s="553" t="s">
        <v>2575</v>
      </c>
      <c r="D469" s="669" t="s">
        <v>444</v>
      </c>
      <c r="E469" s="546">
        <v>669.36363100000005</v>
      </c>
    </row>
    <row r="470" spans="2:5" x14ac:dyDescent="0.25">
      <c r="B470" s="545">
        <v>520</v>
      </c>
      <c r="C470" s="553" t="s">
        <v>7022</v>
      </c>
      <c r="D470" s="669" t="s">
        <v>444</v>
      </c>
      <c r="E470" s="546">
        <v>659.88570700000002</v>
      </c>
    </row>
    <row r="471" spans="2:5" x14ac:dyDescent="0.25">
      <c r="B471" s="545">
        <v>521</v>
      </c>
      <c r="C471" s="553" t="s">
        <v>5655</v>
      </c>
      <c r="D471" s="669" t="s">
        <v>444</v>
      </c>
      <c r="E471" s="546">
        <v>925.52499399999999</v>
      </c>
    </row>
    <row r="472" spans="2:5" x14ac:dyDescent="0.25">
      <c r="B472" s="545">
        <v>522</v>
      </c>
      <c r="C472" s="553" t="s">
        <v>5570</v>
      </c>
      <c r="D472" s="669" t="s">
        <v>444</v>
      </c>
      <c r="E472" s="546">
        <v>907.08000100000004</v>
      </c>
    </row>
    <row r="473" spans="2:5" x14ac:dyDescent="0.25">
      <c r="B473" s="545">
        <v>523</v>
      </c>
      <c r="C473" s="553" t="s">
        <v>5262</v>
      </c>
      <c r="D473" s="669" t="s">
        <v>444</v>
      </c>
      <c r="E473" s="546">
        <v>855.38333499999999</v>
      </c>
    </row>
    <row r="474" spans="2:5" x14ac:dyDescent="0.25">
      <c r="B474" s="545">
        <v>524</v>
      </c>
      <c r="C474" s="553" t="s">
        <v>5732</v>
      </c>
      <c r="D474" s="669" t="s">
        <v>444</v>
      </c>
      <c r="E474" s="546">
        <v>948.39999399999999</v>
      </c>
    </row>
    <row r="475" spans="2:5" x14ac:dyDescent="0.25">
      <c r="B475" s="545">
        <v>525</v>
      </c>
      <c r="C475" s="553" t="s">
        <v>7414</v>
      </c>
      <c r="D475" s="669" t="s">
        <v>444</v>
      </c>
      <c r="E475" s="546">
        <v>903.42777799999999</v>
      </c>
    </row>
    <row r="476" spans="2:5" x14ac:dyDescent="0.25">
      <c r="B476" s="545">
        <v>526</v>
      </c>
      <c r="C476" s="553" t="s">
        <v>7413</v>
      </c>
      <c r="D476" s="669" t="s">
        <v>444</v>
      </c>
      <c r="E476" s="546">
        <v>947.59999100000005</v>
      </c>
    </row>
    <row r="477" spans="2:5" x14ac:dyDescent="0.25">
      <c r="B477" s="545">
        <v>527</v>
      </c>
      <c r="C477" s="553" t="s">
        <v>4399</v>
      </c>
      <c r="D477" s="669" t="s">
        <v>444</v>
      </c>
      <c r="E477" s="546">
        <v>772.088888</v>
      </c>
    </row>
    <row r="478" spans="2:5" x14ac:dyDescent="0.25">
      <c r="B478" s="545">
        <v>528</v>
      </c>
      <c r="C478" s="553" t="s">
        <v>3912</v>
      </c>
      <c r="D478" s="669" t="s">
        <v>444</v>
      </c>
      <c r="E478" s="546">
        <v>739.69285400000001</v>
      </c>
    </row>
    <row r="479" spans="2:5" x14ac:dyDescent="0.25">
      <c r="B479" s="545">
        <v>529</v>
      </c>
      <c r="C479" s="553" t="s">
        <v>1949</v>
      </c>
      <c r="D479" s="669" t="s">
        <v>444</v>
      </c>
      <c r="E479" s="546">
        <v>669.51428199999998</v>
      </c>
    </row>
    <row r="480" spans="2:5" x14ac:dyDescent="0.25">
      <c r="B480" s="545">
        <v>530</v>
      </c>
      <c r="C480" s="553" t="s">
        <v>6478</v>
      </c>
      <c r="D480" s="669" t="s">
        <v>444</v>
      </c>
      <c r="E480" s="546">
        <v>658.42000700000006</v>
      </c>
    </row>
    <row r="481" spans="2:5" x14ac:dyDescent="0.25">
      <c r="B481" s="545">
        <v>531</v>
      </c>
      <c r="C481" s="553" t="s">
        <v>6973</v>
      </c>
      <c r="D481" s="669" t="s">
        <v>444</v>
      </c>
      <c r="E481" s="546">
        <v>651.25000799999998</v>
      </c>
    </row>
    <row r="482" spans="2:5" x14ac:dyDescent="0.25">
      <c r="B482" s="545">
        <v>532</v>
      </c>
      <c r="C482" s="553" t="s">
        <v>1834</v>
      </c>
      <c r="D482" s="669" t="s">
        <v>444</v>
      </c>
      <c r="E482" s="546">
        <v>637.21000400000003</v>
      </c>
    </row>
    <row r="483" spans="2:5" x14ac:dyDescent="0.25">
      <c r="B483" s="545">
        <v>533</v>
      </c>
      <c r="C483" s="553" t="s">
        <v>5429</v>
      </c>
      <c r="D483" s="669" t="s">
        <v>444</v>
      </c>
      <c r="E483" s="546">
        <v>884.28571399999998</v>
      </c>
    </row>
    <row r="484" spans="2:5" x14ac:dyDescent="0.25">
      <c r="B484" s="545">
        <v>534</v>
      </c>
      <c r="C484" s="553" t="s">
        <v>6742</v>
      </c>
      <c r="D484" s="669" t="s">
        <v>444</v>
      </c>
      <c r="E484" s="546">
        <v>859.73999000000003</v>
      </c>
    </row>
    <row r="485" spans="2:5" x14ac:dyDescent="0.25">
      <c r="B485" s="545">
        <v>535</v>
      </c>
      <c r="C485" s="553" t="s">
        <v>5171</v>
      </c>
      <c r="D485" s="669" t="s">
        <v>444</v>
      </c>
      <c r="E485" s="546">
        <v>840.76666299999999</v>
      </c>
    </row>
    <row r="486" spans="2:5" x14ac:dyDescent="0.25">
      <c r="B486" s="545">
        <v>536</v>
      </c>
      <c r="C486" s="553" t="s">
        <v>5338</v>
      </c>
      <c r="D486" s="669" t="s">
        <v>444</v>
      </c>
      <c r="E486" s="546">
        <v>868.80000399999994</v>
      </c>
    </row>
    <row r="487" spans="2:5" x14ac:dyDescent="0.25">
      <c r="B487" s="545">
        <v>537</v>
      </c>
      <c r="C487" s="553" t="s">
        <v>4948</v>
      </c>
      <c r="D487" s="669" t="s">
        <v>444</v>
      </c>
      <c r="E487" s="546">
        <v>816.37999300000001</v>
      </c>
    </row>
    <row r="488" spans="2:5" x14ac:dyDescent="0.25">
      <c r="B488" s="545">
        <v>538</v>
      </c>
      <c r="C488" s="553" t="s">
        <v>4644</v>
      </c>
      <c r="D488" s="669" t="s">
        <v>444</v>
      </c>
      <c r="E488" s="546">
        <v>791.92220699999996</v>
      </c>
    </row>
    <row r="489" spans="2:5" x14ac:dyDescent="0.25">
      <c r="B489" s="545">
        <v>539</v>
      </c>
      <c r="C489" s="553" t="s">
        <v>2941</v>
      </c>
      <c r="D489" s="669" t="s">
        <v>444</v>
      </c>
      <c r="E489" s="546">
        <v>687.48751100000004</v>
      </c>
    </row>
    <row r="490" spans="2:5" x14ac:dyDescent="0.25">
      <c r="B490" s="545">
        <v>540</v>
      </c>
      <c r="C490" s="553" t="s">
        <v>1305</v>
      </c>
      <c r="D490" s="669" t="s">
        <v>444</v>
      </c>
      <c r="E490" s="546">
        <v>610.00000999999997</v>
      </c>
    </row>
    <row r="491" spans="2:5" x14ac:dyDescent="0.25">
      <c r="B491" s="545">
        <v>541</v>
      </c>
      <c r="C491" s="553" t="s">
        <v>1143</v>
      </c>
      <c r="D491" s="669" t="s">
        <v>444</v>
      </c>
      <c r="E491" s="546">
        <v>600.34997599999997</v>
      </c>
    </row>
    <row r="492" spans="2:5" x14ac:dyDescent="0.25">
      <c r="B492" s="545">
        <v>542</v>
      </c>
      <c r="C492" s="553" t="s">
        <v>2487</v>
      </c>
      <c r="D492" s="669" t="s">
        <v>444</v>
      </c>
      <c r="E492" s="546">
        <v>665.30000500000006</v>
      </c>
    </row>
    <row r="493" spans="2:5" x14ac:dyDescent="0.25">
      <c r="B493" s="545">
        <v>543</v>
      </c>
      <c r="C493" s="553" t="s">
        <v>1038</v>
      </c>
      <c r="D493" s="669" t="s">
        <v>444</v>
      </c>
      <c r="E493" s="546">
        <v>592.45001200000002</v>
      </c>
    </row>
    <row r="494" spans="2:5" x14ac:dyDescent="0.25">
      <c r="B494" s="545">
        <v>544</v>
      </c>
      <c r="C494" s="553" t="s">
        <v>6818</v>
      </c>
      <c r="D494" s="669" t="s">
        <v>444</v>
      </c>
      <c r="E494" s="546">
        <v>620.49999200000002</v>
      </c>
    </row>
    <row r="495" spans="2:5" x14ac:dyDescent="0.25">
      <c r="B495" s="545">
        <v>545</v>
      </c>
      <c r="C495" s="553" t="s">
        <v>1731</v>
      </c>
      <c r="D495" s="669" t="s">
        <v>444</v>
      </c>
      <c r="E495" s="546">
        <v>633.625</v>
      </c>
    </row>
    <row r="496" spans="2:5" x14ac:dyDescent="0.25">
      <c r="B496" s="545">
        <v>546</v>
      </c>
      <c r="C496" s="553" t="s">
        <v>6513</v>
      </c>
      <c r="D496" s="669" t="s">
        <v>444</v>
      </c>
      <c r="E496" s="546">
        <v>624.28000499999996</v>
      </c>
    </row>
    <row r="497" spans="2:5" x14ac:dyDescent="0.25">
      <c r="B497" s="545">
        <v>547</v>
      </c>
      <c r="C497" s="553" t="s">
        <v>7229</v>
      </c>
      <c r="D497" s="669" t="s">
        <v>444</v>
      </c>
      <c r="E497" s="546">
        <v>616.30001200000004</v>
      </c>
    </row>
    <row r="498" spans="2:5" x14ac:dyDescent="0.25">
      <c r="B498" s="545">
        <v>548</v>
      </c>
      <c r="C498" s="553" t="s">
        <v>6609</v>
      </c>
      <c r="D498" s="669" t="s">
        <v>444</v>
      </c>
      <c r="E498" s="546">
        <v>655.64999399999999</v>
      </c>
    </row>
    <row r="499" spans="2:5" x14ac:dyDescent="0.25">
      <c r="B499" s="545">
        <v>549</v>
      </c>
      <c r="C499" s="553" t="s">
        <v>1743</v>
      </c>
      <c r="D499" s="669" t="s">
        <v>444</v>
      </c>
      <c r="E499" s="546">
        <v>633.822225</v>
      </c>
    </row>
    <row r="500" spans="2:5" x14ac:dyDescent="0.25">
      <c r="B500" s="545">
        <v>550</v>
      </c>
      <c r="C500" s="553" t="s">
        <v>1636</v>
      </c>
      <c r="D500" s="669" t="s">
        <v>444</v>
      </c>
      <c r="E500" s="546">
        <v>628.21111399999995</v>
      </c>
    </row>
    <row r="501" spans="2:5" x14ac:dyDescent="0.25">
      <c r="B501" s="545">
        <v>551</v>
      </c>
      <c r="C501" s="553" t="s">
        <v>6741</v>
      </c>
      <c r="D501" s="669" t="s">
        <v>444</v>
      </c>
      <c r="E501" s="546">
        <v>912.97826399999997</v>
      </c>
    </row>
    <row r="502" spans="2:5" x14ac:dyDescent="0.25">
      <c r="B502" s="545">
        <v>552</v>
      </c>
      <c r="C502" s="553" t="s">
        <v>5576</v>
      </c>
      <c r="D502" s="669" t="s">
        <v>444</v>
      </c>
      <c r="E502" s="546">
        <v>907.79998799999998</v>
      </c>
    </row>
    <row r="503" spans="2:5" x14ac:dyDescent="0.25">
      <c r="B503" s="545">
        <v>553</v>
      </c>
      <c r="C503" s="553" t="s">
        <v>1313</v>
      </c>
      <c r="D503" s="669" t="s">
        <v>444</v>
      </c>
      <c r="E503" s="546">
        <v>855</v>
      </c>
    </row>
    <row r="504" spans="2:5" x14ac:dyDescent="0.25">
      <c r="B504" s="545">
        <v>554</v>
      </c>
      <c r="C504" s="553" t="s">
        <v>4486</v>
      </c>
      <c r="D504" s="669" t="s">
        <v>444</v>
      </c>
      <c r="E504" s="546">
        <v>778.97999300000004</v>
      </c>
    </row>
    <row r="505" spans="2:5" x14ac:dyDescent="0.25">
      <c r="B505" s="545">
        <v>555</v>
      </c>
      <c r="C505" s="553" t="s">
        <v>5048</v>
      </c>
      <c r="D505" s="669" t="s">
        <v>444</v>
      </c>
      <c r="E505" s="546">
        <v>828.18000500000005</v>
      </c>
    </row>
    <row r="506" spans="2:5" x14ac:dyDescent="0.25">
      <c r="B506" s="545">
        <v>556</v>
      </c>
      <c r="C506" s="553" t="s">
        <v>4535</v>
      </c>
      <c r="D506" s="669" t="s">
        <v>444</v>
      </c>
      <c r="E506" s="546">
        <v>782.52857300000005</v>
      </c>
    </row>
    <row r="507" spans="2:5" x14ac:dyDescent="0.25">
      <c r="B507" s="545">
        <v>557</v>
      </c>
      <c r="C507" s="553" t="s">
        <v>1440</v>
      </c>
      <c r="D507" s="669" t="s">
        <v>444</v>
      </c>
      <c r="E507" s="546">
        <v>689.73332700000003</v>
      </c>
    </row>
    <row r="508" spans="2:5" x14ac:dyDescent="0.25">
      <c r="B508" s="545">
        <v>558</v>
      </c>
      <c r="C508" s="553" t="s">
        <v>4289</v>
      </c>
      <c r="D508" s="669" t="s">
        <v>444</v>
      </c>
      <c r="E508" s="546">
        <v>763.70908999999995</v>
      </c>
    </row>
    <row r="509" spans="2:5" x14ac:dyDescent="0.25">
      <c r="B509" s="545">
        <v>559</v>
      </c>
      <c r="C509" s="553" t="s">
        <v>2360</v>
      </c>
      <c r="D509" s="669" t="s">
        <v>444</v>
      </c>
      <c r="E509" s="546">
        <v>660.29998799999998</v>
      </c>
    </row>
    <row r="510" spans="2:5" x14ac:dyDescent="0.25">
      <c r="B510" s="545">
        <v>560</v>
      </c>
      <c r="C510" s="553" t="s">
        <v>1042</v>
      </c>
      <c r="D510" s="669" t="s">
        <v>444</v>
      </c>
      <c r="E510" s="546">
        <v>677.03999599999997</v>
      </c>
    </row>
    <row r="511" spans="2:5" x14ac:dyDescent="0.25">
      <c r="B511" s="545">
        <v>561</v>
      </c>
      <c r="C511" s="553" t="s">
        <v>2889</v>
      </c>
      <c r="D511" s="669" t="s">
        <v>444</v>
      </c>
      <c r="E511" s="546">
        <v>685.51429099999996</v>
      </c>
    </row>
    <row r="512" spans="2:5" x14ac:dyDescent="0.25">
      <c r="B512" s="545">
        <v>562</v>
      </c>
      <c r="C512" s="553" t="s">
        <v>2304</v>
      </c>
      <c r="D512" s="669" t="s">
        <v>444</v>
      </c>
      <c r="E512" s="546">
        <v>657.61818600000004</v>
      </c>
    </row>
    <row r="513" spans="2:5" x14ac:dyDescent="0.25">
      <c r="B513" s="545">
        <v>563</v>
      </c>
      <c r="C513" s="553" t="s">
        <v>963</v>
      </c>
      <c r="D513" s="669" t="s">
        <v>444</v>
      </c>
      <c r="E513" s="546">
        <v>661.60000600000001</v>
      </c>
    </row>
    <row r="514" spans="2:5" x14ac:dyDescent="0.25">
      <c r="B514" s="545">
        <v>564</v>
      </c>
      <c r="C514" s="553" t="s">
        <v>2869</v>
      </c>
      <c r="D514" s="669" t="s">
        <v>444</v>
      </c>
      <c r="E514" s="546">
        <v>684.77726900000005</v>
      </c>
    </row>
    <row r="515" spans="2:5" x14ac:dyDescent="0.25">
      <c r="B515" s="545">
        <v>565</v>
      </c>
      <c r="C515" s="553" t="s">
        <v>2086</v>
      </c>
      <c r="D515" s="669" t="s">
        <v>444</v>
      </c>
      <c r="E515" s="546">
        <v>647.55001200000004</v>
      </c>
    </row>
    <row r="516" spans="2:5" x14ac:dyDescent="0.25">
      <c r="B516" s="545">
        <v>566</v>
      </c>
      <c r="C516" s="553" t="s">
        <v>1308</v>
      </c>
      <c r="D516" s="669" t="s">
        <v>444</v>
      </c>
      <c r="E516" s="546">
        <v>610.29998799999998</v>
      </c>
    </row>
    <row r="517" spans="2:5" x14ac:dyDescent="0.25">
      <c r="B517" s="545">
        <v>567</v>
      </c>
      <c r="C517" s="553" t="s">
        <v>1873</v>
      </c>
      <c r="D517" s="669" t="s">
        <v>444</v>
      </c>
      <c r="E517" s="546">
        <v>638.771432</v>
      </c>
    </row>
    <row r="518" spans="2:5" x14ac:dyDescent="0.25">
      <c r="B518" s="545">
        <v>568</v>
      </c>
      <c r="C518" s="553" t="s">
        <v>1524</v>
      </c>
      <c r="D518" s="669" t="s">
        <v>444</v>
      </c>
      <c r="E518" s="546">
        <v>621.67271800000003</v>
      </c>
    </row>
    <row r="519" spans="2:5" x14ac:dyDescent="0.25">
      <c r="B519" s="545">
        <v>569</v>
      </c>
      <c r="C519" s="553" t="s">
        <v>7200</v>
      </c>
      <c r="D519" s="669" t="s">
        <v>444</v>
      </c>
      <c r="E519" s="546">
        <v>634.86665900000003</v>
      </c>
    </row>
    <row r="520" spans="2:5" x14ac:dyDescent="0.25">
      <c r="B520" s="545">
        <v>570</v>
      </c>
      <c r="C520" s="553" t="s">
        <v>1164</v>
      </c>
      <c r="D520" s="669" t="s">
        <v>444</v>
      </c>
      <c r="E520" s="546">
        <v>602.03077099999996</v>
      </c>
    </row>
    <row r="521" spans="2:5" x14ac:dyDescent="0.25">
      <c r="B521" s="545">
        <v>571</v>
      </c>
      <c r="C521" s="553" t="s">
        <v>2254</v>
      </c>
      <c r="D521" s="669" t="s">
        <v>444</v>
      </c>
      <c r="E521" s="546">
        <v>655.46364000000005</v>
      </c>
    </row>
    <row r="522" spans="2:5" x14ac:dyDescent="0.25">
      <c r="B522" s="545">
        <v>572</v>
      </c>
      <c r="C522" s="553" t="s">
        <v>6990</v>
      </c>
      <c r="D522" s="669" t="s">
        <v>444</v>
      </c>
      <c r="E522" s="546">
        <v>670.75000999999997</v>
      </c>
    </row>
    <row r="523" spans="2:5" x14ac:dyDescent="0.25">
      <c r="B523" s="545">
        <v>573</v>
      </c>
      <c r="C523" s="553" t="s">
        <v>1869</v>
      </c>
      <c r="D523" s="669" t="s">
        <v>444</v>
      </c>
      <c r="E523" s="546">
        <v>638.67692199999999</v>
      </c>
    </row>
    <row r="524" spans="2:5" x14ac:dyDescent="0.25">
      <c r="B524" s="545">
        <v>574</v>
      </c>
      <c r="C524" s="553" t="s">
        <v>6771</v>
      </c>
      <c r="D524" s="669" t="s">
        <v>444</v>
      </c>
      <c r="E524" s="546">
        <v>810.67058799999995</v>
      </c>
    </row>
    <row r="525" spans="2:5" x14ac:dyDescent="0.25">
      <c r="B525" s="545">
        <v>575</v>
      </c>
      <c r="C525" s="553" t="s">
        <v>5068</v>
      </c>
      <c r="D525" s="669" t="s">
        <v>444</v>
      </c>
      <c r="E525" s="546">
        <v>830.370588</v>
      </c>
    </row>
    <row r="526" spans="2:5" x14ac:dyDescent="0.25">
      <c r="B526" s="545">
        <v>576</v>
      </c>
      <c r="C526" s="553" t="s">
        <v>3415</v>
      </c>
      <c r="D526" s="669" t="s">
        <v>444</v>
      </c>
      <c r="E526" s="546">
        <v>712.10000600000001</v>
      </c>
    </row>
    <row r="527" spans="2:5" x14ac:dyDescent="0.25">
      <c r="B527" s="545">
        <v>577</v>
      </c>
      <c r="C527" s="553" t="s">
        <v>418</v>
      </c>
      <c r="D527" s="669" t="s">
        <v>444</v>
      </c>
      <c r="E527" s="546">
        <v>711.63750500000003</v>
      </c>
    </row>
    <row r="528" spans="2:5" x14ac:dyDescent="0.25">
      <c r="B528" s="545">
        <v>578</v>
      </c>
      <c r="C528" s="553" t="s">
        <v>3278</v>
      </c>
      <c r="D528" s="669" t="s">
        <v>444</v>
      </c>
      <c r="E528" s="546">
        <v>704.53750600000001</v>
      </c>
    </row>
    <row r="529" spans="2:5" x14ac:dyDescent="0.25">
      <c r="B529" s="545">
        <v>579</v>
      </c>
      <c r="C529" s="553" t="s">
        <v>2569</v>
      </c>
      <c r="D529" s="669" t="s">
        <v>444</v>
      </c>
      <c r="E529" s="546">
        <v>669.05001800000002</v>
      </c>
    </row>
    <row r="530" spans="2:5" x14ac:dyDescent="0.25">
      <c r="B530" s="545">
        <v>580</v>
      </c>
      <c r="C530" s="553" t="s">
        <v>4149</v>
      </c>
      <c r="D530" s="669" t="s">
        <v>444</v>
      </c>
      <c r="E530" s="546">
        <v>753.98333700000001</v>
      </c>
    </row>
    <row r="531" spans="2:5" x14ac:dyDescent="0.25">
      <c r="B531" s="545">
        <v>581</v>
      </c>
      <c r="C531" s="553" t="s">
        <v>4616</v>
      </c>
      <c r="D531" s="669" t="s">
        <v>444</v>
      </c>
      <c r="E531" s="546">
        <v>789.21999500000004</v>
      </c>
    </row>
    <row r="532" spans="2:5" x14ac:dyDescent="0.25">
      <c r="B532" s="545">
        <v>582</v>
      </c>
      <c r="C532" s="553" t="s">
        <v>3205</v>
      </c>
      <c r="D532" s="669" t="s">
        <v>444</v>
      </c>
      <c r="E532" s="546">
        <v>701.35000600000001</v>
      </c>
    </row>
    <row r="533" spans="2:5" x14ac:dyDescent="0.25">
      <c r="B533" s="545">
        <v>583</v>
      </c>
      <c r="C533" s="553" t="s">
        <v>2769</v>
      </c>
      <c r="D533" s="669" t="s">
        <v>444</v>
      </c>
      <c r="E533" s="546">
        <v>679.14999399999999</v>
      </c>
    </row>
    <row r="534" spans="2:5" x14ac:dyDescent="0.25">
      <c r="B534" s="545">
        <v>584</v>
      </c>
      <c r="C534" s="553" t="s">
        <v>2533</v>
      </c>
      <c r="D534" s="669" t="s">
        <v>444</v>
      </c>
      <c r="E534" s="546">
        <v>667.936374</v>
      </c>
    </row>
    <row r="535" spans="2:5" x14ac:dyDescent="0.25">
      <c r="B535" s="545">
        <v>585</v>
      </c>
      <c r="C535" s="553" t="s">
        <v>2136</v>
      </c>
      <c r="D535" s="669" t="s">
        <v>444</v>
      </c>
      <c r="E535" s="546">
        <v>650.25555799999995</v>
      </c>
    </row>
    <row r="536" spans="2:5" x14ac:dyDescent="0.25">
      <c r="B536" s="545">
        <v>586</v>
      </c>
      <c r="C536" s="553" t="s">
        <v>5231</v>
      </c>
      <c r="D536" s="669" t="s">
        <v>444</v>
      </c>
      <c r="E536" s="546">
        <v>850.67931699999997</v>
      </c>
    </row>
    <row r="537" spans="2:5" x14ac:dyDescent="0.25">
      <c r="B537" s="545">
        <v>587</v>
      </c>
      <c r="C537" s="553" t="s">
        <v>4983</v>
      </c>
      <c r="D537" s="669" t="s">
        <v>444</v>
      </c>
      <c r="E537" s="546">
        <v>820.59999600000003</v>
      </c>
    </row>
    <row r="538" spans="2:5" x14ac:dyDescent="0.25">
      <c r="B538" s="545">
        <v>588</v>
      </c>
      <c r="C538" s="553" t="s">
        <v>700</v>
      </c>
      <c r="D538" s="669" t="s">
        <v>444</v>
      </c>
      <c r="E538" s="546">
        <v>779.19999700000005</v>
      </c>
    </row>
    <row r="539" spans="2:5" x14ac:dyDescent="0.25">
      <c r="B539" s="545">
        <v>589</v>
      </c>
      <c r="C539" s="553" t="s">
        <v>4404</v>
      </c>
      <c r="D539" s="669" t="s">
        <v>444</v>
      </c>
      <c r="E539" s="546">
        <v>773.01665200000002</v>
      </c>
    </row>
    <row r="540" spans="2:5" x14ac:dyDescent="0.25">
      <c r="B540" s="545">
        <v>590</v>
      </c>
      <c r="C540" s="553" t="s">
        <v>4086</v>
      </c>
      <c r="D540" s="669" t="s">
        <v>444</v>
      </c>
      <c r="E540" s="546">
        <v>750.40000399999997</v>
      </c>
    </row>
    <row r="541" spans="2:5" x14ac:dyDescent="0.25">
      <c r="B541" s="545">
        <v>591</v>
      </c>
      <c r="C541" s="553" t="s">
        <v>4135</v>
      </c>
      <c r="D541" s="669" t="s">
        <v>444</v>
      </c>
      <c r="E541" s="546">
        <v>752.96665399999995</v>
      </c>
    </row>
    <row r="542" spans="2:5" x14ac:dyDescent="0.25">
      <c r="B542" s="545">
        <v>592</v>
      </c>
      <c r="C542" s="553" t="s">
        <v>2828</v>
      </c>
      <c r="D542" s="669" t="s">
        <v>444</v>
      </c>
      <c r="E542" s="546">
        <v>682.5</v>
      </c>
    </row>
    <row r="543" spans="2:5" x14ac:dyDescent="0.25">
      <c r="B543" s="545">
        <v>593</v>
      </c>
      <c r="C543" s="553" t="s">
        <v>2202</v>
      </c>
      <c r="D543" s="669" t="s">
        <v>444</v>
      </c>
      <c r="E543" s="546">
        <v>652.98888499999998</v>
      </c>
    </row>
    <row r="544" spans="2:5" x14ac:dyDescent="0.25">
      <c r="B544" s="545">
        <v>594</v>
      </c>
      <c r="C544" s="553" t="s">
        <v>1719</v>
      </c>
      <c r="D544" s="669" t="s">
        <v>444</v>
      </c>
      <c r="E544" s="546">
        <v>633.01599599999997</v>
      </c>
    </row>
    <row r="545" spans="2:5" x14ac:dyDescent="0.25">
      <c r="B545" s="545">
        <v>595</v>
      </c>
      <c r="C545" s="553" t="s">
        <v>1633</v>
      </c>
      <c r="D545" s="669" t="s">
        <v>444</v>
      </c>
      <c r="E545" s="546">
        <v>628.08000500000003</v>
      </c>
    </row>
    <row r="546" spans="2:5" x14ac:dyDescent="0.25">
      <c r="B546" s="545">
        <v>596</v>
      </c>
      <c r="C546" s="553" t="s">
        <v>933</v>
      </c>
      <c r="D546" s="669" t="s">
        <v>444</v>
      </c>
      <c r="E546" s="546">
        <v>633.64500099999998</v>
      </c>
    </row>
    <row r="547" spans="2:5" x14ac:dyDescent="0.25">
      <c r="B547" s="545">
        <v>597</v>
      </c>
      <c r="C547" s="553" t="s">
        <v>3989</v>
      </c>
      <c r="D547" s="669" t="s">
        <v>444</v>
      </c>
      <c r="E547" s="546">
        <v>744.28462100000002</v>
      </c>
    </row>
    <row r="548" spans="2:5" x14ac:dyDescent="0.25">
      <c r="B548" s="545">
        <v>598</v>
      </c>
      <c r="C548" s="553" t="s">
        <v>4046</v>
      </c>
      <c r="D548" s="669" t="s">
        <v>444</v>
      </c>
      <c r="E548" s="546">
        <v>747.85999800000002</v>
      </c>
    </row>
    <row r="549" spans="2:5" x14ac:dyDescent="0.25">
      <c r="B549" s="545">
        <v>599</v>
      </c>
      <c r="C549" s="553" t="s">
        <v>3264</v>
      </c>
      <c r="D549" s="669" t="s">
        <v>444</v>
      </c>
      <c r="E549" s="546">
        <v>703.70000200000004</v>
      </c>
    </row>
    <row r="550" spans="2:5" x14ac:dyDescent="0.25">
      <c r="B550" s="545">
        <v>600</v>
      </c>
      <c r="C550" s="553" t="s">
        <v>1828</v>
      </c>
      <c r="D550" s="669" t="s">
        <v>444</v>
      </c>
      <c r="E550" s="546">
        <v>637.01250500000003</v>
      </c>
    </row>
    <row r="551" spans="2:5" x14ac:dyDescent="0.25">
      <c r="B551" s="545">
        <v>601</v>
      </c>
      <c r="C551" s="553" t="s">
        <v>3467</v>
      </c>
      <c r="D551" s="669" t="s">
        <v>444</v>
      </c>
      <c r="E551" s="546">
        <v>714.17142999999999</v>
      </c>
    </row>
    <row r="552" spans="2:5" x14ac:dyDescent="0.25">
      <c r="B552" s="545">
        <v>602</v>
      </c>
      <c r="C552" s="553" t="s">
        <v>3971</v>
      </c>
      <c r="D552" s="669" t="s">
        <v>444</v>
      </c>
      <c r="E552" s="546">
        <v>743.03998999999999</v>
      </c>
    </row>
    <row r="553" spans="2:5" x14ac:dyDescent="0.25">
      <c r="B553" s="545">
        <v>603</v>
      </c>
      <c r="C553" s="553" t="s">
        <v>2291</v>
      </c>
      <c r="D553" s="669" t="s">
        <v>444</v>
      </c>
      <c r="E553" s="546">
        <v>657</v>
      </c>
    </row>
    <row r="554" spans="2:5" x14ac:dyDescent="0.25">
      <c r="B554" s="545">
        <v>604</v>
      </c>
      <c r="C554" s="553" t="s">
        <v>7395</v>
      </c>
      <c r="D554" s="669" t="s">
        <v>444</v>
      </c>
      <c r="E554" s="546">
        <v>733.32000700000003</v>
      </c>
    </row>
    <row r="555" spans="2:5" x14ac:dyDescent="0.25">
      <c r="B555" s="545">
        <v>605</v>
      </c>
      <c r="C555" s="553" t="s">
        <v>3157</v>
      </c>
      <c r="D555" s="669" t="s">
        <v>444</v>
      </c>
      <c r="E555" s="546">
        <v>699.29998799999998</v>
      </c>
    </row>
    <row r="556" spans="2:5" x14ac:dyDescent="0.25">
      <c r="B556" s="545">
        <v>606</v>
      </c>
      <c r="C556" s="553" t="s">
        <v>3065</v>
      </c>
      <c r="D556" s="669" t="s">
        <v>444</v>
      </c>
      <c r="E556" s="546">
        <v>694.24998500000004</v>
      </c>
    </row>
    <row r="557" spans="2:5" x14ac:dyDescent="0.25">
      <c r="B557" s="545">
        <v>607</v>
      </c>
      <c r="C557" s="553" t="s">
        <v>1448</v>
      </c>
      <c r="D557" s="669" t="s">
        <v>444</v>
      </c>
      <c r="E557" s="546">
        <v>617.47999900000002</v>
      </c>
    </row>
    <row r="558" spans="2:5" x14ac:dyDescent="0.25">
      <c r="B558" s="545">
        <v>608</v>
      </c>
      <c r="C558" s="553" t="s">
        <v>2620</v>
      </c>
      <c r="D558" s="669" t="s">
        <v>444</v>
      </c>
      <c r="E558" s="546">
        <v>672.09997599999997</v>
      </c>
    </row>
    <row r="559" spans="2:5" x14ac:dyDescent="0.25">
      <c r="B559" s="545">
        <v>609</v>
      </c>
      <c r="C559" s="553" t="s">
        <v>1992</v>
      </c>
      <c r="D559" s="669" t="s">
        <v>444</v>
      </c>
      <c r="E559" s="546">
        <v>643.16664600000001</v>
      </c>
    </row>
    <row r="560" spans="2:5" x14ac:dyDescent="0.25">
      <c r="B560" s="545">
        <v>610</v>
      </c>
      <c r="C560" s="553" t="s">
        <v>1852</v>
      </c>
      <c r="D560" s="669" t="s">
        <v>444</v>
      </c>
      <c r="E560" s="546">
        <v>637.82000700000003</v>
      </c>
    </row>
    <row r="561" spans="2:5" x14ac:dyDescent="0.25">
      <c r="B561" s="545">
        <v>611</v>
      </c>
      <c r="C561" s="553" t="s">
        <v>2071</v>
      </c>
      <c r="D561" s="669" t="s">
        <v>444</v>
      </c>
      <c r="E561" s="546">
        <v>646.610004</v>
      </c>
    </row>
    <row r="562" spans="2:5" x14ac:dyDescent="0.25">
      <c r="B562" s="545">
        <v>612</v>
      </c>
      <c r="C562" s="553" t="s">
        <v>1552</v>
      </c>
      <c r="D562" s="669" t="s">
        <v>444</v>
      </c>
      <c r="E562" s="546">
        <v>645.6</v>
      </c>
    </row>
    <row r="563" spans="2:5" x14ac:dyDescent="0.25">
      <c r="B563" s="545">
        <v>613</v>
      </c>
      <c r="C563" s="553" t="s">
        <v>1184</v>
      </c>
      <c r="D563" s="669" t="s">
        <v>444</v>
      </c>
      <c r="E563" s="546">
        <v>603.14545799999996</v>
      </c>
    </row>
    <row r="564" spans="2:5" x14ac:dyDescent="0.25">
      <c r="B564" s="545">
        <v>614</v>
      </c>
      <c r="C564" s="553" t="s">
        <v>1694</v>
      </c>
      <c r="D564" s="669" t="s">
        <v>444</v>
      </c>
      <c r="E564" s="546">
        <v>632.11665900000003</v>
      </c>
    </row>
    <row r="565" spans="2:5" x14ac:dyDescent="0.25">
      <c r="B565" s="545">
        <v>651</v>
      </c>
      <c r="C565" s="553" t="s">
        <v>2231</v>
      </c>
      <c r="D565" s="669" t="s">
        <v>444</v>
      </c>
      <c r="E565" s="546">
        <v>654.42999899999995</v>
      </c>
    </row>
    <row r="566" spans="2:5" x14ac:dyDescent="0.25">
      <c r="B566" s="545">
        <v>652</v>
      </c>
      <c r="C566" s="553" t="s">
        <v>1520</v>
      </c>
      <c r="D566" s="669" t="s">
        <v>444</v>
      </c>
      <c r="E566" s="546">
        <v>621.61428000000001</v>
      </c>
    </row>
    <row r="567" spans="2:5" x14ac:dyDescent="0.25">
      <c r="B567" s="545">
        <v>653</v>
      </c>
      <c r="C567" s="553" t="s">
        <v>1214</v>
      </c>
      <c r="D567" s="669" t="s">
        <v>444</v>
      </c>
      <c r="E567" s="546">
        <v>604.69500100000005</v>
      </c>
    </row>
    <row r="568" spans="2:5" x14ac:dyDescent="0.25">
      <c r="B568" s="545">
        <v>654</v>
      </c>
      <c r="C568" s="553" t="s">
        <v>1317</v>
      </c>
      <c r="D568" s="669" t="s">
        <v>444</v>
      </c>
      <c r="E568" s="546">
        <v>610.55554900000004</v>
      </c>
    </row>
    <row r="569" spans="2:5" x14ac:dyDescent="0.25">
      <c r="B569" s="545">
        <v>655</v>
      </c>
      <c r="C569" s="553" t="s">
        <v>7514</v>
      </c>
      <c r="D569" s="669" t="s">
        <v>444</v>
      </c>
      <c r="E569" s="546">
        <v>643.40769599999999</v>
      </c>
    </row>
    <row r="570" spans="2:5" x14ac:dyDescent="0.25">
      <c r="B570" s="545">
        <v>656</v>
      </c>
      <c r="C570" s="553" t="s">
        <v>2381</v>
      </c>
      <c r="D570" s="669" t="s">
        <v>444</v>
      </c>
      <c r="E570" s="546">
        <v>660.88636599999995</v>
      </c>
    </row>
    <row r="571" spans="2:5" x14ac:dyDescent="0.25">
      <c r="B571" s="545">
        <v>657</v>
      </c>
      <c r="C571" s="553" t="s">
        <v>1974</v>
      </c>
      <c r="D571" s="669" t="s">
        <v>436</v>
      </c>
      <c r="E571" s="546">
        <v>642.57143399999995</v>
      </c>
    </row>
    <row r="572" spans="2:5" x14ac:dyDescent="0.25">
      <c r="B572" s="545">
        <v>658</v>
      </c>
      <c r="C572" s="553" t="s">
        <v>1750</v>
      </c>
      <c r="D572" s="669" t="s">
        <v>436</v>
      </c>
      <c r="E572" s="546">
        <v>634.11000999999999</v>
      </c>
    </row>
    <row r="573" spans="2:5" x14ac:dyDescent="0.25">
      <c r="B573" s="545">
        <v>659</v>
      </c>
      <c r="C573" s="553" t="s">
        <v>1393</v>
      </c>
      <c r="D573" s="669" t="s">
        <v>436</v>
      </c>
      <c r="E573" s="546">
        <v>614.84286099999997</v>
      </c>
    </row>
    <row r="574" spans="2:5" x14ac:dyDescent="0.25">
      <c r="B574" s="545">
        <v>660</v>
      </c>
      <c r="C574" s="553" t="s">
        <v>963</v>
      </c>
      <c r="D574" s="669" t="s">
        <v>436</v>
      </c>
      <c r="E574" s="546">
        <v>611.80000500000006</v>
      </c>
    </row>
    <row r="575" spans="2:5" x14ac:dyDescent="0.25">
      <c r="B575" s="545">
        <v>661</v>
      </c>
      <c r="C575" s="553" t="s">
        <v>1047</v>
      </c>
      <c r="D575" s="669" t="s">
        <v>436</v>
      </c>
      <c r="E575" s="546">
        <v>593.71109999999999</v>
      </c>
    </row>
    <row r="576" spans="2:5" x14ac:dyDescent="0.25">
      <c r="B576" s="545">
        <v>662</v>
      </c>
      <c r="C576" s="553" t="s">
        <v>813</v>
      </c>
      <c r="D576" s="669" t="s">
        <v>436</v>
      </c>
      <c r="E576" s="546">
        <v>569.69999900000005</v>
      </c>
    </row>
    <row r="577" spans="2:5" x14ac:dyDescent="0.25">
      <c r="B577" s="545">
        <v>663</v>
      </c>
      <c r="C577" s="553" t="s">
        <v>1935</v>
      </c>
      <c r="D577" s="669" t="s">
        <v>436</v>
      </c>
      <c r="E577" s="546">
        <v>641.32352900000001</v>
      </c>
    </row>
    <row r="578" spans="2:5" x14ac:dyDescent="0.25">
      <c r="B578" s="545">
        <v>664</v>
      </c>
      <c r="C578" s="553" t="s">
        <v>1846</v>
      </c>
      <c r="D578" s="669" t="s">
        <v>436</v>
      </c>
      <c r="E578" s="546">
        <v>637.70768899999996</v>
      </c>
    </row>
    <row r="579" spans="2:5" x14ac:dyDescent="0.25">
      <c r="B579" s="545">
        <v>665</v>
      </c>
      <c r="C579" s="553" t="s">
        <v>1003</v>
      </c>
      <c r="D579" s="669" t="s">
        <v>436</v>
      </c>
      <c r="E579" s="546">
        <v>589.35002099999997</v>
      </c>
    </row>
    <row r="580" spans="2:5" x14ac:dyDescent="0.25">
      <c r="B580" s="545">
        <v>666</v>
      </c>
      <c r="C580" s="553" t="s">
        <v>7515</v>
      </c>
      <c r="D580" s="669" t="s">
        <v>436</v>
      </c>
      <c r="E580" s="546">
        <v>607.48999600000002</v>
      </c>
    </row>
    <row r="581" spans="2:5" x14ac:dyDescent="0.25">
      <c r="B581" s="545">
        <v>667</v>
      </c>
      <c r="C581" s="553" t="s">
        <v>6950</v>
      </c>
      <c r="D581" s="669" t="s">
        <v>436</v>
      </c>
      <c r="E581" s="546">
        <v>636.79333099999997</v>
      </c>
    </row>
    <row r="582" spans="2:5" x14ac:dyDescent="0.25">
      <c r="B582" s="545">
        <v>668</v>
      </c>
      <c r="C582" s="553" t="s">
        <v>1304</v>
      </c>
      <c r="D582" s="669" t="s">
        <v>436</v>
      </c>
      <c r="E582" s="546">
        <v>609.98499500000003</v>
      </c>
    </row>
    <row r="583" spans="2:5" x14ac:dyDescent="0.25">
      <c r="B583" s="545">
        <v>669</v>
      </c>
      <c r="C583" s="553" t="s">
        <v>1403</v>
      </c>
      <c r="D583" s="669" t="s">
        <v>436</v>
      </c>
      <c r="E583" s="546">
        <v>615.16667700000005</v>
      </c>
    </row>
    <row r="584" spans="2:5" x14ac:dyDescent="0.25">
      <c r="B584" s="545">
        <v>670</v>
      </c>
      <c r="C584" s="553" t="s">
        <v>1084</v>
      </c>
      <c r="D584" s="669" t="s">
        <v>436</v>
      </c>
      <c r="E584" s="546">
        <v>596.29999799999996</v>
      </c>
    </row>
    <row r="585" spans="2:5" x14ac:dyDescent="0.25">
      <c r="B585" s="545">
        <v>671</v>
      </c>
      <c r="C585" s="553" t="s">
        <v>806</v>
      </c>
      <c r="D585" s="669" t="s">
        <v>436</v>
      </c>
      <c r="E585" s="546">
        <v>567.672729</v>
      </c>
    </row>
    <row r="586" spans="2:5" x14ac:dyDescent="0.25">
      <c r="B586" s="545">
        <v>672</v>
      </c>
      <c r="C586" s="553" t="s">
        <v>976</v>
      </c>
      <c r="D586" s="669" t="s">
        <v>436</v>
      </c>
      <c r="E586" s="546">
        <v>586.60000200000002</v>
      </c>
    </row>
    <row r="587" spans="2:5" x14ac:dyDescent="0.25">
      <c r="B587" s="545">
        <v>673</v>
      </c>
      <c r="C587" s="553" t="s">
        <v>746</v>
      </c>
      <c r="D587" s="669" t="s">
        <v>436</v>
      </c>
      <c r="E587" s="546">
        <v>555.62858400000005</v>
      </c>
    </row>
    <row r="588" spans="2:5" ht="14.4" x14ac:dyDescent="0.25">
      <c r="B588" s="543">
        <v>674</v>
      </c>
      <c r="C588" s="553" t="s">
        <v>713</v>
      </c>
      <c r="D588" s="669" t="s">
        <v>436</v>
      </c>
      <c r="E588" s="544">
        <v>542.70001200000002</v>
      </c>
    </row>
    <row r="589" spans="2:5" x14ac:dyDescent="0.25">
      <c r="B589" s="545">
        <v>675</v>
      </c>
      <c r="C589" s="553" t="s">
        <v>1106</v>
      </c>
      <c r="D589" s="669" t="s">
        <v>436</v>
      </c>
      <c r="E589" s="546">
        <v>598.29998799999998</v>
      </c>
    </row>
    <row r="590" spans="2:5" x14ac:dyDescent="0.25">
      <c r="B590" s="545">
        <v>676</v>
      </c>
      <c r="C590" s="553" t="s">
        <v>907</v>
      </c>
      <c r="D590" s="669" t="s">
        <v>436</v>
      </c>
      <c r="E590" s="546">
        <v>580.25</v>
      </c>
    </row>
    <row r="591" spans="2:5" x14ac:dyDescent="0.25">
      <c r="B591" s="545">
        <v>677</v>
      </c>
      <c r="C591" s="553" t="s">
        <v>6530</v>
      </c>
      <c r="D591" s="669" t="s">
        <v>436</v>
      </c>
      <c r="E591" s="546">
        <v>583.51667299999997</v>
      </c>
    </row>
    <row r="592" spans="2:5" x14ac:dyDescent="0.25">
      <c r="B592" s="545">
        <v>678</v>
      </c>
      <c r="C592" s="553" t="s">
        <v>785</v>
      </c>
      <c r="D592" s="669" t="s">
        <v>436</v>
      </c>
      <c r="E592" s="546">
        <v>564.79999299999997</v>
      </c>
    </row>
    <row r="593" spans="2:5" x14ac:dyDescent="0.25">
      <c r="B593" s="545">
        <v>679</v>
      </c>
      <c r="C593" s="553" t="s">
        <v>756</v>
      </c>
      <c r="D593" s="669" t="s">
        <v>436</v>
      </c>
      <c r="E593" s="546">
        <v>559.15555099999995</v>
      </c>
    </row>
    <row r="594" spans="2:5" x14ac:dyDescent="0.25">
      <c r="B594" s="545">
        <v>680</v>
      </c>
      <c r="C594" s="553" t="s">
        <v>7340</v>
      </c>
      <c r="D594" s="669" t="s">
        <v>436</v>
      </c>
      <c r="E594" s="546">
        <v>575.92000700000006</v>
      </c>
    </row>
    <row r="595" spans="2:5" x14ac:dyDescent="0.25">
      <c r="B595" s="545">
        <v>681</v>
      </c>
      <c r="C595" s="553" t="s">
        <v>755</v>
      </c>
      <c r="D595" s="669" t="s">
        <v>436</v>
      </c>
      <c r="E595" s="546">
        <v>559.12142100000005</v>
      </c>
    </row>
    <row r="596" spans="2:5" x14ac:dyDescent="0.25">
      <c r="B596" s="545">
        <v>682</v>
      </c>
      <c r="C596" s="553" t="s">
        <v>2031</v>
      </c>
      <c r="D596" s="669" t="s">
        <v>436</v>
      </c>
      <c r="E596" s="546">
        <v>644.30000099999995</v>
      </c>
    </row>
    <row r="597" spans="2:5" x14ac:dyDescent="0.25">
      <c r="B597" s="545">
        <v>683</v>
      </c>
      <c r="C597" s="553" t="s">
        <v>6844</v>
      </c>
      <c r="D597" s="669" t="s">
        <v>436</v>
      </c>
      <c r="E597" s="546">
        <v>631.27333599999997</v>
      </c>
    </row>
    <row r="598" spans="2:5" x14ac:dyDescent="0.25">
      <c r="B598" s="545">
        <v>684</v>
      </c>
      <c r="C598" s="553" t="s">
        <v>7154</v>
      </c>
      <c r="D598" s="669" t="s">
        <v>436</v>
      </c>
      <c r="E598" s="546">
        <v>597.58334400000001</v>
      </c>
    </row>
    <row r="599" spans="2:5" x14ac:dyDescent="0.25">
      <c r="B599" s="545">
        <v>685</v>
      </c>
      <c r="C599" s="553" t="s">
        <v>7264</v>
      </c>
      <c r="D599" s="669" t="s">
        <v>436</v>
      </c>
      <c r="E599" s="546">
        <v>600.16249800000003</v>
      </c>
    </row>
    <row r="600" spans="2:5" x14ac:dyDescent="0.25">
      <c r="B600" s="545">
        <v>686</v>
      </c>
      <c r="C600" s="553" t="s">
        <v>7263</v>
      </c>
      <c r="D600" s="669" t="s">
        <v>436</v>
      </c>
      <c r="E600" s="546">
        <v>606.26251200000002</v>
      </c>
    </row>
    <row r="601" spans="2:5" x14ac:dyDescent="0.25">
      <c r="B601" s="545">
        <v>687</v>
      </c>
      <c r="C601" s="553" t="s">
        <v>969</v>
      </c>
      <c r="D601" s="669" t="s">
        <v>436</v>
      </c>
      <c r="E601" s="546">
        <v>585.78749800000003</v>
      </c>
    </row>
    <row r="602" spans="2:5" x14ac:dyDescent="0.25">
      <c r="B602" s="545">
        <v>688</v>
      </c>
      <c r="C602" s="553" t="s">
        <v>792</v>
      </c>
      <c r="D602" s="669" t="s">
        <v>436</v>
      </c>
      <c r="E602" s="546">
        <v>566.48461399999997</v>
      </c>
    </row>
    <row r="603" spans="2:5" x14ac:dyDescent="0.25">
      <c r="B603" s="545">
        <v>689</v>
      </c>
      <c r="C603" s="553" t="s">
        <v>7118</v>
      </c>
      <c r="D603" s="669" t="s">
        <v>436</v>
      </c>
      <c r="E603" s="546">
        <v>568.80769699999996</v>
      </c>
    </row>
    <row r="604" spans="2:5" x14ac:dyDescent="0.25">
      <c r="B604" s="545">
        <v>690</v>
      </c>
      <c r="C604" s="553" t="s">
        <v>7629</v>
      </c>
      <c r="D604" s="669" t="s">
        <v>436</v>
      </c>
      <c r="E604" s="546">
        <v>603.00001499999996</v>
      </c>
    </row>
    <row r="605" spans="2:5" x14ac:dyDescent="0.25">
      <c r="B605" s="545">
        <v>691</v>
      </c>
      <c r="C605" s="553" t="s">
        <v>1163</v>
      </c>
      <c r="D605" s="669" t="s">
        <v>436</v>
      </c>
      <c r="E605" s="546">
        <v>621.70000000000005</v>
      </c>
    </row>
    <row r="606" spans="2:5" x14ac:dyDescent="0.25">
      <c r="B606" s="545">
        <v>692</v>
      </c>
      <c r="C606" s="553" t="s">
        <v>1559</v>
      </c>
      <c r="D606" s="669" t="s">
        <v>436</v>
      </c>
      <c r="E606" s="546">
        <v>624.23571300000003</v>
      </c>
    </row>
    <row r="607" spans="2:5" x14ac:dyDescent="0.25">
      <c r="B607" s="545">
        <v>693</v>
      </c>
      <c r="C607" s="553" t="s">
        <v>7376</v>
      </c>
      <c r="D607" s="669" t="s">
        <v>436</v>
      </c>
      <c r="E607" s="546">
        <v>605.48888499999998</v>
      </c>
    </row>
    <row r="608" spans="2:5" x14ac:dyDescent="0.25">
      <c r="B608" s="545">
        <v>694</v>
      </c>
      <c r="C608" s="553" t="s">
        <v>1225</v>
      </c>
      <c r="D608" s="669" t="s">
        <v>436</v>
      </c>
      <c r="E608" s="546">
        <v>605.20625299999995</v>
      </c>
    </row>
    <row r="609" spans="2:5" x14ac:dyDescent="0.25">
      <c r="B609" s="545">
        <v>695</v>
      </c>
      <c r="C609" s="553" t="s">
        <v>1169</v>
      </c>
      <c r="D609" s="669" t="s">
        <v>436</v>
      </c>
      <c r="E609" s="546">
        <v>602.20000000000005</v>
      </c>
    </row>
    <row r="610" spans="2:5" x14ac:dyDescent="0.25">
      <c r="B610" s="545">
        <v>696</v>
      </c>
      <c r="C610" s="553" t="s">
        <v>7548</v>
      </c>
      <c r="D610" s="669" t="s">
        <v>436</v>
      </c>
      <c r="E610" s="546">
        <v>602.46667500000001</v>
      </c>
    </row>
    <row r="611" spans="2:5" x14ac:dyDescent="0.25">
      <c r="B611" s="545">
        <v>697</v>
      </c>
      <c r="C611" s="553" t="s">
        <v>436</v>
      </c>
      <c r="D611" s="669" t="s">
        <v>436</v>
      </c>
      <c r="E611" s="546">
        <v>569.44864900000005</v>
      </c>
    </row>
    <row r="612" spans="2:5" x14ac:dyDescent="0.25">
      <c r="B612" s="545">
        <v>698</v>
      </c>
      <c r="C612" s="553" t="s">
        <v>795</v>
      </c>
      <c r="D612" s="669" t="s">
        <v>436</v>
      </c>
      <c r="E612" s="546">
        <v>566.58334400000001</v>
      </c>
    </row>
    <row r="613" spans="2:5" x14ac:dyDescent="0.25">
      <c r="B613" s="545">
        <v>699</v>
      </c>
      <c r="C613" s="553" t="s">
        <v>799</v>
      </c>
      <c r="D613" s="669" t="s">
        <v>436</v>
      </c>
      <c r="E613" s="546">
        <v>566.94285400000001</v>
      </c>
    </row>
    <row r="614" spans="2:5" x14ac:dyDescent="0.25">
      <c r="B614" s="545">
        <v>700</v>
      </c>
      <c r="C614" s="553" t="s">
        <v>1808</v>
      </c>
      <c r="D614" s="669" t="s">
        <v>436</v>
      </c>
      <c r="E614" s="546">
        <v>636.44286199999999</v>
      </c>
    </row>
    <row r="615" spans="2:5" x14ac:dyDescent="0.25">
      <c r="B615" s="545">
        <v>701</v>
      </c>
      <c r="C615" s="553" t="s">
        <v>1793</v>
      </c>
      <c r="D615" s="669" t="s">
        <v>436</v>
      </c>
      <c r="E615" s="546">
        <v>635.81764799999996</v>
      </c>
    </row>
    <row r="616" spans="2:5" x14ac:dyDescent="0.25">
      <c r="B616" s="545">
        <v>702</v>
      </c>
      <c r="C616" s="553" t="s">
        <v>832</v>
      </c>
      <c r="D616" s="669" t="s">
        <v>436</v>
      </c>
      <c r="E616" s="546">
        <v>573</v>
      </c>
    </row>
    <row r="617" spans="2:5" x14ac:dyDescent="0.25">
      <c r="B617" s="545">
        <v>703</v>
      </c>
      <c r="C617" s="553" t="s">
        <v>7377</v>
      </c>
      <c r="D617" s="669" t="s">
        <v>436</v>
      </c>
      <c r="E617" s="546">
        <v>570.70908399999996</v>
      </c>
    </row>
    <row r="618" spans="2:5" x14ac:dyDescent="0.25">
      <c r="B618" s="545">
        <v>704</v>
      </c>
      <c r="C618" s="553" t="s">
        <v>787</v>
      </c>
      <c r="D618" s="669" t="s">
        <v>436</v>
      </c>
      <c r="E618" s="546">
        <v>564.866669</v>
      </c>
    </row>
    <row r="619" spans="2:5" x14ac:dyDescent="0.25">
      <c r="B619" s="545">
        <v>705</v>
      </c>
      <c r="C619" s="553" t="s">
        <v>6991</v>
      </c>
      <c r="D619" s="669" t="s">
        <v>436</v>
      </c>
      <c r="E619" s="546">
        <v>603.97142699999995</v>
      </c>
    </row>
    <row r="620" spans="2:5" x14ac:dyDescent="0.25">
      <c r="B620" s="545">
        <v>706</v>
      </c>
      <c r="C620" s="553" t="s">
        <v>1416</v>
      </c>
      <c r="D620" s="669" t="s">
        <v>436</v>
      </c>
      <c r="E620" s="546">
        <v>616.226315</v>
      </c>
    </row>
    <row r="621" spans="2:5" x14ac:dyDescent="0.25">
      <c r="B621" s="545">
        <v>707</v>
      </c>
      <c r="C621" s="553" t="s">
        <v>767</v>
      </c>
      <c r="D621" s="669" t="s">
        <v>436</v>
      </c>
      <c r="E621" s="546">
        <v>561.99600099999998</v>
      </c>
    </row>
    <row r="622" spans="2:5" x14ac:dyDescent="0.25">
      <c r="B622" s="545">
        <v>708</v>
      </c>
      <c r="C622" s="553" t="s">
        <v>794</v>
      </c>
      <c r="D622" s="669" t="s">
        <v>436</v>
      </c>
      <c r="E622" s="546">
        <v>566.5</v>
      </c>
    </row>
    <row r="623" spans="2:5" x14ac:dyDescent="0.25">
      <c r="B623" s="545">
        <v>709</v>
      </c>
      <c r="C623" s="553" t="s">
        <v>777</v>
      </c>
      <c r="D623" s="669" t="s">
        <v>436</v>
      </c>
      <c r="E623" s="546">
        <v>563.33999600000004</v>
      </c>
    </row>
    <row r="624" spans="2:5" x14ac:dyDescent="0.25">
      <c r="B624" s="545">
        <v>710</v>
      </c>
      <c r="C624" s="553" t="s">
        <v>863</v>
      </c>
      <c r="D624" s="669" t="s">
        <v>436</v>
      </c>
      <c r="E624" s="546">
        <v>587.77999899999998</v>
      </c>
    </row>
    <row r="625" spans="2:5" x14ac:dyDescent="0.25">
      <c r="B625" s="545">
        <v>711</v>
      </c>
      <c r="C625" s="553" t="s">
        <v>1534</v>
      </c>
      <c r="D625" s="669" t="s">
        <v>436</v>
      </c>
      <c r="E625" s="546">
        <v>622.52307599999995</v>
      </c>
    </row>
    <row r="626" spans="2:5" x14ac:dyDescent="0.25">
      <c r="B626" s="545">
        <v>712</v>
      </c>
      <c r="C626" s="553" t="s">
        <v>1357</v>
      </c>
      <c r="D626" s="669" t="s">
        <v>436</v>
      </c>
      <c r="E626" s="546">
        <v>612.89999899999998</v>
      </c>
    </row>
    <row r="627" spans="2:5" x14ac:dyDescent="0.25">
      <c r="B627" s="545">
        <v>713</v>
      </c>
      <c r="C627" s="553" t="s">
        <v>1408</v>
      </c>
      <c r="D627" s="669" t="s">
        <v>436</v>
      </c>
      <c r="E627" s="546">
        <v>615.46667500000001</v>
      </c>
    </row>
    <row r="628" spans="2:5" x14ac:dyDescent="0.25">
      <c r="B628" s="545">
        <v>714</v>
      </c>
      <c r="C628" s="553" t="s">
        <v>1277</v>
      </c>
      <c r="D628" s="669" t="s">
        <v>436</v>
      </c>
      <c r="E628" s="546">
        <v>608.28749800000003</v>
      </c>
    </row>
    <row r="629" spans="2:5" x14ac:dyDescent="0.25">
      <c r="B629" s="545">
        <v>715</v>
      </c>
      <c r="C629" s="553" t="s">
        <v>1456</v>
      </c>
      <c r="D629" s="669" t="s">
        <v>436</v>
      </c>
      <c r="E629" s="546">
        <v>618.10000600000001</v>
      </c>
    </row>
    <row r="630" spans="2:5" x14ac:dyDescent="0.25">
      <c r="B630" s="545">
        <v>716</v>
      </c>
      <c r="C630" s="553" t="s">
        <v>940</v>
      </c>
      <c r="D630" s="669" t="s">
        <v>436</v>
      </c>
      <c r="E630" s="546">
        <v>583.52221699999996</v>
      </c>
    </row>
    <row r="631" spans="2:5" x14ac:dyDescent="0.25">
      <c r="B631" s="545">
        <v>717</v>
      </c>
      <c r="C631" s="553" t="s">
        <v>6579</v>
      </c>
      <c r="D631" s="669" t="s">
        <v>436</v>
      </c>
      <c r="E631" s="546">
        <v>630.06001000000003</v>
      </c>
    </row>
    <row r="632" spans="2:5" x14ac:dyDescent="0.25">
      <c r="B632" s="545">
        <v>718</v>
      </c>
      <c r="C632" s="553" t="s">
        <v>1042</v>
      </c>
      <c r="D632" s="669" t="s">
        <v>436</v>
      </c>
      <c r="E632" s="546">
        <v>607.52499399999999</v>
      </c>
    </row>
    <row r="633" spans="2:5" x14ac:dyDescent="0.25">
      <c r="B633" s="545">
        <v>719</v>
      </c>
      <c r="C633" s="553" t="s">
        <v>1345</v>
      </c>
      <c r="D633" s="669" t="s">
        <v>436</v>
      </c>
      <c r="E633" s="546">
        <v>612.11249499999997</v>
      </c>
    </row>
    <row r="634" spans="2:5" x14ac:dyDescent="0.25">
      <c r="B634" s="545">
        <v>720</v>
      </c>
      <c r="C634" s="553" t="s">
        <v>1271</v>
      </c>
      <c r="D634" s="669" t="s">
        <v>436</v>
      </c>
      <c r="E634" s="546">
        <v>607.67142200000001</v>
      </c>
    </row>
    <row r="635" spans="2:5" x14ac:dyDescent="0.25">
      <c r="B635" s="545">
        <v>721</v>
      </c>
      <c r="C635" s="553" t="s">
        <v>955</v>
      </c>
      <c r="D635" s="669" t="s">
        <v>436</v>
      </c>
      <c r="E635" s="546">
        <v>584.69999199999995</v>
      </c>
    </row>
    <row r="636" spans="2:5" x14ac:dyDescent="0.25">
      <c r="B636" s="545">
        <v>722</v>
      </c>
      <c r="C636" s="553" t="s">
        <v>829</v>
      </c>
      <c r="D636" s="669" t="s">
        <v>436</v>
      </c>
      <c r="E636" s="546">
        <v>572.46666500000003</v>
      </c>
    </row>
    <row r="637" spans="2:5" ht="14.4" x14ac:dyDescent="0.25">
      <c r="B637" s="543">
        <v>723</v>
      </c>
      <c r="C637" s="553" t="s">
        <v>726</v>
      </c>
      <c r="D637" s="669" t="s">
        <v>436</v>
      </c>
      <c r="E637" s="544">
        <v>547.366669</v>
      </c>
    </row>
    <row r="638" spans="2:5" x14ac:dyDescent="0.25">
      <c r="B638" s="545">
        <v>724</v>
      </c>
      <c r="C638" s="553" t="s">
        <v>927</v>
      </c>
      <c r="D638" s="669" t="s">
        <v>436</v>
      </c>
      <c r="E638" s="546">
        <v>582.57501200000002</v>
      </c>
    </row>
    <row r="639" spans="2:5" x14ac:dyDescent="0.25">
      <c r="B639" s="545">
        <v>725</v>
      </c>
      <c r="C639" s="553" t="s">
        <v>1054</v>
      </c>
      <c r="D639" s="669" t="s">
        <v>436</v>
      </c>
      <c r="E639" s="546">
        <v>594.15713900000003</v>
      </c>
    </row>
    <row r="640" spans="2:5" x14ac:dyDescent="0.25">
      <c r="B640" s="545">
        <v>726</v>
      </c>
      <c r="C640" s="553" t="s">
        <v>977</v>
      </c>
      <c r="D640" s="669" t="s">
        <v>436</v>
      </c>
      <c r="E640" s="546">
        <v>586.60000600000001</v>
      </c>
    </row>
    <row r="641" spans="2:5" ht="14.4" x14ac:dyDescent="0.25">
      <c r="B641" s="543">
        <v>727</v>
      </c>
      <c r="C641" s="553" t="s">
        <v>717</v>
      </c>
      <c r="D641" s="669" t="s">
        <v>436</v>
      </c>
      <c r="E641" s="544">
        <v>544.13750800000003</v>
      </c>
    </row>
    <row r="642" spans="2:5" ht="14.4" x14ac:dyDescent="0.25">
      <c r="B642" s="543">
        <v>728</v>
      </c>
      <c r="C642" s="553" t="s">
        <v>720</v>
      </c>
      <c r="D642" s="669" t="s">
        <v>436</v>
      </c>
      <c r="E642" s="544">
        <v>545.51428699999997</v>
      </c>
    </row>
    <row r="643" spans="2:5" x14ac:dyDescent="0.25">
      <c r="B643" s="545">
        <v>729</v>
      </c>
      <c r="C643" s="553" t="s">
        <v>883</v>
      </c>
      <c r="D643" s="669" t="s">
        <v>436</v>
      </c>
      <c r="E643" s="546">
        <v>577.96922900000004</v>
      </c>
    </row>
    <row r="644" spans="2:5" x14ac:dyDescent="0.25">
      <c r="B644" s="545">
        <v>730</v>
      </c>
      <c r="C644" s="553" t="s">
        <v>1285</v>
      </c>
      <c r="D644" s="669" t="s">
        <v>436</v>
      </c>
      <c r="E644" s="546">
        <v>608.71666500000003</v>
      </c>
    </row>
    <row r="645" spans="2:5" x14ac:dyDescent="0.25">
      <c r="B645" s="545">
        <v>731</v>
      </c>
      <c r="C645" s="553" t="s">
        <v>1267</v>
      </c>
      <c r="D645" s="669" t="s">
        <v>436</v>
      </c>
      <c r="E645" s="546">
        <v>607.47499100000005</v>
      </c>
    </row>
    <row r="646" spans="2:5" x14ac:dyDescent="0.25">
      <c r="B646" s="545">
        <v>732</v>
      </c>
      <c r="C646" s="553" t="s">
        <v>1113</v>
      </c>
      <c r="D646" s="669" t="s">
        <v>436</v>
      </c>
      <c r="E646" s="546">
        <v>598.50908900000002</v>
      </c>
    </row>
    <row r="647" spans="2:5" x14ac:dyDescent="0.25">
      <c r="B647" s="545">
        <v>733</v>
      </c>
      <c r="C647" s="553" t="s">
        <v>1016</v>
      </c>
      <c r="D647" s="669" t="s">
        <v>436</v>
      </c>
      <c r="E647" s="546">
        <v>607.01111500000002</v>
      </c>
    </row>
    <row r="648" spans="2:5" x14ac:dyDescent="0.25">
      <c r="B648" s="545">
        <v>734</v>
      </c>
      <c r="C648" s="553" t="s">
        <v>1019</v>
      </c>
      <c r="D648" s="669" t="s">
        <v>436</v>
      </c>
      <c r="E648" s="546">
        <v>591.16668700000002</v>
      </c>
    </row>
    <row r="649" spans="2:5" x14ac:dyDescent="0.25">
      <c r="B649" s="545">
        <v>735</v>
      </c>
      <c r="C649" s="553" t="s">
        <v>6718</v>
      </c>
      <c r="D649" s="669" t="s">
        <v>436</v>
      </c>
      <c r="E649" s="546">
        <v>583.40000199999997</v>
      </c>
    </row>
    <row r="650" spans="2:5" x14ac:dyDescent="0.25">
      <c r="B650" s="545">
        <v>736</v>
      </c>
      <c r="C650" s="553" t="s">
        <v>856</v>
      </c>
      <c r="D650" s="669" t="s">
        <v>436</v>
      </c>
      <c r="E650" s="546">
        <v>575.27500899999995</v>
      </c>
    </row>
    <row r="651" spans="2:5" ht="14.4" x14ac:dyDescent="0.25">
      <c r="B651" s="543">
        <v>737</v>
      </c>
      <c r="C651" s="553" t="s">
        <v>6822</v>
      </c>
      <c r="D651" s="669" t="s">
        <v>436</v>
      </c>
      <c r="E651" s="544">
        <v>539.57142899999997</v>
      </c>
    </row>
    <row r="652" spans="2:5" x14ac:dyDescent="0.25">
      <c r="B652" s="545">
        <v>738</v>
      </c>
      <c r="C652" s="553" t="s">
        <v>776</v>
      </c>
      <c r="D652" s="669" t="s">
        <v>436</v>
      </c>
      <c r="E652" s="546">
        <v>563.19999199999995</v>
      </c>
    </row>
    <row r="653" spans="2:5" x14ac:dyDescent="0.25">
      <c r="B653" s="545">
        <v>739</v>
      </c>
      <c r="C653" s="553" t="s">
        <v>827</v>
      </c>
      <c r="D653" s="669" t="s">
        <v>436</v>
      </c>
      <c r="E653" s="546">
        <v>572.34999100000005</v>
      </c>
    </row>
    <row r="654" spans="2:5" x14ac:dyDescent="0.25">
      <c r="B654" s="545">
        <v>740</v>
      </c>
      <c r="C654" s="553" t="s">
        <v>904</v>
      </c>
      <c r="D654" s="669" t="s">
        <v>436</v>
      </c>
      <c r="E654" s="546">
        <v>579.78999599999997</v>
      </c>
    </row>
    <row r="655" spans="2:5" x14ac:dyDescent="0.25">
      <c r="B655" s="545">
        <v>741</v>
      </c>
      <c r="C655" s="553" t="s">
        <v>805</v>
      </c>
      <c r="D655" s="669" t="s">
        <v>436</v>
      </c>
      <c r="E655" s="546">
        <v>567.64284799999996</v>
      </c>
    </row>
    <row r="656" spans="2:5" x14ac:dyDescent="0.25">
      <c r="B656" s="545">
        <v>742</v>
      </c>
      <c r="C656" s="553" t="s">
        <v>7536</v>
      </c>
      <c r="D656" s="669" t="s">
        <v>436</v>
      </c>
      <c r="E656" s="546">
        <v>553.80001800000002</v>
      </c>
    </row>
    <row r="657" spans="2:5" x14ac:dyDescent="0.25">
      <c r="B657" s="545">
        <v>743</v>
      </c>
      <c r="C657" s="553" t="s">
        <v>749</v>
      </c>
      <c r="D657" s="669" t="s">
        <v>436</v>
      </c>
      <c r="E657" s="546">
        <v>557.03998999999999</v>
      </c>
    </row>
    <row r="658" spans="2:5" ht="14.4" x14ac:dyDescent="0.25">
      <c r="B658" s="543">
        <v>744</v>
      </c>
      <c r="C658" s="553" t="s">
        <v>696</v>
      </c>
      <c r="D658" s="669" t="s">
        <v>436</v>
      </c>
      <c r="E658" s="544">
        <v>534.91666899999996</v>
      </c>
    </row>
    <row r="659" spans="2:5" x14ac:dyDescent="0.25">
      <c r="B659" s="545">
        <v>745</v>
      </c>
      <c r="C659" s="553" t="s">
        <v>752</v>
      </c>
      <c r="D659" s="669" t="s">
        <v>436</v>
      </c>
      <c r="E659" s="546">
        <v>557.77999299999999</v>
      </c>
    </row>
    <row r="660" spans="2:5" x14ac:dyDescent="0.25">
      <c r="B660" s="545">
        <v>746</v>
      </c>
      <c r="C660" s="553" t="s">
        <v>6786</v>
      </c>
      <c r="D660" s="669" t="s">
        <v>436</v>
      </c>
      <c r="E660" s="546">
        <v>600.633331</v>
      </c>
    </row>
    <row r="661" spans="2:5" x14ac:dyDescent="0.25">
      <c r="B661" s="545">
        <v>747</v>
      </c>
      <c r="C661" s="553" t="s">
        <v>6958</v>
      </c>
      <c r="D661" s="669" t="s">
        <v>436</v>
      </c>
      <c r="E661" s="546">
        <v>601.70000000000005</v>
      </c>
    </row>
    <row r="662" spans="2:5" x14ac:dyDescent="0.25">
      <c r="B662" s="545">
        <v>748</v>
      </c>
      <c r="C662" s="553" t="s">
        <v>1020</v>
      </c>
      <c r="D662" s="669" t="s">
        <v>436</v>
      </c>
      <c r="E662" s="546">
        <v>591.23999000000003</v>
      </c>
    </row>
    <row r="663" spans="2:5" x14ac:dyDescent="0.25">
      <c r="B663" s="545">
        <v>749</v>
      </c>
      <c r="C663" s="553" t="s">
        <v>972</v>
      </c>
      <c r="D663" s="669" t="s">
        <v>436</v>
      </c>
      <c r="E663" s="546">
        <v>585.96665399999995</v>
      </c>
    </row>
    <row r="664" spans="2:5" x14ac:dyDescent="0.25">
      <c r="B664" s="545">
        <v>750</v>
      </c>
      <c r="C664" s="553" t="s">
        <v>6477</v>
      </c>
      <c r="D664" s="669" t="s">
        <v>436</v>
      </c>
      <c r="E664" s="546">
        <v>550.75715000000002</v>
      </c>
    </row>
    <row r="665" spans="2:5" ht="14.4" x14ac:dyDescent="0.25">
      <c r="B665" s="543">
        <v>751</v>
      </c>
      <c r="C665" s="553" t="s">
        <v>710</v>
      </c>
      <c r="D665" s="669" t="s">
        <v>436</v>
      </c>
      <c r="E665" s="544">
        <v>541.91999499999997</v>
      </c>
    </row>
    <row r="666" spans="2:5" x14ac:dyDescent="0.25">
      <c r="B666" s="545">
        <v>752</v>
      </c>
      <c r="C666" s="553" t="s">
        <v>738</v>
      </c>
      <c r="D666" s="669" t="s">
        <v>436</v>
      </c>
      <c r="E666" s="546">
        <v>552.41334600000005</v>
      </c>
    </row>
    <row r="667" spans="2:5" x14ac:dyDescent="0.25">
      <c r="B667" s="545">
        <v>753</v>
      </c>
      <c r="C667" s="553" t="s">
        <v>6618</v>
      </c>
      <c r="D667" s="669" t="s">
        <v>436</v>
      </c>
      <c r="E667" s="546">
        <v>625.69999700000005</v>
      </c>
    </row>
    <row r="668" spans="2:5" x14ac:dyDescent="0.25">
      <c r="B668" s="545">
        <v>754</v>
      </c>
      <c r="C668" s="553" t="s">
        <v>6728</v>
      </c>
      <c r="D668" s="669" t="s">
        <v>436</v>
      </c>
      <c r="E668" s="546">
        <v>602.24998500000004</v>
      </c>
    </row>
    <row r="669" spans="2:5" x14ac:dyDescent="0.25">
      <c r="B669" s="545">
        <v>755</v>
      </c>
      <c r="C669" s="553" t="s">
        <v>1030</v>
      </c>
      <c r="D669" s="669" t="s">
        <v>436</v>
      </c>
      <c r="E669" s="546">
        <v>591.97778300000004</v>
      </c>
    </row>
    <row r="670" spans="2:5" x14ac:dyDescent="0.25">
      <c r="B670" s="545">
        <v>756</v>
      </c>
      <c r="C670" s="553" t="s">
        <v>820</v>
      </c>
      <c r="D670" s="669" t="s">
        <v>436</v>
      </c>
      <c r="E670" s="546">
        <v>570.90000699999996</v>
      </c>
    </row>
    <row r="671" spans="2:5" ht="14.4" x14ac:dyDescent="0.25">
      <c r="B671" s="543">
        <v>757</v>
      </c>
      <c r="C671" s="553" t="s">
        <v>729</v>
      </c>
      <c r="D671" s="669" t="s">
        <v>436</v>
      </c>
      <c r="E671" s="544">
        <v>548.29999799999996</v>
      </c>
    </row>
    <row r="672" spans="2:5" x14ac:dyDescent="0.25">
      <c r="B672" s="545">
        <v>758</v>
      </c>
      <c r="C672" s="553" t="s">
        <v>1439</v>
      </c>
      <c r="D672" s="669" t="s">
        <v>436</v>
      </c>
      <c r="E672" s="546">
        <v>617.18000500000005</v>
      </c>
    </row>
    <row r="673" spans="2:5" x14ac:dyDescent="0.25">
      <c r="B673" s="545">
        <v>759</v>
      </c>
      <c r="C673" s="553" t="s">
        <v>7419</v>
      </c>
      <c r="D673" s="669" t="s">
        <v>436</v>
      </c>
      <c r="E673" s="546">
        <v>600.55000299999995</v>
      </c>
    </row>
    <row r="674" spans="2:5" x14ac:dyDescent="0.25">
      <c r="B674" s="545">
        <v>760</v>
      </c>
      <c r="C674" s="553" t="s">
        <v>819</v>
      </c>
      <c r="D674" s="669" t="s">
        <v>436</v>
      </c>
      <c r="E674" s="546">
        <v>570.75999100000001</v>
      </c>
    </row>
    <row r="675" spans="2:5" x14ac:dyDescent="0.25">
      <c r="B675" s="545">
        <v>761</v>
      </c>
      <c r="C675" s="553" t="s">
        <v>740</v>
      </c>
      <c r="D675" s="669" t="s">
        <v>436</v>
      </c>
      <c r="E675" s="546">
        <v>552.69999700000005</v>
      </c>
    </row>
    <row r="676" spans="2:5" x14ac:dyDescent="0.25">
      <c r="B676" s="545">
        <v>762</v>
      </c>
      <c r="C676" s="553" t="s">
        <v>734</v>
      </c>
      <c r="D676" s="669" t="s">
        <v>436</v>
      </c>
      <c r="E676" s="546">
        <v>551.44998199999998</v>
      </c>
    </row>
    <row r="677" spans="2:5" x14ac:dyDescent="0.25">
      <c r="B677" s="545">
        <v>763</v>
      </c>
      <c r="C677" s="553" t="s">
        <v>2145</v>
      </c>
      <c r="D677" s="669" t="s">
        <v>436</v>
      </c>
      <c r="E677" s="546">
        <v>650.57777199999998</v>
      </c>
    </row>
    <row r="678" spans="2:5" x14ac:dyDescent="0.25">
      <c r="B678" s="545">
        <v>764</v>
      </c>
      <c r="C678" s="553" t="s">
        <v>1552</v>
      </c>
      <c r="D678" s="669" t="s">
        <v>436</v>
      </c>
      <c r="E678" s="546">
        <v>623.85000600000001</v>
      </c>
    </row>
    <row r="679" spans="2:5" x14ac:dyDescent="0.25">
      <c r="B679" s="545">
        <v>765</v>
      </c>
      <c r="C679" s="553" t="s">
        <v>1541</v>
      </c>
      <c r="D679" s="669" t="s">
        <v>436</v>
      </c>
      <c r="E679" s="546">
        <v>623.09999300000004</v>
      </c>
    </row>
    <row r="680" spans="2:5" x14ac:dyDescent="0.25">
      <c r="B680" s="545">
        <v>766</v>
      </c>
      <c r="C680" s="553" t="s">
        <v>772</v>
      </c>
      <c r="D680" s="669" t="s">
        <v>436</v>
      </c>
      <c r="E680" s="546">
        <v>562.64444300000002</v>
      </c>
    </row>
    <row r="681" spans="2:5" x14ac:dyDescent="0.25">
      <c r="B681" s="545">
        <v>767</v>
      </c>
      <c r="C681" s="553" t="s">
        <v>811</v>
      </c>
      <c r="D681" s="669" t="s">
        <v>436</v>
      </c>
      <c r="E681" s="546">
        <v>569.04000199999996</v>
      </c>
    </row>
    <row r="682" spans="2:5" x14ac:dyDescent="0.25">
      <c r="B682" s="545">
        <v>768</v>
      </c>
      <c r="C682" s="553" t="s">
        <v>1186</v>
      </c>
      <c r="D682" s="669" t="s">
        <v>436</v>
      </c>
      <c r="E682" s="546">
        <v>603.21249799999998</v>
      </c>
    </row>
    <row r="683" spans="2:5" x14ac:dyDescent="0.25">
      <c r="B683" s="545">
        <v>769</v>
      </c>
      <c r="C683" s="553" t="s">
        <v>965</v>
      </c>
      <c r="D683" s="669" t="s">
        <v>436</v>
      </c>
      <c r="E683" s="546">
        <v>585.42000099999996</v>
      </c>
    </row>
    <row r="684" spans="2:5" x14ac:dyDescent="0.25">
      <c r="B684" s="545">
        <v>770</v>
      </c>
      <c r="C684" s="553" t="s">
        <v>929</v>
      </c>
      <c r="D684" s="669" t="s">
        <v>436</v>
      </c>
      <c r="E684" s="546">
        <v>582.67500299999995</v>
      </c>
    </row>
    <row r="685" spans="2:5" x14ac:dyDescent="0.25">
      <c r="B685" s="545">
        <v>771</v>
      </c>
      <c r="C685" s="553" t="s">
        <v>7499</v>
      </c>
      <c r="D685" s="669" t="s">
        <v>436</v>
      </c>
      <c r="E685" s="546">
        <v>654.39999399999999</v>
      </c>
    </row>
    <row r="686" spans="2:5" x14ac:dyDescent="0.25">
      <c r="B686" s="545">
        <v>772</v>
      </c>
      <c r="C686" s="553" t="s">
        <v>1171</v>
      </c>
      <c r="D686" s="669" t="s">
        <v>436</v>
      </c>
      <c r="E686" s="546">
        <v>602.26668299999994</v>
      </c>
    </row>
    <row r="687" spans="2:5" x14ac:dyDescent="0.25">
      <c r="B687" s="545">
        <v>773</v>
      </c>
      <c r="C687" s="553" t="s">
        <v>1032</v>
      </c>
      <c r="D687" s="669" t="s">
        <v>436</v>
      </c>
      <c r="E687" s="546">
        <v>592.09999100000005</v>
      </c>
    </row>
    <row r="688" spans="2:5" x14ac:dyDescent="0.25">
      <c r="B688" s="545">
        <v>774</v>
      </c>
      <c r="C688" s="553" t="s">
        <v>6521</v>
      </c>
      <c r="D688" s="669" t="s">
        <v>436</v>
      </c>
      <c r="E688" s="546">
        <v>619.45554900000002</v>
      </c>
    </row>
    <row r="689" spans="2:5" x14ac:dyDescent="0.25">
      <c r="B689" s="545">
        <v>775</v>
      </c>
      <c r="C689" s="553" t="s">
        <v>1000</v>
      </c>
      <c r="D689" s="669" t="s">
        <v>436</v>
      </c>
      <c r="E689" s="546">
        <v>589.18181800000002</v>
      </c>
    </row>
    <row r="690" spans="2:5" x14ac:dyDescent="0.25">
      <c r="B690" s="545">
        <v>776</v>
      </c>
      <c r="C690" s="553" t="s">
        <v>807</v>
      </c>
      <c r="D690" s="669" t="s">
        <v>436</v>
      </c>
      <c r="E690" s="546">
        <v>612.83335399999999</v>
      </c>
    </row>
    <row r="691" spans="2:5" x14ac:dyDescent="0.25">
      <c r="B691" s="545">
        <v>777</v>
      </c>
      <c r="C691" s="553" t="s">
        <v>1355</v>
      </c>
      <c r="D691" s="669" t="s">
        <v>436</v>
      </c>
      <c r="E691" s="546">
        <v>612.79998799999998</v>
      </c>
    </row>
    <row r="692" spans="2:5" x14ac:dyDescent="0.25">
      <c r="B692" s="545">
        <v>778</v>
      </c>
      <c r="C692" s="553" t="s">
        <v>2052</v>
      </c>
      <c r="D692" s="669" t="s">
        <v>436</v>
      </c>
      <c r="E692" s="546">
        <v>645.55001800000002</v>
      </c>
    </row>
    <row r="693" spans="2:5" x14ac:dyDescent="0.25">
      <c r="B693" s="545">
        <v>801</v>
      </c>
      <c r="C693" s="553" t="s">
        <v>997</v>
      </c>
      <c r="D693" s="669" t="s">
        <v>434</v>
      </c>
      <c r="E693" s="546">
        <v>588.97778300000004</v>
      </c>
    </row>
    <row r="694" spans="2:5" x14ac:dyDescent="0.25">
      <c r="B694" s="545">
        <v>802</v>
      </c>
      <c r="C694" s="553" t="s">
        <v>1133</v>
      </c>
      <c r="D694" s="669" t="s">
        <v>441</v>
      </c>
      <c r="E694" s="546">
        <v>599.63333499999999</v>
      </c>
    </row>
    <row r="695" spans="2:5" x14ac:dyDescent="0.25">
      <c r="B695" s="545">
        <v>803</v>
      </c>
      <c r="C695" s="553" t="s">
        <v>1479</v>
      </c>
      <c r="D695" s="669" t="s">
        <v>434</v>
      </c>
      <c r="E695" s="546">
        <v>619.1</v>
      </c>
    </row>
    <row r="696" spans="2:5" x14ac:dyDescent="0.25">
      <c r="B696" s="545">
        <v>804</v>
      </c>
      <c r="C696" s="553" t="s">
        <v>1004</v>
      </c>
      <c r="D696" s="669" t="s">
        <v>434</v>
      </c>
      <c r="E696" s="546">
        <v>589.39998400000002</v>
      </c>
    </row>
    <row r="697" spans="2:5" x14ac:dyDescent="0.25">
      <c r="B697" s="545">
        <v>805</v>
      </c>
      <c r="C697" s="553" t="s">
        <v>1394</v>
      </c>
      <c r="D697" s="669" t="s">
        <v>434</v>
      </c>
      <c r="E697" s="546">
        <v>614.85999800000002</v>
      </c>
    </row>
    <row r="698" spans="2:5" x14ac:dyDescent="0.25">
      <c r="B698" s="545">
        <v>806</v>
      </c>
      <c r="C698" s="553" t="s">
        <v>1210</v>
      </c>
      <c r="D698" s="669" t="s">
        <v>441</v>
      </c>
      <c r="E698" s="546">
        <v>604.41999499999997</v>
      </c>
    </row>
    <row r="699" spans="2:5" x14ac:dyDescent="0.25">
      <c r="B699" s="545">
        <v>807</v>
      </c>
      <c r="C699" s="553" t="s">
        <v>1289</v>
      </c>
      <c r="D699" s="669" t="s">
        <v>441</v>
      </c>
      <c r="E699" s="546">
        <v>609.02500899999995</v>
      </c>
    </row>
    <row r="700" spans="2:5" x14ac:dyDescent="0.25">
      <c r="B700" s="545">
        <v>808</v>
      </c>
      <c r="C700" s="553" t="s">
        <v>1064</v>
      </c>
      <c r="D700" s="669" t="s">
        <v>434</v>
      </c>
      <c r="E700" s="546">
        <v>594.81428700000004</v>
      </c>
    </row>
    <row r="701" spans="2:5" x14ac:dyDescent="0.25">
      <c r="B701" s="545">
        <v>809</v>
      </c>
      <c r="C701" s="553" t="s">
        <v>1016</v>
      </c>
      <c r="D701" s="669" t="s">
        <v>434</v>
      </c>
      <c r="E701" s="546">
        <v>590.759998</v>
      </c>
    </row>
    <row r="702" spans="2:5" x14ac:dyDescent="0.25">
      <c r="B702" s="545">
        <v>810</v>
      </c>
      <c r="C702" s="553" t="s">
        <v>1542</v>
      </c>
      <c r="D702" s="669" t="s">
        <v>441</v>
      </c>
      <c r="E702" s="546">
        <v>623.20001200000002</v>
      </c>
    </row>
    <row r="703" spans="2:5" x14ac:dyDescent="0.25">
      <c r="B703" s="545">
        <v>811</v>
      </c>
      <c r="C703" s="553" t="s">
        <v>2472</v>
      </c>
      <c r="D703" s="669" t="s">
        <v>441</v>
      </c>
      <c r="E703" s="546">
        <v>664.82999900000004</v>
      </c>
    </row>
    <row r="704" spans="2:5" x14ac:dyDescent="0.25">
      <c r="B704" s="545">
        <v>812</v>
      </c>
      <c r="C704" s="553" t="s">
        <v>7487</v>
      </c>
      <c r="D704" s="669" t="s">
        <v>441</v>
      </c>
      <c r="E704" s="546">
        <v>614.85000600000001</v>
      </c>
    </row>
    <row r="705" spans="2:5" x14ac:dyDescent="0.25">
      <c r="B705" s="545">
        <v>813</v>
      </c>
      <c r="C705" s="553" t="s">
        <v>1495</v>
      </c>
      <c r="D705" s="669" t="s">
        <v>441</v>
      </c>
      <c r="E705" s="546">
        <v>619.97776999999996</v>
      </c>
    </row>
    <row r="706" spans="2:5" x14ac:dyDescent="0.25">
      <c r="B706" s="545">
        <v>814</v>
      </c>
      <c r="C706" s="553" t="s">
        <v>1487</v>
      </c>
      <c r="D706" s="669" t="s">
        <v>434</v>
      </c>
      <c r="E706" s="546">
        <v>619.47500600000001</v>
      </c>
    </row>
    <row r="707" spans="2:5" x14ac:dyDescent="0.25">
      <c r="B707" s="545">
        <v>815</v>
      </c>
      <c r="C707" s="553" t="s">
        <v>6489</v>
      </c>
      <c r="D707" s="669" t="s">
        <v>434</v>
      </c>
      <c r="E707" s="546">
        <v>613.72726699999998</v>
      </c>
    </row>
    <row r="708" spans="2:5" x14ac:dyDescent="0.25">
      <c r="B708" s="545">
        <v>816</v>
      </c>
      <c r="C708" s="553" t="s">
        <v>977</v>
      </c>
      <c r="D708" s="669" t="s">
        <v>434</v>
      </c>
      <c r="E708" s="546">
        <v>615.5</v>
      </c>
    </row>
    <row r="709" spans="2:5" x14ac:dyDescent="0.25">
      <c r="B709" s="545">
        <v>817</v>
      </c>
      <c r="C709" s="553" t="s">
        <v>1012</v>
      </c>
      <c r="D709" s="669" t="s">
        <v>434</v>
      </c>
      <c r="E709" s="546">
        <v>590.35000600000001</v>
      </c>
    </row>
    <row r="710" spans="2:5" x14ac:dyDescent="0.25">
      <c r="B710" s="545">
        <v>818</v>
      </c>
      <c r="C710" s="553" t="s">
        <v>1430</v>
      </c>
      <c r="D710" s="669" t="s">
        <v>441</v>
      </c>
      <c r="E710" s="546">
        <v>616.88461500000005</v>
      </c>
    </row>
    <row r="711" spans="2:5" x14ac:dyDescent="0.25">
      <c r="B711" s="545">
        <v>819</v>
      </c>
      <c r="C711" s="553" t="s">
        <v>1058</v>
      </c>
      <c r="D711" s="669" t="s">
        <v>441</v>
      </c>
      <c r="E711" s="546">
        <v>594.55999799999995</v>
      </c>
    </row>
    <row r="712" spans="2:5" x14ac:dyDescent="0.25">
      <c r="B712" s="545">
        <v>820</v>
      </c>
      <c r="C712" s="553" t="s">
        <v>1087</v>
      </c>
      <c r="D712" s="669" t="s">
        <v>441</v>
      </c>
      <c r="E712" s="546">
        <v>596.63334099999997</v>
      </c>
    </row>
    <row r="713" spans="2:5" x14ac:dyDescent="0.25">
      <c r="B713" s="545">
        <v>821</v>
      </c>
      <c r="C713" s="553" t="s">
        <v>1725</v>
      </c>
      <c r="D713" s="669" t="s">
        <v>441</v>
      </c>
      <c r="E713" s="546">
        <v>633.39999399999999</v>
      </c>
    </row>
    <row r="714" spans="2:5" x14ac:dyDescent="0.25">
      <c r="B714" s="545">
        <v>822</v>
      </c>
      <c r="C714" s="553" t="s">
        <v>2371</v>
      </c>
      <c r="D714" s="669" t="s">
        <v>441</v>
      </c>
      <c r="E714" s="546">
        <v>660.65998500000001</v>
      </c>
    </row>
    <row r="715" spans="2:5" x14ac:dyDescent="0.25">
      <c r="B715" s="545">
        <v>823</v>
      </c>
      <c r="C715" s="553" t="s">
        <v>1112</v>
      </c>
      <c r="D715" s="669" t="s">
        <v>441</v>
      </c>
      <c r="E715" s="546">
        <v>598.5</v>
      </c>
    </row>
    <row r="716" spans="2:5" x14ac:dyDescent="0.25">
      <c r="B716" s="545">
        <v>824</v>
      </c>
      <c r="C716" s="553" t="s">
        <v>1599</v>
      </c>
      <c r="D716" s="669" t="s">
        <v>441</v>
      </c>
      <c r="E716" s="546">
        <v>626.40002400000003</v>
      </c>
    </row>
    <row r="717" spans="2:5" x14ac:dyDescent="0.25">
      <c r="B717" s="545">
        <v>825</v>
      </c>
      <c r="C717" s="553" t="s">
        <v>1776</v>
      </c>
      <c r="D717" s="669" t="s">
        <v>441</v>
      </c>
      <c r="E717" s="546">
        <v>635.22500600000001</v>
      </c>
    </row>
    <row r="718" spans="2:5" x14ac:dyDescent="0.25">
      <c r="B718" s="545">
        <v>826</v>
      </c>
      <c r="C718" s="553" t="s">
        <v>1302</v>
      </c>
      <c r="D718" s="669" t="s">
        <v>441</v>
      </c>
      <c r="E718" s="546">
        <v>609.93332899999996</v>
      </c>
    </row>
    <row r="719" spans="2:5" x14ac:dyDescent="0.25">
      <c r="B719" s="545">
        <v>827</v>
      </c>
      <c r="C719" s="553" t="s">
        <v>1372</v>
      </c>
      <c r="D719" s="669" t="s">
        <v>441</v>
      </c>
      <c r="E719" s="546">
        <v>613.75</v>
      </c>
    </row>
    <row r="720" spans="2:5" x14ac:dyDescent="0.25">
      <c r="B720" s="545">
        <v>828</v>
      </c>
      <c r="C720" s="553" t="s">
        <v>1501</v>
      </c>
      <c r="D720" s="669" t="s">
        <v>441</v>
      </c>
      <c r="E720" s="546">
        <v>629.89999399999999</v>
      </c>
    </row>
    <row r="721" spans="2:5" x14ac:dyDescent="0.25">
      <c r="B721" s="545">
        <v>829</v>
      </c>
      <c r="C721" s="553" t="s">
        <v>957</v>
      </c>
      <c r="D721" s="669" t="s">
        <v>441</v>
      </c>
      <c r="E721" s="546">
        <v>584.75000999999997</v>
      </c>
    </row>
    <row r="722" spans="2:5" x14ac:dyDescent="0.25">
      <c r="B722" s="545">
        <v>830</v>
      </c>
      <c r="C722" s="553" t="s">
        <v>1194</v>
      </c>
      <c r="D722" s="669" t="s">
        <v>434</v>
      </c>
      <c r="E722" s="546">
        <v>603.52857300000005</v>
      </c>
    </row>
    <row r="723" spans="2:5" x14ac:dyDescent="0.25">
      <c r="B723" s="545">
        <v>831</v>
      </c>
      <c r="C723" s="553" t="s">
        <v>7310</v>
      </c>
      <c r="D723" s="669" t="s">
        <v>434</v>
      </c>
      <c r="E723" s="546">
        <v>641.58333300000004</v>
      </c>
    </row>
    <row r="724" spans="2:5" x14ac:dyDescent="0.25">
      <c r="B724" s="545">
        <v>832</v>
      </c>
      <c r="C724" s="553" t="s">
        <v>2093</v>
      </c>
      <c r="D724" s="669" t="s">
        <v>434</v>
      </c>
      <c r="E724" s="546">
        <v>647.92500299999995</v>
      </c>
    </row>
    <row r="725" spans="2:5" x14ac:dyDescent="0.25">
      <c r="B725" s="545">
        <v>833</v>
      </c>
      <c r="C725" s="553" t="s">
        <v>1712</v>
      </c>
      <c r="D725" s="669" t="s">
        <v>434</v>
      </c>
      <c r="E725" s="546">
        <v>632.74999200000002</v>
      </c>
    </row>
    <row r="726" spans="2:5" x14ac:dyDescent="0.25">
      <c r="B726" s="545">
        <v>834</v>
      </c>
      <c r="C726" s="553" t="s">
        <v>1759</v>
      </c>
      <c r="D726" s="669" t="s">
        <v>434</v>
      </c>
      <c r="E726" s="546">
        <v>634.34285199999999</v>
      </c>
    </row>
    <row r="727" spans="2:5" x14ac:dyDescent="0.25">
      <c r="B727" s="545">
        <v>835</v>
      </c>
      <c r="C727" s="553" t="s">
        <v>1634</v>
      </c>
      <c r="D727" s="669" t="s">
        <v>441</v>
      </c>
      <c r="E727" s="546">
        <v>628.08749399999999</v>
      </c>
    </row>
    <row r="728" spans="2:5" x14ac:dyDescent="0.25">
      <c r="B728" s="545">
        <v>836</v>
      </c>
      <c r="C728" s="553" t="s">
        <v>1603</v>
      </c>
      <c r="D728" s="669" t="s">
        <v>441</v>
      </c>
      <c r="E728" s="546">
        <v>626.616669</v>
      </c>
    </row>
    <row r="729" spans="2:5" x14ac:dyDescent="0.25">
      <c r="B729" s="545">
        <v>837</v>
      </c>
      <c r="C729" s="553" t="s">
        <v>1126</v>
      </c>
      <c r="D729" s="669" t="s">
        <v>441</v>
      </c>
      <c r="E729" s="546">
        <v>599.44000200000005</v>
      </c>
    </row>
    <row r="730" spans="2:5" x14ac:dyDescent="0.25">
      <c r="B730" s="545">
        <v>838</v>
      </c>
      <c r="C730" s="553" t="s">
        <v>6821</v>
      </c>
      <c r="D730" s="669" t="s">
        <v>441</v>
      </c>
      <c r="E730" s="546">
        <v>636.55555600000002</v>
      </c>
    </row>
    <row r="731" spans="2:5" x14ac:dyDescent="0.25">
      <c r="B731" s="545">
        <v>839</v>
      </c>
      <c r="C731" s="553" t="s">
        <v>2155</v>
      </c>
      <c r="D731" s="669" t="s">
        <v>441</v>
      </c>
      <c r="E731" s="546">
        <v>651</v>
      </c>
    </row>
    <row r="732" spans="2:5" x14ac:dyDescent="0.25">
      <c r="B732" s="545">
        <v>840</v>
      </c>
      <c r="C732" s="553" t="s">
        <v>1265</v>
      </c>
      <c r="D732" s="669" t="s">
        <v>441</v>
      </c>
      <c r="E732" s="546">
        <v>607.30001800000002</v>
      </c>
    </row>
    <row r="733" spans="2:5" x14ac:dyDescent="0.25">
      <c r="B733" s="545">
        <v>841</v>
      </c>
      <c r="C733" s="553" t="s">
        <v>1052</v>
      </c>
      <c r="D733" s="669" t="s">
        <v>441</v>
      </c>
      <c r="E733" s="546">
        <v>594.125</v>
      </c>
    </row>
    <row r="734" spans="2:5" x14ac:dyDescent="0.25">
      <c r="B734" s="545">
        <v>842</v>
      </c>
      <c r="C734" s="553" t="s">
        <v>1245</v>
      </c>
      <c r="D734" s="669" t="s">
        <v>441</v>
      </c>
      <c r="E734" s="546">
        <v>606.375</v>
      </c>
    </row>
    <row r="735" spans="2:5" x14ac:dyDescent="0.25">
      <c r="B735" s="545">
        <v>843</v>
      </c>
      <c r="C735" s="553" t="s">
        <v>1055</v>
      </c>
      <c r="D735" s="669" t="s">
        <v>434</v>
      </c>
      <c r="E735" s="546">
        <v>594.25</v>
      </c>
    </row>
    <row r="736" spans="2:5" x14ac:dyDescent="0.25">
      <c r="B736" s="545">
        <v>844</v>
      </c>
      <c r="C736" s="553" t="s">
        <v>1433</v>
      </c>
      <c r="D736" s="669" t="s">
        <v>434</v>
      </c>
      <c r="E736" s="546">
        <v>629.28572299999996</v>
      </c>
    </row>
    <row r="737" spans="2:5" x14ac:dyDescent="0.25">
      <c r="B737" s="545">
        <v>845</v>
      </c>
      <c r="C737" s="553" t="s">
        <v>2076</v>
      </c>
      <c r="D737" s="669" t="s">
        <v>434</v>
      </c>
      <c r="E737" s="546">
        <v>647.00000399999999</v>
      </c>
    </row>
    <row r="738" spans="2:5" x14ac:dyDescent="0.25">
      <c r="B738" s="545">
        <v>846</v>
      </c>
      <c r="C738" s="553" t="s">
        <v>2269</v>
      </c>
      <c r="D738" s="669" t="s">
        <v>434</v>
      </c>
      <c r="E738" s="546">
        <v>656.100008</v>
      </c>
    </row>
    <row r="739" spans="2:5" x14ac:dyDescent="0.25">
      <c r="B739" s="545">
        <v>847</v>
      </c>
      <c r="C739" s="553" t="s">
        <v>1955</v>
      </c>
      <c r="D739" s="669" t="s">
        <v>434</v>
      </c>
      <c r="E739" s="546">
        <v>641.96875</v>
      </c>
    </row>
    <row r="740" spans="2:5" x14ac:dyDescent="0.25">
      <c r="B740" s="545">
        <v>848</v>
      </c>
      <c r="C740" s="553" t="s">
        <v>1965</v>
      </c>
      <c r="D740" s="669" t="s">
        <v>441</v>
      </c>
      <c r="E740" s="546">
        <v>642.19412399999999</v>
      </c>
    </row>
    <row r="741" spans="2:5" x14ac:dyDescent="0.25">
      <c r="B741" s="545">
        <v>849</v>
      </c>
      <c r="C741" s="553" t="s">
        <v>1755</v>
      </c>
      <c r="D741" s="669" t="s">
        <v>441</v>
      </c>
      <c r="E741" s="546">
        <v>634.29999999999995</v>
      </c>
    </row>
    <row r="742" spans="2:5" x14ac:dyDescent="0.25">
      <c r="B742" s="545">
        <v>850</v>
      </c>
      <c r="C742" s="553" t="s">
        <v>7409</v>
      </c>
      <c r="D742" s="669" t="s">
        <v>441</v>
      </c>
      <c r="E742" s="546">
        <v>614.85999800000002</v>
      </c>
    </row>
    <row r="743" spans="2:5" x14ac:dyDescent="0.25">
      <c r="B743" s="545">
        <v>851</v>
      </c>
      <c r="C743" s="553" t="s">
        <v>1280</v>
      </c>
      <c r="D743" s="669" t="s">
        <v>441</v>
      </c>
      <c r="E743" s="546">
        <v>608.41427199999998</v>
      </c>
    </row>
    <row r="744" spans="2:5" x14ac:dyDescent="0.25">
      <c r="B744" s="545">
        <v>852</v>
      </c>
      <c r="C744" s="553" t="s">
        <v>2046</v>
      </c>
      <c r="D744" s="669" t="s">
        <v>441</v>
      </c>
      <c r="E744" s="546">
        <v>645.20001200000002</v>
      </c>
    </row>
    <row r="745" spans="2:5" x14ac:dyDescent="0.25">
      <c r="B745" s="545">
        <v>853</v>
      </c>
      <c r="C745" s="553" t="s">
        <v>6823</v>
      </c>
      <c r="D745" s="669" t="s">
        <v>441</v>
      </c>
      <c r="E745" s="546">
        <v>684.37499500000001</v>
      </c>
    </row>
    <row r="746" spans="2:5" x14ac:dyDescent="0.25">
      <c r="B746" s="545">
        <v>854</v>
      </c>
      <c r="C746" s="553" t="s">
        <v>911</v>
      </c>
      <c r="D746" s="669" t="s">
        <v>434</v>
      </c>
      <c r="E746" s="546">
        <v>580.64445000000001</v>
      </c>
    </row>
    <row r="747" spans="2:5" x14ac:dyDescent="0.25">
      <c r="B747" s="545">
        <v>855</v>
      </c>
      <c r="C747" s="553" t="s">
        <v>1029</v>
      </c>
      <c r="D747" s="669" t="s">
        <v>434</v>
      </c>
      <c r="E747" s="546">
        <v>591.96666800000003</v>
      </c>
    </row>
    <row r="748" spans="2:5" x14ac:dyDescent="0.25">
      <c r="B748" s="545">
        <v>856</v>
      </c>
      <c r="C748" s="553" t="s">
        <v>930</v>
      </c>
      <c r="D748" s="669" t="s">
        <v>434</v>
      </c>
      <c r="E748" s="546">
        <v>582.67500299999995</v>
      </c>
    </row>
    <row r="749" spans="2:5" x14ac:dyDescent="0.25">
      <c r="B749" s="545">
        <v>857</v>
      </c>
      <c r="C749" s="553" t="s">
        <v>1048</v>
      </c>
      <c r="D749" s="669" t="s">
        <v>434</v>
      </c>
      <c r="E749" s="546">
        <v>593.728568</v>
      </c>
    </row>
    <row r="750" spans="2:5" x14ac:dyDescent="0.25">
      <c r="B750" s="545">
        <v>858</v>
      </c>
      <c r="C750" s="553" t="s">
        <v>1412</v>
      </c>
      <c r="D750" s="669" t="s">
        <v>434</v>
      </c>
      <c r="E750" s="546">
        <v>616.02499399999999</v>
      </c>
    </row>
    <row r="751" spans="2:5" x14ac:dyDescent="0.25">
      <c r="B751" s="545">
        <v>859</v>
      </c>
      <c r="C751" s="553" t="s">
        <v>1204</v>
      </c>
      <c r="D751" s="669" t="s">
        <v>434</v>
      </c>
      <c r="E751" s="546">
        <v>604.02857300000005</v>
      </c>
    </row>
    <row r="752" spans="2:5" x14ac:dyDescent="0.25">
      <c r="B752" s="545">
        <v>860</v>
      </c>
      <c r="C752" s="553" t="s">
        <v>6696</v>
      </c>
      <c r="D752" s="669" t="s">
        <v>434</v>
      </c>
      <c r="E752" s="546">
        <v>625.30000299999995</v>
      </c>
    </row>
    <row r="753" spans="2:5" x14ac:dyDescent="0.25">
      <c r="B753" s="545">
        <v>861</v>
      </c>
      <c r="C753" s="553" t="s">
        <v>7135</v>
      </c>
      <c r="D753" s="669" t="s">
        <v>434</v>
      </c>
      <c r="E753" s="546">
        <v>658.57499700000005</v>
      </c>
    </row>
    <row r="754" spans="2:5" x14ac:dyDescent="0.25">
      <c r="B754" s="545">
        <v>862</v>
      </c>
      <c r="C754" s="553" t="s">
        <v>7074</v>
      </c>
      <c r="D754" s="669" t="s">
        <v>441</v>
      </c>
      <c r="E754" s="546">
        <v>648.9</v>
      </c>
    </row>
    <row r="755" spans="2:5" x14ac:dyDescent="0.25">
      <c r="B755" s="545">
        <v>863</v>
      </c>
      <c r="C755" s="553" t="s">
        <v>1396</v>
      </c>
      <c r="D755" s="669" t="s">
        <v>441</v>
      </c>
      <c r="E755" s="546">
        <v>614.92857100000003</v>
      </c>
    </row>
    <row r="756" spans="2:5" x14ac:dyDescent="0.25">
      <c r="B756" s="545">
        <v>864</v>
      </c>
      <c r="C756" s="553" t="s">
        <v>1314</v>
      </c>
      <c r="D756" s="669" t="s">
        <v>441</v>
      </c>
      <c r="E756" s="546">
        <v>610.4</v>
      </c>
    </row>
    <row r="757" spans="2:5" x14ac:dyDescent="0.25">
      <c r="B757" s="545">
        <v>865</v>
      </c>
      <c r="C757" s="553" t="s">
        <v>1859</v>
      </c>
      <c r="D757" s="669" t="s">
        <v>441</v>
      </c>
      <c r="E757" s="546">
        <v>638.27500899999995</v>
      </c>
    </row>
    <row r="758" spans="2:5" x14ac:dyDescent="0.25">
      <c r="B758" s="545">
        <v>866</v>
      </c>
      <c r="C758" s="553" t="s">
        <v>6843</v>
      </c>
      <c r="D758" s="669" t="s">
        <v>434</v>
      </c>
      <c r="E758" s="546">
        <v>586.57777899999996</v>
      </c>
    </row>
    <row r="759" spans="2:5" x14ac:dyDescent="0.25">
      <c r="B759" s="545">
        <v>867</v>
      </c>
      <c r="C759" s="553" t="s">
        <v>1224</v>
      </c>
      <c r="D759" s="669" t="s">
        <v>434</v>
      </c>
      <c r="E759" s="546">
        <v>605.20001200000002</v>
      </c>
    </row>
    <row r="760" spans="2:5" x14ac:dyDescent="0.25">
      <c r="B760" s="545">
        <v>868</v>
      </c>
      <c r="C760" s="553" t="s">
        <v>7417</v>
      </c>
      <c r="D760" s="669" t="s">
        <v>434</v>
      </c>
      <c r="E760" s="546">
        <v>606</v>
      </c>
    </row>
    <row r="761" spans="2:5" x14ac:dyDescent="0.25">
      <c r="B761" s="545">
        <v>869</v>
      </c>
      <c r="C761" s="553" t="s">
        <v>1300</v>
      </c>
      <c r="D761" s="669" t="s">
        <v>434</v>
      </c>
      <c r="E761" s="546">
        <v>609.714294</v>
      </c>
    </row>
    <row r="762" spans="2:5" x14ac:dyDescent="0.25">
      <c r="B762" s="545">
        <v>870</v>
      </c>
      <c r="C762" s="553" t="s">
        <v>7120</v>
      </c>
      <c r="D762" s="669" t="s">
        <v>434</v>
      </c>
      <c r="E762" s="546">
        <v>600.95999800000004</v>
      </c>
    </row>
    <row r="763" spans="2:5" x14ac:dyDescent="0.25">
      <c r="B763" s="545">
        <v>871</v>
      </c>
      <c r="C763" s="553" t="s">
        <v>857</v>
      </c>
      <c r="D763" s="669" t="s">
        <v>434</v>
      </c>
      <c r="E763" s="546">
        <v>575.29998799999998</v>
      </c>
    </row>
    <row r="764" spans="2:5" x14ac:dyDescent="0.25">
      <c r="B764" s="545">
        <v>872</v>
      </c>
      <c r="C764" s="553" t="s">
        <v>828</v>
      </c>
      <c r="D764" s="669" t="s">
        <v>434</v>
      </c>
      <c r="E764" s="546">
        <v>572.35000600000001</v>
      </c>
    </row>
    <row r="765" spans="2:5" x14ac:dyDescent="0.25">
      <c r="B765" s="545">
        <v>873</v>
      </c>
      <c r="C765" s="553" t="s">
        <v>797</v>
      </c>
      <c r="D765" s="669" t="s">
        <v>434</v>
      </c>
      <c r="E765" s="546">
        <v>566.62000699999999</v>
      </c>
    </row>
    <row r="766" spans="2:5" x14ac:dyDescent="0.25">
      <c r="B766" s="545">
        <v>874</v>
      </c>
      <c r="C766" s="553" t="s">
        <v>845</v>
      </c>
      <c r="D766" s="669" t="s">
        <v>434</v>
      </c>
      <c r="E766" s="546">
        <v>574.14999399999999</v>
      </c>
    </row>
    <row r="767" spans="2:5" x14ac:dyDescent="0.25">
      <c r="B767" s="545">
        <v>875</v>
      </c>
      <c r="C767" s="553" t="s">
        <v>963</v>
      </c>
      <c r="D767" s="669" t="s">
        <v>434</v>
      </c>
      <c r="E767" s="546">
        <v>618.59998900000005</v>
      </c>
    </row>
    <row r="768" spans="2:5" x14ac:dyDescent="0.25">
      <c r="B768" s="545">
        <v>876</v>
      </c>
      <c r="C768" s="553" t="s">
        <v>1583</v>
      </c>
      <c r="D768" s="669" t="s">
        <v>434</v>
      </c>
      <c r="E768" s="546">
        <v>625.47499800000003</v>
      </c>
    </row>
    <row r="769" spans="2:5" x14ac:dyDescent="0.25">
      <c r="B769" s="545">
        <v>877</v>
      </c>
      <c r="C769" s="553" t="s">
        <v>1903</v>
      </c>
      <c r="D769" s="669" t="s">
        <v>434</v>
      </c>
      <c r="E769" s="546">
        <v>640.07777899999996</v>
      </c>
    </row>
    <row r="770" spans="2:5" x14ac:dyDescent="0.25">
      <c r="B770" s="545">
        <v>878</v>
      </c>
      <c r="C770" s="553" t="s">
        <v>1433</v>
      </c>
      <c r="D770" s="669" t="s">
        <v>441</v>
      </c>
      <c r="E770" s="546">
        <v>616.98749499999997</v>
      </c>
    </row>
    <row r="771" spans="2:5" x14ac:dyDescent="0.25">
      <c r="B771" s="545">
        <v>879</v>
      </c>
      <c r="C771" s="553" t="s">
        <v>1691</v>
      </c>
      <c r="D771" s="669" t="s">
        <v>441</v>
      </c>
      <c r="E771" s="546">
        <v>632.02500899999995</v>
      </c>
    </row>
    <row r="772" spans="2:5" x14ac:dyDescent="0.25">
      <c r="B772" s="545">
        <v>880</v>
      </c>
      <c r="C772" s="553" t="s">
        <v>7374</v>
      </c>
      <c r="D772" s="669" t="s">
        <v>441</v>
      </c>
      <c r="E772" s="546">
        <v>596.79998799999998</v>
      </c>
    </row>
    <row r="773" spans="2:5" x14ac:dyDescent="0.25">
      <c r="B773" s="545">
        <v>881</v>
      </c>
      <c r="C773" s="553" t="s">
        <v>1151</v>
      </c>
      <c r="D773" s="669" t="s">
        <v>441</v>
      </c>
      <c r="E773" s="546">
        <v>601.15999799999997</v>
      </c>
    </row>
    <row r="774" spans="2:5" x14ac:dyDescent="0.25">
      <c r="B774" s="545">
        <v>882</v>
      </c>
      <c r="C774" s="553" t="s">
        <v>6496</v>
      </c>
      <c r="D774" s="669" t="s">
        <v>441</v>
      </c>
      <c r="E774" s="546">
        <v>668.78332999999998</v>
      </c>
    </row>
    <row r="775" spans="2:5" x14ac:dyDescent="0.25">
      <c r="B775" s="545">
        <v>883</v>
      </c>
      <c r="C775" s="553" t="s">
        <v>1949</v>
      </c>
      <c r="D775" s="669" t="s">
        <v>441</v>
      </c>
      <c r="E775" s="546">
        <v>722.45999800000004</v>
      </c>
    </row>
    <row r="776" spans="2:5" x14ac:dyDescent="0.25">
      <c r="B776" s="545">
        <v>884</v>
      </c>
      <c r="C776" s="553" t="s">
        <v>1550</v>
      </c>
      <c r="D776" s="669" t="s">
        <v>444</v>
      </c>
      <c r="E776" s="546">
        <v>623.84997599999997</v>
      </c>
    </row>
    <row r="777" spans="2:5" x14ac:dyDescent="0.25">
      <c r="B777" s="545">
        <v>885</v>
      </c>
      <c r="C777" s="553" t="s">
        <v>7617</v>
      </c>
      <c r="D777" s="669" t="s">
        <v>434</v>
      </c>
      <c r="E777" s="546">
        <v>613.54546000000005</v>
      </c>
    </row>
    <row r="778" spans="2:5" x14ac:dyDescent="0.25">
      <c r="B778" s="545">
        <v>886</v>
      </c>
      <c r="C778" s="553" t="s">
        <v>1373</v>
      </c>
      <c r="D778" s="669" t="s">
        <v>434</v>
      </c>
      <c r="E778" s="546">
        <v>613.82498199999998</v>
      </c>
    </row>
    <row r="779" spans="2:5" x14ac:dyDescent="0.25">
      <c r="B779" s="545">
        <v>887</v>
      </c>
      <c r="C779" s="553" t="s">
        <v>1476</v>
      </c>
      <c r="D779" s="669" t="s">
        <v>434</v>
      </c>
      <c r="E779" s="546">
        <v>619</v>
      </c>
    </row>
    <row r="780" spans="2:5" x14ac:dyDescent="0.25">
      <c r="B780" s="545">
        <v>888</v>
      </c>
      <c r="C780" s="553" t="s">
        <v>1185</v>
      </c>
      <c r="D780" s="669" t="s">
        <v>434</v>
      </c>
      <c r="E780" s="546">
        <v>603.19999199999995</v>
      </c>
    </row>
    <row r="781" spans="2:5" x14ac:dyDescent="0.25">
      <c r="B781" s="545">
        <v>889</v>
      </c>
      <c r="C781" s="553" t="s">
        <v>7475</v>
      </c>
      <c r="D781" s="669" t="s">
        <v>434</v>
      </c>
      <c r="E781" s="546">
        <v>600.17500299999995</v>
      </c>
    </row>
    <row r="782" spans="2:5" x14ac:dyDescent="0.25">
      <c r="B782" s="545">
        <v>890</v>
      </c>
      <c r="C782" s="553" t="s">
        <v>758</v>
      </c>
      <c r="D782" s="669" t="s">
        <v>434</v>
      </c>
      <c r="E782" s="546">
        <v>560.27333599999997</v>
      </c>
    </row>
    <row r="783" spans="2:5" x14ac:dyDescent="0.25">
      <c r="B783" s="545">
        <v>891</v>
      </c>
      <c r="C783" s="553" t="s">
        <v>434</v>
      </c>
      <c r="D783" s="669" t="s">
        <v>434</v>
      </c>
      <c r="E783" s="546">
        <v>553.524136</v>
      </c>
    </row>
    <row r="784" spans="2:5" ht="14.4" x14ac:dyDescent="0.25">
      <c r="B784" s="543">
        <v>892</v>
      </c>
      <c r="C784" s="553" t="s">
        <v>721</v>
      </c>
      <c r="D784" s="669" t="s">
        <v>434</v>
      </c>
      <c r="E784" s="544">
        <v>545.614284</v>
      </c>
    </row>
    <row r="785" spans="2:5" x14ac:dyDescent="0.25">
      <c r="B785" s="545">
        <v>893</v>
      </c>
      <c r="C785" s="553" t="s">
        <v>1154</v>
      </c>
      <c r="D785" s="669" t="s">
        <v>434</v>
      </c>
      <c r="E785" s="546">
        <v>601.259998</v>
      </c>
    </row>
    <row r="786" spans="2:5" x14ac:dyDescent="0.25">
      <c r="B786" s="545">
        <v>894</v>
      </c>
      <c r="C786" s="553" t="s">
        <v>1006</v>
      </c>
      <c r="D786" s="669" t="s">
        <v>434</v>
      </c>
      <c r="E786" s="546">
        <v>589.75715000000002</v>
      </c>
    </row>
    <row r="787" spans="2:5" x14ac:dyDescent="0.25">
      <c r="B787" s="545">
        <v>895</v>
      </c>
      <c r="C787" s="553" t="s">
        <v>2120</v>
      </c>
      <c r="D787" s="669" t="s">
        <v>434</v>
      </c>
      <c r="E787" s="546">
        <v>651.588888</v>
      </c>
    </row>
    <row r="788" spans="2:5" x14ac:dyDescent="0.25">
      <c r="B788" s="545">
        <v>896</v>
      </c>
      <c r="C788" s="553" t="s">
        <v>807</v>
      </c>
      <c r="D788" s="669" t="s">
        <v>441</v>
      </c>
      <c r="E788" s="546">
        <v>646.01667299999997</v>
      </c>
    </row>
    <row r="789" spans="2:5" x14ac:dyDescent="0.25">
      <c r="B789" s="545">
        <v>897</v>
      </c>
      <c r="C789" s="553" t="s">
        <v>1927</v>
      </c>
      <c r="D789" s="669" t="s">
        <v>441</v>
      </c>
      <c r="E789" s="546">
        <v>641.20000300000004</v>
      </c>
    </row>
    <row r="790" spans="2:5" x14ac:dyDescent="0.25">
      <c r="B790" s="545">
        <v>898</v>
      </c>
      <c r="C790" s="553" t="s">
        <v>1059</v>
      </c>
      <c r="D790" s="669" t="s">
        <v>441</v>
      </c>
      <c r="E790" s="546">
        <v>594.6</v>
      </c>
    </row>
    <row r="791" spans="2:5" x14ac:dyDescent="0.25">
      <c r="B791" s="545">
        <v>899</v>
      </c>
      <c r="C791" s="553" t="s">
        <v>1307</v>
      </c>
      <c r="D791" s="669" t="s">
        <v>441</v>
      </c>
      <c r="E791" s="546">
        <v>610.15002400000003</v>
      </c>
    </row>
    <row r="792" spans="2:5" x14ac:dyDescent="0.25">
      <c r="B792" s="545">
        <v>900</v>
      </c>
      <c r="C792" s="553" t="s">
        <v>1270</v>
      </c>
      <c r="D792" s="669" t="s">
        <v>441</v>
      </c>
      <c r="E792" s="546">
        <v>607.65000899999995</v>
      </c>
    </row>
    <row r="793" spans="2:5" x14ac:dyDescent="0.25">
      <c r="B793" s="545">
        <v>901</v>
      </c>
      <c r="C793" s="553" t="s">
        <v>1149</v>
      </c>
      <c r="D793" s="669" t="s">
        <v>441</v>
      </c>
      <c r="E793" s="546">
        <v>600.99998800000003</v>
      </c>
    </row>
    <row r="794" spans="2:5" x14ac:dyDescent="0.25">
      <c r="B794" s="545">
        <v>902</v>
      </c>
      <c r="C794" s="553" t="s">
        <v>2415</v>
      </c>
      <c r="D794" s="669" t="s">
        <v>441</v>
      </c>
      <c r="E794" s="546">
        <v>663</v>
      </c>
    </row>
    <row r="795" spans="2:5" x14ac:dyDescent="0.25">
      <c r="B795" s="545">
        <v>903</v>
      </c>
      <c r="C795" s="553" t="s">
        <v>2054</v>
      </c>
      <c r="D795" s="669" t="s">
        <v>441</v>
      </c>
      <c r="E795" s="546">
        <v>659.10000600000001</v>
      </c>
    </row>
    <row r="796" spans="2:5" x14ac:dyDescent="0.25">
      <c r="B796" s="545">
        <v>904</v>
      </c>
      <c r="C796" s="553" t="s">
        <v>2799</v>
      </c>
      <c r="D796" s="669" t="s">
        <v>441</v>
      </c>
      <c r="E796" s="546">
        <v>681</v>
      </c>
    </row>
    <row r="797" spans="2:5" x14ac:dyDescent="0.25">
      <c r="B797" s="545">
        <v>905</v>
      </c>
      <c r="C797" s="553" t="s">
        <v>2548</v>
      </c>
      <c r="D797" s="669" t="s">
        <v>441</v>
      </c>
      <c r="E797" s="546">
        <v>668.36667899999998</v>
      </c>
    </row>
    <row r="798" spans="2:5" x14ac:dyDescent="0.25">
      <c r="B798" s="545">
        <v>906</v>
      </c>
      <c r="C798" s="553" t="s">
        <v>7094</v>
      </c>
      <c r="D798" s="669" t="s">
        <v>441</v>
      </c>
      <c r="E798" s="546">
        <v>709.07499700000005</v>
      </c>
    </row>
    <row r="799" spans="2:5" x14ac:dyDescent="0.25">
      <c r="B799" s="545">
        <v>907</v>
      </c>
      <c r="C799" s="553" t="s">
        <v>1664</v>
      </c>
      <c r="D799" s="669" t="s">
        <v>441</v>
      </c>
      <c r="E799" s="546">
        <v>696.56001000000003</v>
      </c>
    </row>
    <row r="800" spans="2:5" x14ac:dyDescent="0.25">
      <c r="B800" s="545">
        <v>908</v>
      </c>
      <c r="C800" s="553" t="s">
        <v>1108</v>
      </c>
      <c r="D800" s="669" t="s">
        <v>444</v>
      </c>
      <c r="E800" s="546">
        <v>598.411112</v>
      </c>
    </row>
    <row r="801" spans="2:5" x14ac:dyDescent="0.25">
      <c r="B801" s="545">
        <v>909</v>
      </c>
      <c r="C801" s="553" t="s">
        <v>1260</v>
      </c>
      <c r="D801" s="669" t="s">
        <v>444</v>
      </c>
      <c r="E801" s="546">
        <v>607.14445000000001</v>
      </c>
    </row>
    <row r="802" spans="2:5" x14ac:dyDescent="0.25">
      <c r="B802" s="545">
        <v>910</v>
      </c>
      <c r="C802" s="553" t="s">
        <v>7563</v>
      </c>
      <c r="D802" s="669" t="s">
        <v>434</v>
      </c>
      <c r="E802" s="546">
        <v>615.83332299999995</v>
      </c>
    </row>
    <row r="803" spans="2:5" x14ac:dyDescent="0.25">
      <c r="B803" s="545">
        <v>911</v>
      </c>
      <c r="C803" s="553" t="s">
        <v>1063</v>
      </c>
      <c r="D803" s="669" t="s">
        <v>434</v>
      </c>
      <c r="E803" s="546">
        <v>594.70001200000002</v>
      </c>
    </row>
    <row r="804" spans="2:5" ht="14.4" x14ac:dyDescent="0.25">
      <c r="B804" s="543">
        <v>912</v>
      </c>
      <c r="C804" s="553" t="s">
        <v>700</v>
      </c>
      <c r="D804" s="669" t="s">
        <v>434</v>
      </c>
      <c r="E804" s="544">
        <v>535.75000999999997</v>
      </c>
    </row>
    <row r="805" spans="2:5" x14ac:dyDescent="0.25">
      <c r="B805" s="545">
        <v>913</v>
      </c>
      <c r="C805" s="553" t="s">
        <v>762</v>
      </c>
      <c r="D805" s="669" t="s">
        <v>434</v>
      </c>
      <c r="E805" s="546">
        <v>561.04000199999996</v>
      </c>
    </row>
    <row r="806" spans="2:5" x14ac:dyDescent="0.25">
      <c r="B806" s="545">
        <v>914</v>
      </c>
      <c r="C806" s="553" t="s">
        <v>1198</v>
      </c>
      <c r="D806" s="669" t="s">
        <v>434</v>
      </c>
      <c r="E806" s="546">
        <v>621.48332700000003</v>
      </c>
    </row>
    <row r="807" spans="2:5" x14ac:dyDescent="0.25">
      <c r="B807" s="545">
        <v>915</v>
      </c>
      <c r="C807" s="553" t="s">
        <v>6776</v>
      </c>
      <c r="D807" s="669" t="s">
        <v>441</v>
      </c>
      <c r="E807" s="546">
        <v>595.06667100000004</v>
      </c>
    </row>
    <row r="808" spans="2:5" x14ac:dyDescent="0.25">
      <c r="B808" s="545">
        <v>916</v>
      </c>
      <c r="C808" s="553" t="s">
        <v>6842</v>
      </c>
      <c r="D808" s="669" t="s">
        <v>441</v>
      </c>
      <c r="E808" s="546">
        <v>636.97500600000001</v>
      </c>
    </row>
    <row r="809" spans="2:5" x14ac:dyDescent="0.25">
      <c r="B809" s="545">
        <v>917</v>
      </c>
      <c r="C809" s="553" t="s">
        <v>7619</v>
      </c>
      <c r="D809" s="669" t="s">
        <v>441</v>
      </c>
      <c r="E809" s="546">
        <v>612.17500299999995</v>
      </c>
    </row>
    <row r="810" spans="2:5" x14ac:dyDescent="0.25">
      <c r="B810" s="545">
        <v>918</v>
      </c>
      <c r="C810" s="553" t="s">
        <v>6522</v>
      </c>
      <c r="D810" s="669" t="s">
        <v>441</v>
      </c>
      <c r="E810" s="546">
        <v>595.79332299999999</v>
      </c>
    </row>
    <row r="811" spans="2:5" x14ac:dyDescent="0.25">
      <c r="B811" s="545">
        <v>919</v>
      </c>
      <c r="C811" s="553" t="s">
        <v>1893</v>
      </c>
      <c r="D811" s="669" t="s">
        <v>441</v>
      </c>
      <c r="E811" s="546">
        <v>639.614284</v>
      </c>
    </row>
    <row r="812" spans="2:5" x14ac:dyDescent="0.25">
      <c r="B812" s="545">
        <v>920</v>
      </c>
      <c r="C812" s="553" t="s">
        <v>1909</v>
      </c>
      <c r="D812" s="669" t="s">
        <v>441</v>
      </c>
      <c r="E812" s="546">
        <v>640.20001200000002</v>
      </c>
    </row>
    <row r="813" spans="2:5" x14ac:dyDescent="0.25">
      <c r="B813" s="545">
        <v>921</v>
      </c>
      <c r="C813" s="553" t="s">
        <v>6565</v>
      </c>
      <c r="D813" s="669" t="s">
        <v>441</v>
      </c>
      <c r="E813" s="546">
        <v>631.06001000000003</v>
      </c>
    </row>
    <row r="814" spans="2:5" x14ac:dyDescent="0.25">
      <c r="B814" s="545">
        <v>922</v>
      </c>
      <c r="C814" s="553" t="s">
        <v>1833</v>
      </c>
      <c r="D814" s="669" t="s">
        <v>441</v>
      </c>
      <c r="E814" s="546">
        <v>637.14999399999999</v>
      </c>
    </row>
    <row r="815" spans="2:5" x14ac:dyDescent="0.25">
      <c r="B815" s="545">
        <v>923</v>
      </c>
      <c r="C815" s="553" t="s">
        <v>6656</v>
      </c>
      <c r="D815" s="669" t="s">
        <v>441</v>
      </c>
      <c r="E815" s="546">
        <v>659.69998199999998</v>
      </c>
    </row>
    <row r="816" spans="2:5" x14ac:dyDescent="0.25">
      <c r="B816" s="545">
        <v>924</v>
      </c>
      <c r="C816" s="553" t="s">
        <v>1534</v>
      </c>
      <c r="D816" s="669" t="s">
        <v>441</v>
      </c>
      <c r="E816" s="546">
        <v>635.32857000000001</v>
      </c>
    </row>
    <row r="817" spans="2:5" x14ac:dyDescent="0.25">
      <c r="B817" s="545">
        <v>925</v>
      </c>
      <c r="C817" s="553" t="s">
        <v>2457</v>
      </c>
      <c r="D817" s="669" t="s">
        <v>441</v>
      </c>
      <c r="E817" s="546">
        <v>664.37142500000004</v>
      </c>
    </row>
    <row r="818" spans="2:5" x14ac:dyDescent="0.25">
      <c r="B818" s="545">
        <v>926</v>
      </c>
      <c r="C818" s="553" t="s">
        <v>6602</v>
      </c>
      <c r="D818" s="669" t="s">
        <v>444</v>
      </c>
      <c r="E818" s="546">
        <v>615.24615900000003</v>
      </c>
    </row>
    <row r="819" spans="2:5" x14ac:dyDescent="0.25">
      <c r="B819" s="545">
        <v>927</v>
      </c>
      <c r="C819" s="553" t="s">
        <v>1284</v>
      </c>
      <c r="D819" s="669" t="s">
        <v>434</v>
      </c>
      <c r="E819" s="546">
        <v>608.64999399999999</v>
      </c>
    </row>
    <row r="820" spans="2:5" x14ac:dyDescent="0.25">
      <c r="B820" s="545">
        <v>928</v>
      </c>
      <c r="C820" s="553" t="s">
        <v>885</v>
      </c>
      <c r="D820" s="669" t="s">
        <v>434</v>
      </c>
      <c r="E820" s="546">
        <v>578.14999399999999</v>
      </c>
    </row>
    <row r="821" spans="2:5" x14ac:dyDescent="0.25">
      <c r="B821" s="545">
        <v>929</v>
      </c>
      <c r="C821" s="553" t="s">
        <v>897</v>
      </c>
      <c r="D821" s="669" t="s">
        <v>434</v>
      </c>
      <c r="E821" s="546">
        <v>579.41999499999997</v>
      </c>
    </row>
    <row r="822" spans="2:5" x14ac:dyDescent="0.25">
      <c r="B822" s="545">
        <v>930</v>
      </c>
      <c r="C822" s="553" t="s">
        <v>816</v>
      </c>
      <c r="D822" s="669" t="s">
        <v>434</v>
      </c>
      <c r="E822" s="546">
        <v>570.40002400000003</v>
      </c>
    </row>
    <row r="823" spans="2:5" x14ac:dyDescent="0.25">
      <c r="B823" s="545">
        <v>931</v>
      </c>
      <c r="C823" s="553" t="s">
        <v>751</v>
      </c>
      <c r="D823" s="669" t="s">
        <v>434</v>
      </c>
      <c r="E823" s="546">
        <v>557.71665399999995</v>
      </c>
    </row>
    <row r="824" spans="2:5" ht="14.4" x14ac:dyDescent="0.25">
      <c r="B824" s="543">
        <v>932</v>
      </c>
      <c r="C824" s="553" t="s">
        <v>705</v>
      </c>
      <c r="D824" s="669" t="s">
        <v>434</v>
      </c>
      <c r="E824" s="544">
        <v>540.08499500000005</v>
      </c>
    </row>
    <row r="825" spans="2:5" ht="14.4" x14ac:dyDescent="0.25">
      <c r="B825" s="543">
        <v>933</v>
      </c>
      <c r="C825" s="553" t="s">
        <v>686</v>
      </c>
      <c r="D825" s="669" t="s">
        <v>434</v>
      </c>
      <c r="E825" s="544">
        <v>527.68181300000003</v>
      </c>
    </row>
    <row r="826" spans="2:5" x14ac:dyDescent="0.25">
      <c r="B826" s="545">
        <v>934</v>
      </c>
      <c r="C826" s="553" t="s">
        <v>733</v>
      </c>
      <c r="D826" s="669" t="s">
        <v>434</v>
      </c>
      <c r="E826" s="546">
        <v>550.58823199999995</v>
      </c>
    </row>
    <row r="827" spans="2:5" x14ac:dyDescent="0.25">
      <c r="B827" s="545">
        <v>935</v>
      </c>
      <c r="C827" s="553" t="s">
        <v>735</v>
      </c>
      <c r="D827" s="669" t="s">
        <v>434</v>
      </c>
      <c r="E827" s="546">
        <v>551.93998999999997</v>
      </c>
    </row>
    <row r="828" spans="2:5" x14ac:dyDescent="0.25">
      <c r="B828" s="545">
        <v>936</v>
      </c>
      <c r="C828" s="553" t="s">
        <v>802</v>
      </c>
      <c r="D828" s="669" t="s">
        <v>434</v>
      </c>
      <c r="E828" s="546">
        <v>567.23749499999997</v>
      </c>
    </row>
    <row r="829" spans="2:5" x14ac:dyDescent="0.25">
      <c r="B829" s="545">
        <v>937</v>
      </c>
      <c r="C829" s="553" t="s">
        <v>886</v>
      </c>
      <c r="D829" s="669" t="s">
        <v>441</v>
      </c>
      <c r="E829" s="546">
        <v>578.23331700000006</v>
      </c>
    </row>
    <row r="830" spans="2:5" x14ac:dyDescent="0.25">
      <c r="B830" s="545">
        <v>938</v>
      </c>
      <c r="C830" s="553" t="s">
        <v>964</v>
      </c>
      <c r="D830" s="669" t="s">
        <v>441</v>
      </c>
      <c r="E830" s="546">
        <v>585.40000199999997</v>
      </c>
    </row>
    <row r="831" spans="2:5" x14ac:dyDescent="0.25">
      <c r="B831" s="545">
        <v>939</v>
      </c>
      <c r="C831" s="553" t="s">
        <v>842</v>
      </c>
      <c r="D831" s="669" t="s">
        <v>441</v>
      </c>
      <c r="E831" s="546">
        <v>574.05712900000003</v>
      </c>
    </row>
    <row r="832" spans="2:5" x14ac:dyDescent="0.25">
      <c r="B832" s="545">
        <v>940</v>
      </c>
      <c r="C832" s="553" t="s">
        <v>1121</v>
      </c>
      <c r="D832" s="669" t="s">
        <v>441</v>
      </c>
      <c r="E832" s="546">
        <v>599.06666099999995</v>
      </c>
    </row>
    <row r="833" spans="2:5" x14ac:dyDescent="0.25">
      <c r="B833" s="545">
        <v>941</v>
      </c>
      <c r="C833" s="553" t="s">
        <v>1034</v>
      </c>
      <c r="D833" s="669" t="s">
        <v>441</v>
      </c>
      <c r="E833" s="546">
        <v>592.32499700000005</v>
      </c>
    </row>
    <row r="834" spans="2:5" x14ac:dyDescent="0.25">
      <c r="B834" s="545">
        <v>942</v>
      </c>
      <c r="C834" s="553" t="s">
        <v>952</v>
      </c>
      <c r="D834" s="669" t="s">
        <v>441</v>
      </c>
      <c r="E834" s="546">
        <v>584.36665900000003</v>
      </c>
    </row>
    <row r="835" spans="2:5" x14ac:dyDescent="0.25">
      <c r="B835" s="545">
        <v>943</v>
      </c>
      <c r="C835" s="553" t="s">
        <v>1119</v>
      </c>
      <c r="D835" s="669" t="s">
        <v>441</v>
      </c>
      <c r="E835" s="546">
        <v>598.83999800000004</v>
      </c>
    </row>
    <row r="836" spans="2:5" x14ac:dyDescent="0.25">
      <c r="B836" s="545">
        <v>944</v>
      </c>
      <c r="C836" s="553" t="s">
        <v>849</v>
      </c>
      <c r="D836" s="669" t="s">
        <v>441</v>
      </c>
      <c r="E836" s="546">
        <v>574.59997599999997</v>
      </c>
    </row>
    <row r="837" spans="2:5" x14ac:dyDescent="0.25">
      <c r="B837" s="545">
        <v>945</v>
      </c>
      <c r="C837" s="553" t="s">
        <v>7438</v>
      </c>
      <c r="D837" s="669" t="s">
        <v>441</v>
      </c>
      <c r="E837" s="546">
        <v>637</v>
      </c>
    </row>
    <row r="838" spans="2:5" x14ac:dyDescent="0.25">
      <c r="B838" s="545">
        <v>946</v>
      </c>
      <c r="C838" s="553" t="s">
        <v>1473</v>
      </c>
      <c r="D838" s="669" t="s">
        <v>441</v>
      </c>
      <c r="E838" s="546">
        <v>618.85000600000001</v>
      </c>
    </row>
    <row r="839" spans="2:5" x14ac:dyDescent="0.25">
      <c r="B839" s="545">
        <v>947</v>
      </c>
      <c r="C839" s="553" t="s">
        <v>1844</v>
      </c>
      <c r="D839" s="669" t="s">
        <v>441</v>
      </c>
      <c r="E839" s="546">
        <v>637.55001800000002</v>
      </c>
    </row>
    <row r="840" spans="2:5" x14ac:dyDescent="0.25">
      <c r="B840" s="545">
        <v>948</v>
      </c>
      <c r="C840" s="553" t="s">
        <v>7144</v>
      </c>
      <c r="D840" s="669" t="s">
        <v>441</v>
      </c>
      <c r="E840" s="546">
        <v>658.41666699999996</v>
      </c>
    </row>
    <row r="841" spans="2:5" x14ac:dyDescent="0.25">
      <c r="B841" s="545">
        <v>949</v>
      </c>
      <c r="C841" s="553" t="s">
        <v>1454</v>
      </c>
      <c r="D841" s="669" t="s">
        <v>444</v>
      </c>
      <c r="E841" s="546">
        <v>617.89999799999998</v>
      </c>
    </row>
    <row r="842" spans="2:5" x14ac:dyDescent="0.25">
      <c r="B842" s="545">
        <v>950</v>
      </c>
      <c r="C842" s="553" t="s">
        <v>1461</v>
      </c>
      <c r="D842" s="669" t="s">
        <v>444</v>
      </c>
      <c r="E842" s="546">
        <v>618.29999899999996</v>
      </c>
    </row>
    <row r="843" spans="2:5" x14ac:dyDescent="0.25">
      <c r="B843" s="545">
        <v>951</v>
      </c>
      <c r="C843" s="553" t="s">
        <v>1244</v>
      </c>
      <c r="D843" s="669" t="s">
        <v>434</v>
      </c>
      <c r="E843" s="546">
        <v>606.35999800000002</v>
      </c>
    </row>
    <row r="844" spans="2:5" x14ac:dyDescent="0.25">
      <c r="B844" s="545">
        <v>952</v>
      </c>
      <c r="C844" s="553" t="s">
        <v>761</v>
      </c>
      <c r="D844" s="669" t="s">
        <v>434</v>
      </c>
      <c r="E844" s="546">
        <v>560.89999399999999</v>
      </c>
    </row>
    <row r="845" spans="2:5" ht="14.4" x14ac:dyDescent="0.25">
      <c r="B845" s="543">
        <v>953</v>
      </c>
      <c r="C845" s="553" t="s">
        <v>732</v>
      </c>
      <c r="D845" s="669" t="s">
        <v>434</v>
      </c>
      <c r="E845" s="544">
        <v>549.49999100000002</v>
      </c>
    </row>
    <row r="846" spans="2:5" ht="14.4" x14ac:dyDescent="0.25">
      <c r="B846" s="543">
        <v>954</v>
      </c>
      <c r="C846" s="553" t="s">
        <v>6985</v>
      </c>
      <c r="D846" s="669" t="s">
        <v>434</v>
      </c>
      <c r="E846" s="544">
        <v>526.19999700000005</v>
      </c>
    </row>
    <row r="847" spans="2:5" ht="14.4" x14ac:dyDescent="0.25">
      <c r="B847" s="543">
        <v>955</v>
      </c>
      <c r="C847" s="553" t="s">
        <v>687</v>
      </c>
      <c r="D847" s="669" t="s">
        <v>434</v>
      </c>
      <c r="E847" s="544">
        <v>527.91249800000003</v>
      </c>
    </row>
    <row r="848" spans="2:5" ht="14.4" x14ac:dyDescent="0.25">
      <c r="B848" s="543">
        <v>956</v>
      </c>
      <c r="C848" s="553" t="s">
        <v>731</v>
      </c>
      <c r="D848" s="669" t="s">
        <v>434</v>
      </c>
      <c r="E848" s="544">
        <v>548.90714400000002</v>
      </c>
    </row>
    <row r="849" spans="2:5" x14ac:dyDescent="0.25">
      <c r="B849" s="545">
        <v>957</v>
      </c>
      <c r="C849" s="553" t="s">
        <v>6690</v>
      </c>
      <c r="D849" s="669" t="s">
        <v>434</v>
      </c>
      <c r="E849" s="546">
        <v>565.65000399999997</v>
      </c>
    </row>
    <row r="850" spans="2:5" x14ac:dyDescent="0.25">
      <c r="B850" s="545">
        <v>958</v>
      </c>
      <c r="C850" s="553" t="s">
        <v>851</v>
      </c>
      <c r="D850" s="669" t="s">
        <v>434</v>
      </c>
      <c r="E850" s="546">
        <v>574.875</v>
      </c>
    </row>
    <row r="851" spans="2:5" x14ac:dyDescent="0.25">
      <c r="B851" s="545">
        <v>959</v>
      </c>
      <c r="C851" s="553" t="s">
        <v>1102</v>
      </c>
      <c r="D851" s="669" t="s">
        <v>441</v>
      </c>
      <c r="E851" s="546">
        <v>597.85999800000002</v>
      </c>
    </row>
    <row r="852" spans="2:5" x14ac:dyDescent="0.25">
      <c r="B852" s="545">
        <v>960</v>
      </c>
      <c r="C852" s="553" t="s">
        <v>1180</v>
      </c>
      <c r="D852" s="669" t="s">
        <v>441</v>
      </c>
      <c r="E852" s="546">
        <v>602.96667500000001</v>
      </c>
    </row>
    <row r="853" spans="2:5" x14ac:dyDescent="0.25">
      <c r="B853" s="545">
        <v>961</v>
      </c>
      <c r="C853" s="553" t="s">
        <v>1278</v>
      </c>
      <c r="D853" s="669" t="s">
        <v>441</v>
      </c>
      <c r="E853" s="546">
        <v>608.28999599999997</v>
      </c>
    </row>
    <row r="854" spans="2:5" x14ac:dyDescent="0.25">
      <c r="B854" s="545">
        <v>962</v>
      </c>
      <c r="C854" s="553" t="s">
        <v>1114</v>
      </c>
      <c r="D854" s="669" t="s">
        <v>441</v>
      </c>
      <c r="E854" s="546">
        <v>598.52999899999998</v>
      </c>
    </row>
    <row r="855" spans="2:5" x14ac:dyDescent="0.25">
      <c r="B855" s="545">
        <v>963</v>
      </c>
      <c r="C855" s="553" t="s">
        <v>1103</v>
      </c>
      <c r="D855" s="669" t="s">
        <v>441</v>
      </c>
      <c r="E855" s="546">
        <v>597.99999200000002</v>
      </c>
    </row>
    <row r="856" spans="2:5" x14ac:dyDescent="0.25">
      <c r="B856" s="545">
        <v>964</v>
      </c>
      <c r="C856" s="553" t="s">
        <v>1669</v>
      </c>
      <c r="D856" s="669" t="s">
        <v>441</v>
      </c>
      <c r="E856" s="546">
        <v>630.70001200000002</v>
      </c>
    </row>
    <row r="857" spans="2:5" x14ac:dyDescent="0.25">
      <c r="B857" s="545">
        <v>965</v>
      </c>
      <c r="C857" s="553" t="s">
        <v>878</v>
      </c>
      <c r="D857" s="669" t="s">
        <v>441</v>
      </c>
      <c r="E857" s="546">
        <v>577.55000299999995</v>
      </c>
    </row>
    <row r="858" spans="2:5" x14ac:dyDescent="0.25">
      <c r="B858" s="545">
        <v>966</v>
      </c>
      <c r="C858" s="553" t="s">
        <v>1042</v>
      </c>
      <c r="D858" s="669" t="s">
        <v>441</v>
      </c>
      <c r="E858" s="546">
        <v>632.214294</v>
      </c>
    </row>
    <row r="859" spans="2:5" x14ac:dyDescent="0.25">
      <c r="B859" s="545">
        <v>967</v>
      </c>
      <c r="C859" s="553" t="s">
        <v>1168</v>
      </c>
      <c r="D859" s="669" t="s">
        <v>441</v>
      </c>
      <c r="E859" s="546">
        <v>602.11998300000005</v>
      </c>
    </row>
    <row r="860" spans="2:5" x14ac:dyDescent="0.25">
      <c r="B860" s="545">
        <v>968</v>
      </c>
      <c r="C860" s="553" t="s">
        <v>1334</v>
      </c>
      <c r="D860" s="669" t="s">
        <v>441</v>
      </c>
      <c r="E860" s="546">
        <v>611.70001200000002</v>
      </c>
    </row>
    <row r="861" spans="2:5" x14ac:dyDescent="0.25">
      <c r="B861" s="545">
        <v>969</v>
      </c>
      <c r="C861" s="553" t="s">
        <v>7439</v>
      </c>
      <c r="D861" s="669" t="s">
        <v>441</v>
      </c>
      <c r="E861" s="546">
        <v>643.66001000000006</v>
      </c>
    </row>
    <row r="862" spans="2:5" x14ac:dyDescent="0.25">
      <c r="B862" s="545">
        <v>970</v>
      </c>
      <c r="C862" s="553" t="s">
        <v>2194</v>
      </c>
      <c r="D862" s="669" t="s">
        <v>441</v>
      </c>
      <c r="E862" s="546">
        <v>652.69999700000005</v>
      </c>
    </row>
    <row r="863" spans="2:5" x14ac:dyDescent="0.25">
      <c r="B863" s="545">
        <v>971</v>
      </c>
      <c r="C863" s="553" t="s">
        <v>2113</v>
      </c>
      <c r="D863" s="669" t="s">
        <v>444</v>
      </c>
      <c r="E863" s="546">
        <v>649.20001200000002</v>
      </c>
    </row>
    <row r="864" spans="2:5" x14ac:dyDescent="0.25">
      <c r="B864" s="545">
        <v>972</v>
      </c>
      <c r="C864" s="553" t="s">
        <v>7199</v>
      </c>
      <c r="D864" s="669" t="s">
        <v>444</v>
      </c>
      <c r="E864" s="546">
        <v>645.89000199999998</v>
      </c>
    </row>
    <row r="865" spans="2:5" x14ac:dyDescent="0.25">
      <c r="B865" s="545">
        <v>973</v>
      </c>
      <c r="C865" s="553" t="s">
        <v>1976</v>
      </c>
      <c r="D865" s="669" t="s">
        <v>444</v>
      </c>
      <c r="E865" s="546">
        <v>642.62222599999996</v>
      </c>
    </row>
    <row r="866" spans="2:5" x14ac:dyDescent="0.25">
      <c r="B866" s="545">
        <v>974</v>
      </c>
      <c r="C866" s="553" t="s">
        <v>6780</v>
      </c>
      <c r="D866" s="669" t="s">
        <v>444</v>
      </c>
      <c r="E866" s="546">
        <v>596.96364000000005</v>
      </c>
    </row>
    <row r="867" spans="2:5" x14ac:dyDescent="0.25">
      <c r="B867" s="545">
        <v>975</v>
      </c>
      <c r="C867" s="553" t="s">
        <v>6530</v>
      </c>
      <c r="D867" s="669" t="s">
        <v>434</v>
      </c>
      <c r="E867" s="546">
        <v>568.125</v>
      </c>
    </row>
    <row r="868" spans="2:5" x14ac:dyDescent="0.25">
      <c r="B868" s="545">
        <v>976</v>
      </c>
      <c r="C868" s="553" t="s">
        <v>812</v>
      </c>
      <c r="D868" s="669" t="s">
        <v>434</v>
      </c>
      <c r="E868" s="546">
        <v>569.44546200000002</v>
      </c>
    </row>
    <row r="869" spans="2:5" x14ac:dyDescent="0.25">
      <c r="B869" s="545">
        <v>977</v>
      </c>
      <c r="C869" s="553" t="s">
        <v>788</v>
      </c>
      <c r="D869" s="669" t="s">
        <v>434</v>
      </c>
      <c r="E869" s="546">
        <v>565.03749800000003</v>
      </c>
    </row>
    <row r="870" spans="2:5" x14ac:dyDescent="0.25">
      <c r="B870" s="545">
        <v>978</v>
      </c>
      <c r="C870" s="553" t="s">
        <v>745</v>
      </c>
      <c r="D870" s="669" t="s">
        <v>434</v>
      </c>
      <c r="E870" s="546">
        <v>554.9375</v>
      </c>
    </row>
    <row r="871" spans="2:5" ht="14.4" x14ac:dyDescent="0.25">
      <c r="B871" s="543">
        <v>979</v>
      </c>
      <c r="C871" s="553" t="s">
        <v>716</v>
      </c>
      <c r="D871" s="669" t="s">
        <v>434</v>
      </c>
      <c r="E871" s="544">
        <v>543.13332100000002</v>
      </c>
    </row>
    <row r="872" spans="2:5" ht="14.4" x14ac:dyDescent="0.25">
      <c r="B872" s="543">
        <v>980</v>
      </c>
      <c r="C872" s="553" t="s">
        <v>683</v>
      </c>
      <c r="D872" s="669" t="s">
        <v>434</v>
      </c>
      <c r="E872" s="544">
        <v>525.30833900000005</v>
      </c>
    </row>
    <row r="873" spans="2:5" x14ac:dyDescent="0.25">
      <c r="B873" s="545">
        <v>981</v>
      </c>
      <c r="C873" s="553" t="s">
        <v>1010</v>
      </c>
      <c r="D873" s="669" t="s">
        <v>434</v>
      </c>
      <c r="E873" s="546">
        <v>590.09999600000003</v>
      </c>
    </row>
    <row r="874" spans="2:5" x14ac:dyDescent="0.25">
      <c r="B874" s="545">
        <v>982</v>
      </c>
      <c r="C874" s="553" t="s">
        <v>1150</v>
      </c>
      <c r="D874" s="669" t="s">
        <v>434</v>
      </c>
      <c r="E874" s="546">
        <v>601.10000600000001</v>
      </c>
    </row>
    <row r="875" spans="2:5" x14ac:dyDescent="0.25">
      <c r="B875" s="545">
        <v>983</v>
      </c>
      <c r="C875" s="553" t="s">
        <v>2181</v>
      </c>
      <c r="D875" s="669" t="s">
        <v>434</v>
      </c>
      <c r="E875" s="546">
        <v>652.20001200000002</v>
      </c>
    </row>
    <row r="876" spans="2:5" x14ac:dyDescent="0.25">
      <c r="B876" s="545">
        <v>984</v>
      </c>
      <c r="C876" s="553" t="s">
        <v>1798</v>
      </c>
      <c r="D876" s="669" t="s">
        <v>441</v>
      </c>
      <c r="E876" s="546">
        <v>635.93332899999996</v>
      </c>
    </row>
    <row r="877" spans="2:5" x14ac:dyDescent="0.25">
      <c r="B877" s="545">
        <v>985</v>
      </c>
      <c r="C877" s="553" t="s">
        <v>2224</v>
      </c>
      <c r="D877" s="669" t="s">
        <v>441</v>
      </c>
      <c r="E877" s="546">
        <v>654</v>
      </c>
    </row>
    <row r="878" spans="2:5" x14ac:dyDescent="0.25">
      <c r="B878" s="545">
        <v>986</v>
      </c>
      <c r="C878" s="553" t="s">
        <v>1732</v>
      </c>
      <c r="D878" s="669" t="s">
        <v>441</v>
      </c>
      <c r="E878" s="546">
        <v>633.63332100000002</v>
      </c>
    </row>
    <row r="879" spans="2:5" x14ac:dyDescent="0.25">
      <c r="B879" s="545">
        <v>987</v>
      </c>
      <c r="C879" s="553" t="s">
        <v>2036</v>
      </c>
      <c r="D879" s="669" t="s">
        <v>441</v>
      </c>
      <c r="E879" s="546">
        <v>644.62000699999999</v>
      </c>
    </row>
    <row r="880" spans="2:5" x14ac:dyDescent="0.25">
      <c r="B880" s="545">
        <v>988</v>
      </c>
      <c r="C880" s="553" t="s">
        <v>2474</v>
      </c>
      <c r="D880" s="669" t="s">
        <v>441</v>
      </c>
      <c r="E880" s="546">
        <v>664.89999399999999</v>
      </c>
    </row>
    <row r="881" spans="2:5" x14ac:dyDescent="0.25">
      <c r="B881" s="545">
        <v>989</v>
      </c>
      <c r="C881" s="553" t="s">
        <v>909</v>
      </c>
      <c r="D881" s="669" t="s">
        <v>441</v>
      </c>
      <c r="E881" s="546">
        <v>630.08333300000004</v>
      </c>
    </row>
    <row r="882" spans="2:5" x14ac:dyDescent="0.25">
      <c r="B882" s="545">
        <v>990</v>
      </c>
      <c r="C882" s="553" t="s">
        <v>2334</v>
      </c>
      <c r="D882" s="669" t="s">
        <v>441</v>
      </c>
      <c r="E882" s="546">
        <v>659.03333499999997</v>
      </c>
    </row>
    <row r="883" spans="2:5" x14ac:dyDescent="0.25">
      <c r="B883" s="545">
        <v>991</v>
      </c>
      <c r="C883" s="553" t="s">
        <v>2747</v>
      </c>
      <c r="D883" s="669" t="s">
        <v>441</v>
      </c>
      <c r="E883" s="546">
        <v>678.07501200000002</v>
      </c>
    </row>
    <row r="884" spans="2:5" x14ac:dyDescent="0.25">
      <c r="B884" s="545">
        <v>992</v>
      </c>
      <c r="C884" s="553" t="s">
        <v>1573</v>
      </c>
      <c r="D884" s="669" t="s">
        <v>441</v>
      </c>
      <c r="E884" s="546">
        <v>624.80555600000002</v>
      </c>
    </row>
    <row r="885" spans="2:5" x14ac:dyDescent="0.25">
      <c r="B885" s="545">
        <v>993</v>
      </c>
      <c r="C885" s="553" t="s">
        <v>971</v>
      </c>
      <c r="D885" s="669" t="s">
        <v>441</v>
      </c>
      <c r="E885" s="546">
        <v>616</v>
      </c>
    </row>
    <row r="886" spans="2:5" x14ac:dyDescent="0.25">
      <c r="B886" s="545">
        <v>994</v>
      </c>
      <c r="C886" s="553" t="s">
        <v>1623</v>
      </c>
      <c r="D886" s="669" t="s">
        <v>441</v>
      </c>
      <c r="E886" s="546">
        <v>627.66998899999999</v>
      </c>
    </row>
    <row r="887" spans="2:5" x14ac:dyDescent="0.25">
      <c r="B887" s="545">
        <v>995</v>
      </c>
      <c r="C887" s="553" t="s">
        <v>1843</v>
      </c>
      <c r="D887" s="669" t="s">
        <v>444</v>
      </c>
      <c r="E887" s="546">
        <v>637.48571800000002</v>
      </c>
    </row>
    <row r="888" spans="2:5" x14ac:dyDescent="0.25">
      <c r="B888" s="545">
        <v>996</v>
      </c>
      <c r="C888" s="553" t="s">
        <v>1384</v>
      </c>
      <c r="D888" s="669" t="s">
        <v>444</v>
      </c>
      <c r="E888" s="546">
        <v>614.16001000000006</v>
      </c>
    </row>
    <row r="889" spans="2:5" x14ac:dyDescent="0.25">
      <c r="B889" s="545">
        <v>997</v>
      </c>
      <c r="C889" s="553" t="s">
        <v>6719</v>
      </c>
      <c r="D889" s="669" t="s">
        <v>434</v>
      </c>
      <c r="E889" s="546">
        <v>571.64999899999998</v>
      </c>
    </row>
    <row r="890" spans="2:5" x14ac:dyDescent="0.25">
      <c r="B890" s="545">
        <v>998</v>
      </c>
      <c r="C890" s="553" t="s">
        <v>863</v>
      </c>
      <c r="D890" s="669" t="s">
        <v>434</v>
      </c>
      <c r="E890" s="546">
        <v>575.91428900000005</v>
      </c>
    </row>
    <row r="891" spans="2:5" ht="14.4" x14ac:dyDescent="0.25">
      <c r="B891" s="543">
        <v>999</v>
      </c>
      <c r="C891" s="553" t="s">
        <v>692</v>
      </c>
      <c r="D891" s="669" t="s">
        <v>434</v>
      </c>
      <c r="E891" s="544">
        <v>529.95001200000002</v>
      </c>
    </row>
    <row r="892" spans="2:5" ht="14.4" x14ac:dyDescent="0.25">
      <c r="B892" s="543">
        <v>1000</v>
      </c>
      <c r="C892" s="553" t="s">
        <v>694</v>
      </c>
      <c r="D892" s="669" t="s">
        <v>434</v>
      </c>
      <c r="E892" s="544">
        <v>531.55999799999995</v>
      </c>
    </row>
    <row r="893" spans="2:5" ht="14.4" x14ac:dyDescent="0.25">
      <c r="B893" s="543">
        <v>1001</v>
      </c>
      <c r="C893" s="553" t="s">
        <v>679</v>
      </c>
      <c r="D893" s="669" t="s">
        <v>434</v>
      </c>
      <c r="E893" s="544">
        <v>523.25454400000001</v>
      </c>
    </row>
    <row r="894" spans="2:5" ht="14.4" x14ac:dyDescent="0.25">
      <c r="B894" s="543">
        <v>1002</v>
      </c>
      <c r="C894" s="553" t="s">
        <v>678</v>
      </c>
      <c r="D894" s="669" t="s">
        <v>434</v>
      </c>
      <c r="E894" s="544">
        <v>521.75</v>
      </c>
    </row>
    <row r="895" spans="2:5" x14ac:dyDescent="0.25">
      <c r="B895" s="545">
        <v>1003</v>
      </c>
      <c r="C895" s="553" t="s">
        <v>742</v>
      </c>
      <c r="D895" s="669" t="s">
        <v>434</v>
      </c>
      <c r="E895" s="546">
        <v>554.07271500000002</v>
      </c>
    </row>
    <row r="896" spans="2:5" x14ac:dyDescent="0.25">
      <c r="B896" s="545">
        <v>1004</v>
      </c>
      <c r="C896" s="553" t="s">
        <v>1007</v>
      </c>
      <c r="D896" s="669" t="s">
        <v>434</v>
      </c>
      <c r="E896" s="546">
        <v>589.86665900000003</v>
      </c>
    </row>
    <row r="897" spans="2:5" x14ac:dyDescent="0.25">
      <c r="B897" s="545">
        <v>1005</v>
      </c>
      <c r="C897" s="553" t="s">
        <v>1360</v>
      </c>
      <c r="D897" s="669" t="s">
        <v>434</v>
      </c>
      <c r="E897" s="546">
        <v>613.09999600000003</v>
      </c>
    </row>
    <row r="898" spans="2:5" x14ac:dyDescent="0.25">
      <c r="B898" s="545">
        <v>1006</v>
      </c>
      <c r="C898" s="553" t="s">
        <v>3225</v>
      </c>
      <c r="D898" s="669" t="s">
        <v>441</v>
      </c>
      <c r="E898" s="546">
        <v>702.37500499999999</v>
      </c>
    </row>
    <row r="899" spans="2:5" x14ac:dyDescent="0.25">
      <c r="B899" s="545">
        <v>1007</v>
      </c>
      <c r="C899" s="553" t="s">
        <v>3517</v>
      </c>
      <c r="D899" s="669" t="s">
        <v>441</v>
      </c>
      <c r="E899" s="546">
        <v>717.15999799999997</v>
      </c>
    </row>
    <row r="900" spans="2:5" x14ac:dyDescent="0.25">
      <c r="B900" s="545">
        <v>1008</v>
      </c>
      <c r="C900" s="553" t="s">
        <v>3261</v>
      </c>
      <c r="D900" s="669" t="s">
        <v>441</v>
      </c>
      <c r="E900" s="546">
        <v>703.60001599999998</v>
      </c>
    </row>
    <row r="901" spans="2:5" x14ac:dyDescent="0.25">
      <c r="B901" s="545">
        <v>1009</v>
      </c>
      <c r="C901" s="553" t="s">
        <v>3280</v>
      </c>
      <c r="D901" s="669" t="s">
        <v>441</v>
      </c>
      <c r="E901" s="546">
        <v>704.67498799999998</v>
      </c>
    </row>
    <row r="902" spans="2:5" x14ac:dyDescent="0.25">
      <c r="B902" s="545">
        <v>1010</v>
      </c>
      <c r="C902" s="553" t="s">
        <v>2172</v>
      </c>
      <c r="D902" s="669" t="s">
        <v>441</v>
      </c>
      <c r="E902" s="546">
        <v>651.875</v>
      </c>
    </row>
    <row r="903" spans="2:5" x14ac:dyDescent="0.25">
      <c r="B903" s="545">
        <v>1011</v>
      </c>
      <c r="C903" s="553" t="s">
        <v>1324</v>
      </c>
      <c r="D903" s="669" t="s">
        <v>441</v>
      </c>
      <c r="E903" s="546">
        <v>611.05000299999995</v>
      </c>
    </row>
    <row r="904" spans="2:5" x14ac:dyDescent="0.25">
      <c r="B904" s="545">
        <v>1012</v>
      </c>
      <c r="C904" s="553" t="s">
        <v>7386</v>
      </c>
      <c r="D904" s="669" t="s">
        <v>441</v>
      </c>
      <c r="E904" s="546">
        <v>614.08332299999995</v>
      </c>
    </row>
    <row r="905" spans="2:5" x14ac:dyDescent="0.25">
      <c r="B905" s="545">
        <v>1013</v>
      </c>
      <c r="C905" s="553" t="s">
        <v>875</v>
      </c>
      <c r="D905" s="669" t="s">
        <v>434</v>
      </c>
      <c r="E905" s="546">
        <v>577.29091000000005</v>
      </c>
    </row>
    <row r="906" spans="2:5" ht="14.4" x14ac:dyDescent="0.25">
      <c r="B906" s="543">
        <v>1014</v>
      </c>
      <c r="C906" s="553" t="s">
        <v>711</v>
      </c>
      <c r="D906" s="669" t="s">
        <v>434</v>
      </c>
      <c r="E906" s="544">
        <v>542.15713900000003</v>
      </c>
    </row>
    <row r="907" spans="2:5" ht="14.4" x14ac:dyDescent="0.25">
      <c r="B907" s="543">
        <v>1015</v>
      </c>
      <c r="C907" s="553" t="s">
        <v>698</v>
      </c>
      <c r="D907" s="669" t="s">
        <v>434</v>
      </c>
      <c r="E907" s="544">
        <v>535.37498500000004</v>
      </c>
    </row>
    <row r="908" spans="2:5" ht="14.4" x14ac:dyDescent="0.25">
      <c r="B908" s="543">
        <v>1016</v>
      </c>
      <c r="C908" s="553" t="s">
        <v>670</v>
      </c>
      <c r="D908" s="669" t="s">
        <v>434</v>
      </c>
      <c r="E908" s="544">
        <v>509.38750800000003</v>
      </c>
    </row>
    <row r="909" spans="2:5" ht="14.4" x14ac:dyDescent="0.25">
      <c r="B909" s="543">
        <v>1017</v>
      </c>
      <c r="C909" s="553" t="s">
        <v>689</v>
      </c>
      <c r="D909" s="669" t="s">
        <v>434</v>
      </c>
      <c r="E909" s="544">
        <v>529.34444199999996</v>
      </c>
    </row>
    <row r="910" spans="2:5" ht="14.4" x14ac:dyDescent="0.25">
      <c r="B910" s="543">
        <v>1018</v>
      </c>
      <c r="C910" s="553" t="s">
        <v>727</v>
      </c>
      <c r="D910" s="669" t="s">
        <v>434</v>
      </c>
      <c r="E910" s="544">
        <v>547.41249800000003</v>
      </c>
    </row>
    <row r="911" spans="2:5" x14ac:dyDescent="0.25">
      <c r="B911" s="545">
        <v>1019</v>
      </c>
      <c r="C911" s="553" t="s">
        <v>7185</v>
      </c>
      <c r="D911" s="669" t="s">
        <v>434</v>
      </c>
      <c r="E911" s="546">
        <v>574.43332899999996</v>
      </c>
    </row>
    <row r="912" spans="2:5" x14ac:dyDescent="0.25">
      <c r="B912" s="545">
        <v>1020</v>
      </c>
      <c r="C912" s="553" t="s">
        <v>7564</v>
      </c>
      <c r="D912" s="669" t="s">
        <v>434</v>
      </c>
      <c r="E912" s="546">
        <v>594.82501200000002</v>
      </c>
    </row>
    <row r="913" spans="2:5" x14ac:dyDescent="0.25">
      <c r="B913" s="545">
        <v>1021</v>
      </c>
      <c r="C913" s="553" t="s">
        <v>1339</v>
      </c>
      <c r="D913" s="669" t="s">
        <v>434</v>
      </c>
      <c r="E913" s="546">
        <v>612.03332499999999</v>
      </c>
    </row>
    <row r="914" spans="2:5" x14ac:dyDescent="0.25">
      <c r="B914" s="545">
        <v>1022</v>
      </c>
      <c r="C914" s="553" t="s">
        <v>3227</v>
      </c>
      <c r="D914" s="669" t="s">
        <v>434</v>
      </c>
      <c r="E914" s="546">
        <v>702.41250600000001</v>
      </c>
    </row>
    <row r="915" spans="2:5" x14ac:dyDescent="0.25">
      <c r="B915" s="545">
        <v>1023</v>
      </c>
      <c r="C915" s="553" t="s">
        <v>1625</v>
      </c>
      <c r="D915" s="669" t="s">
        <v>434</v>
      </c>
      <c r="E915" s="546">
        <v>627.79998799999998</v>
      </c>
    </row>
    <row r="916" spans="2:5" x14ac:dyDescent="0.25">
      <c r="B916" s="545">
        <v>1024</v>
      </c>
      <c r="C916" s="553" t="s">
        <v>3788</v>
      </c>
      <c r="D916" s="669" t="s">
        <v>441</v>
      </c>
      <c r="E916" s="546">
        <v>732</v>
      </c>
    </row>
    <row r="917" spans="2:5" x14ac:dyDescent="0.25">
      <c r="B917" s="545">
        <v>1025</v>
      </c>
      <c r="C917" s="553" t="s">
        <v>3548</v>
      </c>
      <c r="D917" s="669" t="s">
        <v>441</v>
      </c>
      <c r="E917" s="546">
        <v>718.72500600000001</v>
      </c>
    </row>
    <row r="918" spans="2:5" x14ac:dyDescent="0.25">
      <c r="B918" s="545">
        <v>1026</v>
      </c>
      <c r="C918" s="553" t="s">
        <v>4102</v>
      </c>
      <c r="D918" s="669" t="s">
        <v>441</v>
      </c>
      <c r="E918" s="546">
        <v>751</v>
      </c>
    </row>
    <row r="919" spans="2:5" x14ac:dyDescent="0.25">
      <c r="B919" s="545">
        <v>1027</v>
      </c>
      <c r="C919" s="553" t="s">
        <v>3294</v>
      </c>
      <c r="D919" s="669" t="s">
        <v>441</v>
      </c>
      <c r="E919" s="546">
        <v>705.5</v>
      </c>
    </row>
    <row r="920" spans="2:5" x14ac:dyDescent="0.25">
      <c r="B920" s="545">
        <v>1029</v>
      </c>
      <c r="C920" s="553" t="s">
        <v>2832</v>
      </c>
      <c r="D920" s="669" t="s">
        <v>441</v>
      </c>
      <c r="E920" s="546">
        <v>683</v>
      </c>
    </row>
    <row r="921" spans="2:5" x14ac:dyDescent="0.25">
      <c r="B921" s="545">
        <v>1030</v>
      </c>
      <c r="C921" s="553" t="s">
        <v>2519</v>
      </c>
      <c r="D921" s="669" t="s">
        <v>441</v>
      </c>
      <c r="E921" s="546">
        <v>666.75</v>
      </c>
    </row>
    <row r="922" spans="2:5" x14ac:dyDescent="0.25">
      <c r="B922" s="545">
        <v>1031</v>
      </c>
      <c r="C922" s="553" t="s">
        <v>2364</v>
      </c>
      <c r="D922" s="669" t="s">
        <v>441</v>
      </c>
      <c r="E922" s="546">
        <v>660.39999399999999</v>
      </c>
    </row>
    <row r="923" spans="2:5" x14ac:dyDescent="0.25">
      <c r="B923" s="545">
        <v>1032</v>
      </c>
      <c r="C923" s="553" t="s">
        <v>2323</v>
      </c>
      <c r="D923" s="669" t="s">
        <v>441</v>
      </c>
      <c r="E923" s="546">
        <v>658.55000299999995</v>
      </c>
    </row>
    <row r="924" spans="2:5" ht="14.4" x14ac:dyDescent="0.25">
      <c r="B924" s="543">
        <v>1033</v>
      </c>
      <c r="C924" s="553" t="s">
        <v>702</v>
      </c>
      <c r="D924" s="669" t="s">
        <v>434</v>
      </c>
      <c r="E924" s="544">
        <v>537.89998400000002</v>
      </c>
    </row>
    <row r="925" spans="2:5" ht="14.4" x14ac:dyDescent="0.25">
      <c r="B925" s="543">
        <v>1034</v>
      </c>
      <c r="C925" s="553" t="s">
        <v>674</v>
      </c>
      <c r="D925" s="669" t="s">
        <v>434</v>
      </c>
      <c r="E925" s="544">
        <v>517.04999499999997</v>
      </c>
    </row>
    <row r="926" spans="2:5" ht="14.4" x14ac:dyDescent="0.25">
      <c r="B926" s="543">
        <v>1035</v>
      </c>
      <c r="C926" s="553" t="s">
        <v>6592</v>
      </c>
      <c r="D926" s="669" t="s">
        <v>434</v>
      </c>
      <c r="E926" s="544">
        <v>547.01667299999997</v>
      </c>
    </row>
    <row r="927" spans="2:5" x14ac:dyDescent="0.25">
      <c r="B927" s="545">
        <v>1036</v>
      </c>
      <c r="C927" s="553" t="s">
        <v>1654</v>
      </c>
      <c r="D927" s="669" t="s">
        <v>434</v>
      </c>
      <c r="E927" s="546">
        <v>629.4</v>
      </c>
    </row>
    <row r="928" spans="2:5" x14ac:dyDescent="0.25">
      <c r="B928" s="545">
        <v>1037</v>
      </c>
      <c r="C928" s="553" t="s">
        <v>7411</v>
      </c>
      <c r="D928" s="669" t="s">
        <v>434</v>
      </c>
      <c r="E928" s="546">
        <v>577.38000499999998</v>
      </c>
    </row>
    <row r="929" spans="2:5" x14ac:dyDescent="0.25">
      <c r="B929" s="545">
        <v>1038</v>
      </c>
      <c r="C929" s="553" t="s">
        <v>1240</v>
      </c>
      <c r="D929" s="669" t="s">
        <v>434</v>
      </c>
      <c r="E929" s="546">
        <v>606.16667700000005</v>
      </c>
    </row>
    <row r="930" spans="2:5" x14ac:dyDescent="0.25">
      <c r="B930" s="545">
        <v>1039</v>
      </c>
      <c r="C930" s="553" t="s">
        <v>1953</v>
      </c>
      <c r="D930" s="669" t="s">
        <v>434</v>
      </c>
      <c r="E930" s="546">
        <v>641.81666099999995</v>
      </c>
    </row>
    <row r="931" spans="2:5" x14ac:dyDescent="0.25">
      <c r="B931" s="545">
        <v>1040</v>
      </c>
      <c r="C931" s="553" t="s">
        <v>7336</v>
      </c>
      <c r="D931" s="669" t="s">
        <v>434</v>
      </c>
      <c r="E931" s="546">
        <v>646.53334600000005</v>
      </c>
    </row>
    <row r="932" spans="2:5" x14ac:dyDescent="0.25">
      <c r="B932" s="545">
        <v>1041</v>
      </c>
      <c r="C932" s="553" t="s">
        <v>3478</v>
      </c>
      <c r="D932" s="669" t="s">
        <v>434</v>
      </c>
      <c r="E932" s="546">
        <v>714.76364999999998</v>
      </c>
    </row>
    <row r="933" spans="2:5" x14ac:dyDescent="0.25">
      <c r="B933" s="545">
        <v>1042</v>
      </c>
      <c r="C933" s="553" t="s">
        <v>1719</v>
      </c>
      <c r="D933" s="669" t="s">
        <v>441</v>
      </c>
      <c r="E933" s="546">
        <v>687.29998799999998</v>
      </c>
    </row>
    <row r="934" spans="2:5" x14ac:dyDescent="0.25">
      <c r="B934" s="545">
        <v>1043</v>
      </c>
      <c r="C934" s="553" t="s">
        <v>2278</v>
      </c>
      <c r="D934" s="669" t="s">
        <v>441</v>
      </c>
      <c r="E934" s="546">
        <v>675.03332499999999</v>
      </c>
    </row>
    <row r="935" spans="2:5" x14ac:dyDescent="0.25">
      <c r="B935" s="545">
        <v>1045</v>
      </c>
      <c r="C935" s="553" t="s">
        <v>2355</v>
      </c>
      <c r="D935" s="669" t="s">
        <v>441</v>
      </c>
      <c r="E935" s="546">
        <v>659.90000899999995</v>
      </c>
    </row>
    <row r="936" spans="2:5" x14ac:dyDescent="0.25">
      <c r="B936" s="545">
        <v>1046</v>
      </c>
      <c r="C936" s="553" t="s">
        <v>2989</v>
      </c>
      <c r="D936" s="669" t="s">
        <v>441</v>
      </c>
      <c r="E936" s="546">
        <v>690.12857499999996</v>
      </c>
    </row>
    <row r="937" spans="2:5" x14ac:dyDescent="0.25">
      <c r="B937" s="545">
        <v>1047</v>
      </c>
      <c r="C937" s="553" t="s">
        <v>840</v>
      </c>
      <c r="D937" s="669" t="s">
        <v>434</v>
      </c>
      <c r="E937" s="546">
        <v>573.79000199999996</v>
      </c>
    </row>
    <row r="938" spans="2:5" x14ac:dyDescent="0.25">
      <c r="B938" s="545">
        <v>1048</v>
      </c>
      <c r="C938" s="553" t="s">
        <v>1410</v>
      </c>
      <c r="D938" s="669" t="s">
        <v>434</v>
      </c>
      <c r="E938" s="546">
        <v>615.85000600000001</v>
      </c>
    </row>
    <row r="939" spans="2:5" x14ac:dyDescent="0.25">
      <c r="B939" s="545">
        <v>1049</v>
      </c>
      <c r="C939" s="553" t="s">
        <v>2629</v>
      </c>
      <c r="D939" s="669" t="s">
        <v>441</v>
      </c>
      <c r="E939" s="546">
        <v>672.91666699999996</v>
      </c>
    </row>
    <row r="940" spans="2:5" x14ac:dyDescent="0.25">
      <c r="B940" s="545">
        <v>1050</v>
      </c>
      <c r="C940" s="553" t="s">
        <v>3039</v>
      </c>
      <c r="D940" s="669" t="s">
        <v>441</v>
      </c>
      <c r="E940" s="546">
        <v>692.83998999999994</v>
      </c>
    </row>
    <row r="941" spans="2:5" x14ac:dyDescent="0.25">
      <c r="B941" s="545">
        <v>1051</v>
      </c>
      <c r="C941" s="553" t="s">
        <v>2587</v>
      </c>
      <c r="D941" s="669" t="s">
        <v>441</v>
      </c>
      <c r="E941" s="546">
        <v>669.95712700000001</v>
      </c>
    </row>
    <row r="942" spans="2:5" x14ac:dyDescent="0.25">
      <c r="B942" s="545">
        <v>1052</v>
      </c>
      <c r="C942" s="553" t="s">
        <v>3338</v>
      </c>
      <c r="D942" s="669" t="s">
        <v>441</v>
      </c>
      <c r="E942" s="546">
        <v>707.67998699999998</v>
      </c>
    </row>
    <row r="943" spans="2:5" x14ac:dyDescent="0.25">
      <c r="B943" s="545">
        <v>1053</v>
      </c>
      <c r="C943" s="553" t="s">
        <v>2523</v>
      </c>
      <c r="D943" s="669" t="s">
        <v>441</v>
      </c>
      <c r="E943" s="546">
        <v>666.91665599999999</v>
      </c>
    </row>
    <row r="944" spans="2:5" x14ac:dyDescent="0.25">
      <c r="B944" s="545">
        <v>1054</v>
      </c>
      <c r="C944" s="553" t="s">
        <v>6765</v>
      </c>
      <c r="D944" s="669" t="s">
        <v>441</v>
      </c>
      <c r="E944" s="546">
        <v>683.08889399999998</v>
      </c>
    </row>
    <row r="945" spans="2:5" x14ac:dyDescent="0.25">
      <c r="B945" s="545">
        <v>1055</v>
      </c>
      <c r="C945" s="553" t="s">
        <v>7143</v>
      </c>
      <c r="D945" s="669" t="s">
        <v>434</v>
      </c>
      <c r="E945" s="546">
        <v>587.44000200000005</v>
      </c>
    </row>
    <row r="946" spans="2:5" x14ac:dyDescent="0.25">
      <c r="B946" s="545">
        <v>1056</v>
      </c>
      <c r="C946" s="553" t="s">
        <v>1074</v>
      </c>
      <c r="D946" s="669" t="s">
        <v>434</v>
      </c>
      <c r="E946" s="546">
        <v>595.83332299999995</v>
      </c>
    </row>
    <row r="947" spans="2:5" x14ac:dyDescent="0.25">
      <c r="B947" s="545">
        <v>1057</v>
      </c>
      <c r="C947" s="553" t="s">
        <v>1925</v>
      </c>
      <c r="D947" s="669" t="s">
        <v>434</v>
      </c>
      <c r="E947" s="546">
        <v>641.10000600000001</v>
      </c>
    </row>
    <row r="948" spans="2:5" x14ac:dyDescent="0.25">
      <c r="B948" s="545">
        <v>1058</v>
      </c>
      <c r="C948" s="553" t="s">
        <v>2331</v>
      </c>
      <c r="D948" s="669" t="s">
        <v>434</v>
      </c>
      <c r="E948" s="546">
        <v>658.9375</v>
      </c>
    </row>
    <row r="949" spans="2:5" x14ac:dyDescent="0.25">
      <c r="B949" s="545">
        <v>1059</v>
      </c>
      <c r="C949" s="553" t="s">
        <v>3413</v>
      </c>
      <c r="D949" s="669" t="s">
        <v>434</v>
      </c>
      <c r="E949" s="546">
        <v>711.92000700000006</v>
      </c>
    </row>
    <row r="950" spans="2:5" x14ac:dyDescent="0.25">
      <c r="B950" s="545">
        <v>1060</v>
      </c>
      <c r="C950" s="553" t="s">
        <v>3096</v>
      </c>
      <c r="D950" s="669" t="s">
        <v>441</v>
      </c>
      <c r="E950" s="546">
        <v>695.70001200000002</v>
      </c>
    </row>
    <row r="951" spans="2:5" x14ac:dyDescent="0.25">
      <c r="B951" s="545">
        <v>1061</v>
      </c>
      <c r="C951" s="553" t="s">
        <v>7329</v>
      </c>
      <c r="D951" s="669" t="s">
        <v>441</v>
      </c>
      <c r="E951" s="546">
        <v>654.52857300000005</v>
      </c>
    </row>
    <row r="952" spans="2:5" x14ac:dyDescent="0.25">
      <c r="B952" s="545">
        <v>1062</v>
      </c>
      <c r="C952" s="553" t="s">
        <v>2330</v>
      </c>
      <c r="D952" s="669" t="s">
        <v>434</v>
      </c>
      <c r="E952" s="546">
        <v>658.92500299999995</v>
      </c>
    </row>
    <row r="953" spans="2:5" x14ac:dyDescent="0.25">
      <c r="B953" s="545">
        <v>1063</v>
      </c>
      <c r="C953" s="553" t="s">
        <v>2754</v>
      </c>
      <c r="D953" s="669" t="s">
        <v>434</v>
      </c>
      <c r="E953" s="546">
        <v>678.48750299999995</v>
      </c>
    </row>
    <row r="954" spans="2:5" ht="14.4" x14ac:dyDescent="0.25">
      <c r="B954" s="543">
        <v>1101</v>
      </c>
      <c r="C954" s="553" t="s">
        <v>690</v>
      </c>
      <c r="D954" s="669" t="s">
        <v>442</v>
      </c>
      <c r="E954" s="544">
        <v>529.46667000000002</v>
      </c>
    </row>
    <row r="955" spans="2:5" ht="14.4" x14ac:dyDescent="0.25">
      <c r="B955" s="543">
        <v>1102</v>
      </c>
      <c r="C955" s="553" t="s">
        <v>681</v>
      </c>
      <c r="D955" s="669" t="s">
        <v>442</v>
      </c>
      <c r="E955" s="544">
        <v>525.04285100000004</v>
      </c>
    </row>
    <row r="956" spans="2:5" ht="14.4" x14ac:dyDescent="0.25">
      <c r="B956" s="543">
        <v>1103</v>
      </c>
      <c r="C956" s="553" t="s">
        <v>688</v>
      </c>
      <c r="D956" s="669" t="s">
        <v>442</v>
      </c>
      <c r="E956" s="544">
        <v>529.25</v>
      </c>
    </row>
    <row r="957" spans="2:5" ht="14.4" x14ac:dyDescent="0.25">
      <c r="B957" s="543">
        <v>1104</v>
      </c>
      <c r="C957" s="553" t="s">
        <v>675</v>
      </c>
      <c r="D957" s="669" t="s">
        <v>442</v>
      </c>
      <c r="E957" s="544">
        <v>518.5</v>
      </c>
    </row>
    <row r="958" spans="2:5" ht="14.4" x14ac:dyDescent="0.25">
      <c r="B958" s="543">
        <v>1105</v>
      </c>
      <c r="C958" s="553" t="s">
        <v>684</v>
      </c>
      <c r="D958" s="669" t="s">
        <v>442</v>
      </c>
      <c r="E958" s="544">
        <v>526.52499799999998</v>
      </c>
    </row>
    <row r="959" spans="2:5" ht="14.4" x14ac:dyDescent="0.25">
      <c r="B959" s="543">
        <v>1106</v>
      </c>
      <c r="C959" s="553" t="s">
        <v>707</v>
      </c>
      <c r="D959" s="669" t="s">
        <v>442</v>
      </c>
      <c r="E959" s="544">
        <v>541.5</v>
      </c>
    </row>
    <row r="960" spans="2:5" x14ac:dyDescent="0.25">
      <c r="B960" s="545">
        <v>1107</v>
      </c>
      <c r="C960" s="553" t="s">
        <v>783</v>
      </c>
      <c r="D960" s="669" t="s">
        <v>442</v>
      </c>
      <c r="E960" s="546">
        <v>564.63334099999997</v>
      </c>
    </row>
    <row r="961" spans="2:5" x14ac:dyDescent="0.25">
      <c r="B961" s="545">
        <v>1108</v>
      </c>
      <c r="C961" s="553" t="s">
        <v>747</v>
      </c>
      <c r="D961" s="669" t="s">
        <v>442</v>
      </c>
      <c r="E961" s="546">
        <v>556.55000299999995</v>
      </c>
    </row>
    <row r="962" spans="2:5" ht="14.4" x14ac:dyDescent="0.25">
      <c r="B962" s="543">
        <v>1109</v>
      </c>
      <c r="C962" s="553" t="s">
        <v>7079</v>
      </c>
      <c r="D962" s="669" t="s">
        <v>442</v>
      </c>
      <c r="E962" s="544">
        <v>529.90002400000003</v>
      </c>
    </row>
    <row r="963" spans="2:5" ht="14.4" x14ac:dyDescent="0.25">
      <c r="B963" s="543">
        <v>1110</v>
      </c>
      <c r="C963" s="553" t="s">
        <v>704</v>
      </c>
      <c r="D963" s="669" t="s">
        <v>442</v>
      </c>
      <c r="E963" s="544">
        <v>540.02497900000003</v>
      </c>
    </row>
    <row r="964" spans="2:5" ht="14.4" x14ac:dyDescent="0.25">
      <c r="B964" s="543">
        <v>1111</v>
      </c>
      <c r="C964" s="553" t="s">
        <v>718</v>
      </c>
      <c r="D964" s="669" t="s">
        <v>442</v>
      </c>
      <c r="E964" s="544">
        <v>544.5</v>
      </c>
    </row>
    <row r="965" spans="2:5" x14ac:dyDescent="0.25">
      <c r="B965" s="545">
        <v>1112</v>
      </c>
      <c r="C965" s="553" t="s">
        <v>784</v>
      </c>
      <c r="D965" s="669" t="s">
        <v>442</v>
      </c>
      <c r="E965" s="546">
        <v>564.64285700000005</v>
      </c>
    </row>
    <row r="966" spans="2:5" x14ac:dyDescent="0.25">
      <c r="B966" s="545">
        <v>1113</v>
      </c>
      <c r="C966" s="553" t="s">
        <v>859</v>
      </c>
      <c r="D966" s="669" t="s">
        <v>442</v>
      </c>
      <c r="E966" s="546">
        <v>575.43998999999997</v>
      </c>
    </row>
    <row r="967" spans="2:5" x14ac:dyDescent="0.25">
      <c r="B967" s="545">
        <v>1114</v>
      </c>
      <c r="C967" s="553" t="s">
        <v>7054</v>
      </c>
      <c r="D967" s="669" t="s">
        <v>442</v>
      </c>
      <c r="E967" s="546">
        <v>595.02499399999999</v>
      </c>
    </row>
    <row r="968" spans="2:5" x14ac:dyDescent="0.25">
      <c r="B968" s="545">
        <v>1115</v>
      </c>
      <c r="C968" s="553" t="s">
        <v>6590</v>
      </c>
      <c r="D968" s="669" t="s">
        <v>442</v>
      </c>
      <c r="E968" s="546">
        <v>602.5</v>
      </c>
    </row>
    <row r="969" spans="2:5" x14ac:dyDescent="0.25">
      <c r="B969" s="545">
        <v>1116</v>
      </c>
      <c r="C969" s="553" t="s">
        <v>1344</v>
      </c>
      <c r="D969" s="669" t="s">
        <v>442</v>
      </c>
      <c r="E969" s="546">
        <v>612.09999600000003</v>
      </c>
    </row>
    <row r="970" spans="2:5" x14ac:dyDescent="0.25">
      <c r="B970" s="545">
        <v>1117</v>
      </c>
      <c r="C970" s="553" t="s">
        <v>1385</v>
      </c>
      <c r="D970" s="669" t="s">
        <v>442</v>
      </c>
      <c r="E970" s="546">
        <v>614.19999700000005</v>
      </c>
    </row>
    <row r="971" spans="2:5" x14ac:dyDescent="0.25">
      <c r="B971" s="545">
        <v>1118</v>
      </c>
      <c r="C971" s="553" t="s">
        <v>848</v>
      </c>
      <c r="D971" s="669" t="s">
        <v>442</v>
      </c>
      <c r="E971" s="546">
        <v>620.40002400000003</v>
      </c>
    </row>
    <row r="972" spans="2:5" x14ac:dyDescent="0.25">
      <c r="B972" s="545">
        <v>1119</v>
      </c>
      <c r="C972" s="553" t="s">
        <v>744</v>
      </c>
      <c r="D972" s="669" t="s">
        <v>442</v>
      </c>
      <c r="E972" s="546">
        <v>554.70000700000003</v>
      </c>
    </row>
    <row r="973" spans="2:5" ht="14.4" x14ac:dyDescent="0.25">
      <c r="B973" s="543">
        <v>1120</v>
      </c>
      <c r="C973" s="553" t="s">
        <v>709</v>
      </c>
      <c r="D973" s="669" t="s">
        <v>442</v>
      </c>
      <c r="E973" s="544">
        <v>541.85999800000002</v>
      </c>
    </row>
    <row r="974" spans="2:5" ht="14.4" x14ac:dyDescent="0.25">
      <c r="B974" s="543">
        <v>1121</v>
      </c>
      <c r="C974" s="553" t="s">
        <v>706</v>
      </c>
      <c r="D974" s="669" t="s">
        <v>442</v>
      </c>
      <c r="E974" s="544">
        <v>541.25</v>
      </c>
    </row>
    <row r="975" spans="2:5" ht="14.4" x14ac:dyDescent="0.25">
      <c r="B975" s="543">
        <v>1122</v>
      </c>
      <c r="C975" s="553" t="s">
        <v>6586</v>
      </c>
      <c r="D975" s="669" t="s">
        <v>442</v>
      </c>
      <c r="E975" s="544">
        <v>521.5</v>
      </c>
    </row>
    <row r="976" spans="2:5" x14ac:dyDescent="0.25">
      <c r="B976" s="545">
        <v>1123</v>
      </c>
      <c r="C976" s="553" t="s">
        <v>754</v>
      </c>
      <c r="D976" s="669" t="s">
        <v>442</v>
      </c>
      <c r="E976" s="546">
        <v>558.04998799999998</v>
      </c>
    </row>
    <row r="977" spans="2:5" ht="14.4" x14ac:dyDescent="0.25">
      <c r="B977" s="543">
        <v>1124</v>
      </c>
      <c r="C977" s="553" t="s">
        <v>677</v>
      </c>
      <c r="D977" s="669" t="s">
        <v>442</v>
      </c>
      <c r="E977" s="544">
        <v>521.17142999999999</v>
      </c>
    </row>
    <row r="978" spans="2:5" ht="14.4" x14ac:dyDescent="0.25">
      <c r="B978" s="543">
        <v>1125</v>
      </c>
      <c r="C978" s="553" t="s">
        <v>672</v>
      </c>
      <c r="D978" s="669" t="s">
        <v>442</v>
      </c>
      <c r="E978" s="544">
        <v>513.63999000000001</v>
      </c>
    </row>
    <row r="979" spans="2:5" ht="14.4" x14ac:dyDescent="0.25">
      <c r="B979" s="543">
        <v>1126</v>
      </c>
      <c r="C979" s="553" t="s">
        <v>712</v>
      </c>
      <c r="D979" s="669" t="s">
        <v>442</v>
      </c>
      <c r="E979" s="544">
        <v>542.30000800000005</v>
      </c>
    </row>
    <row r="980" spans="2:5" x14ac:dyDescent="0.25">
      <c r="B980" s="545">
        <v>1127</v>
      </c>
      <c r="C980" s="553" t="s">
        <v>736</v>
      </c>
      <c r="D980" s="669" t="s">
        <v>442</v>
      </c>
      <c r="E980" s="546">
        <v>551.95000500000003</v>
      </c>
    </row>
    <row r="981" spans="2:5" x14ac:dyDescent="0.25">
      <c r="B981" s="545">
        <v>1128</v>
      </c>
      <c r="C981" s="553" t="s">
        <v>986</v>
      </c>
      <c r="D981" s="669" t="s">
        <v>442</v>
      </c>
      <c r="E981" s="546">
        <v>587.71667500000001</v>
      </c>
    </row>
    <row r="982" spans="2:5" x14ac:dyDescent="0.25">
      <c r="B982" s="545">
        <v>1129</v>
      </c>
      <c r="C982" s="553" t="s">
        <v>1330</v>
      </c>
      <c r="D982" s="669" t="s">
        <v>442</v>
      </c>
      <c r="E982" s="546">
        <v>611.32857799999999</v>
      </c>
    </row>
    <row r="983" spans="2:5" x14ac:dyDescent="0.25">
      <c r="B983" s="545">
        <v>1130</v>
      </c>
      <c r="C983" s="553" t="s">
        <v>1640</v>
      </c>
      <c r="D983" s="669" t="s">
        <v>442</v>
      </c>
      <c r="E983" s="546">
        <v>628.51667299999997</v>
      </c>
    </row>
    <row r="984" spans="2:5" x14ac:dyDescent="0.25">
      <c r="B984" s="545">
        <v>1131</v>
      </c>
      <c r="C984" s="553" t="s">
        <v>7067</v>
      </c>
      <c r="D984" s="669" t="s">
        <v>442</v>
      </c>
      <c r="E984" s="546">
        <v>634.67500299999995</v>
      </c>
    </row>
    <row r="985" spans="2:5" x14ac:dyDescent="0.25">
      <c r="B985" s="545">
        <v>1132</v>
      </c>
      <c r="C985" s="553" t="s">
        <v>6490</v>
      </c>
      <c r="D985" s="669" t="s">
        <v>442</v>
      </c>
      <c r="E985" s="546">
        <v>649.98332700000003</v>
      </c>
    </row>
    <row r="986" spans="2:5" x14ac:dyDescent="0.25">
      <c r="B986" s="545">
        <v>1133</v>
      </c>
      <c r="C986" s="553" t="s">
        <v>846</v>
      </c>
      <c r="D986" s="669" t="s">
        <v>442</v>
      </c>
      <c r="E986" s="546">
        <v>574.36665900000003</v>
      </c>
    </row>
    <row r="987" spans="2:5" x14ac:dyDescent="0.25">
      <c r="B987" s="545">
        <v>1134</v>
      </c>
      <c r="C987" s="553" t="s">
        <v>741</v>
      </c>
      <c r="D987" s="669" t="s">
        <v>442</v>
      </c>
      <c r="E987" s="546">
        <v>554.00000899999998</v>
      </c>
    </row>
    <row r="988" spans="2:5" ht="14.4" x14ac:dyDescent="0.25">
      <c r="B988" s="543">
        <v>1135</v>
      </c>
      <c r="C988" s="553" t="s">
        <v>697</v>
      </c>
      <c r="D988" s="669" t="s">
        <v>442</v>
      </c>
      <c r="E988" s="544">
        <v>535.32352800000001</v>
      </c>
    </row>
    <row r="989" spans="2:5" ht="14.4" x14ac:dyDescent="0.25">
      <c r="B989" s="543">
        <v>1136</v>
      </c>
      <c r="C989" s="553" t="s">
        <v>671</v>
      </c>
      <c r="D989" s="669" t="s">
        <v>442</v>
      </c>
      <c r="E989" s="544">
        <v>512.29998799999998</v>
      </c>
    </row>
    <row r="990" spans="2:5" ht="14.4" x14ac:dyDescent="0.25">
      <c r="B990" s="543">
        <v>1137</v>
      </c>
      <c r="C990" s="553" t="s">
        <v>673</v>
      </c>
      <c r="D990" s="669" t="s">
        <v>442</v>
      </c>
      <c r="E990" s="544">
        <v>514.40000199999997</v>
      </c>
    </row>
    <row r="991" spans="2:5" ht="14.4" x14ac:dyDescent="0.25">
      <c r="B991" s="543">
        <v>1138</v>
      </c>
      <c r="C991" s="553" t="s">
        <v>7230</v>
      </c>
      <c r="D991" s="669" t="s">
        <v>442</v>
      </c>
      <c r="E991" s="544">
        <v>487.89999399999999</v>
      </c>
    </row>
    <row r="992" spans="2:5" ht="14.4" x14ac:dyDescent="0.25">
      <c r="B992" s="543">
        <v>1139</v>
      </c>
      <c r="C992" s="553" t="s">
        <v>669</v>
      </c>
      <c r="D992" s="669" t="s">
        <v>442</v>
      </c>
      <c r="E992" s="544">
        <v>496.43332900000001</v>
      </c>
    </row>
    <row r="993" spans="2:5" ht="14.4" x14ac:dyDescent="0.25">
      <c r="B993" s="543">
        <v>1140</v>
      </c>
      <c r="C993" s="553" t="s">
        <v>6671</v>
      </c>
      <c r="D993" s="669" t="s">
        <v>442</v>
      </c>
      <c r="E993" s="544">
        <v>521.157152</v>
      </c>
    </row>
    <row r="994" spans="2:5" ht="14.4" x14ac:dyDescent="0.25">
      <c r="B994" s="543">
        <v>1141</v>
      </c>
      <c r="C994" s="553" t="s">
        <v>725</v>
      </c>
      <c r="D994" s="669" t="s">
        <v>442</v>
      </c>
      <c r="E994" s="544">
        <v>547.16666699999996</v>
      </c>
    </row>
    <row r="995" spans="2:5" x14ac:dyDescent="0.25">
      <c r="B995" s="545">
        <v>1142</v>
      </c>
      <c r="C995" s="553" t="s">
        <v>796</v>
      </c>
      <c r="D995" s="669" t="s">
        <v>442</v>
      </c>
      <c r="E995" s="546">
        <v>566.59999100000005</v>
      </c>
    </row>
    <row r="996" spans="2:5" x14ac:dyDescent="0.25">
      <c r="B996" s="545">
        <v>1143</v>
      </c>
      <c r="C996" s="553" t="s">
        <v>1094</v>
      </c>
      <c r="D996" s="669" t="s">
        <v>442</v>
      </c>
      <c r="E996" s="546">
        <v>597.11818100000005</v>
      </c>
    </row>
    <row r="997" spans="2:5" x14ac:dyDescent="0.25">
      <c r="B997" s="545">
        <v>1144</v>
      </c>
      <c r="C997" s="553" t="s">
        <v>1513</v>
      </c>
      <c r="D997" s="669" t="s">
        <v>442</v>
      </c>
      <c r="E997" s="546">
        <v>621.33333300000004</v>
      </c>
    </row>
    <row r="998" spans="2:5" x14ac:dyDescent="0.25">
      <c r="B998" s="545">
        <v>1145</v>
      </c>
      <c r="C998" s="553" t="s">
        <v>7407</v>
      </c>
      <c r="D998" s="669" t="s">
        <v>442</v>
      </c>
      <c r="E998" s="546">
        <v>665.08334400000001</v>
      </c>
    </row>
    <row r="999" spans="2:5" x14ac:dyDescent="0.25">
      <c r="B999" s="545">
        <v>1146</v>
      </c>
      <c r="C999" s="553" t="s">
        <v>6836</v>
      </c>
      <c r="D999" s="669" t="s">
        <v>442</v>
      </c>
      <c r="E999" s="546">
        <v>727.78000499999996</v>
      </c>
    </row>
    <row r="1000" spans="2:5" x14ac:dyDescent="0.25">
      <c r="B1000" s="545">
        <v>1147</v>
      </c>
      <c r="C1000" s="553" t="s">
        <v>3917</v>
      </c>
      <c r="D1000" s="669" t="s">
        <v>442</v>
      </c>
      <c r="E1000" s="546">
        <v>739.95001200000002</v>
      </c>
    </row>
    <row r="1001" spans="2:5" x14ac:dyDescent="0.25">
      <c r="B1001" s="545">
        <v>1148</v>
      </c>
      <c r="C1001" s="553" t="s">
        <v>918</v>
      </c>
      <c r="D1001" s="669" t="s">
        <v>442</v>
      </c>
      <c r="E1001" s="546">
        <v>581.25556099999994</v>
      </c>
    </row>
    <row r="1002" spans="2:5" ht="14.4" x14ac:dyDescent="0.25">
      <c r="B1002" s="543">
        <v>1149</v>
      </c>
      <c r="C1002" s="553" t="s">
        <v>693</v>
      </c>
      <c r="D1002" s="669" t="s">
        <v>442</v>
      </c>
      <c r="E1002" s="544">
        <v>530.93749200000002</v>
      </c>
    </row>
    <row r="1003" spans="2:5" ht="14.4" x14ac:dyDescent="0.25">
      <c r="B1003" s="543">
        <v>1150</v>
      </c>
      <c r="C1003" s="553" t="s">
        <v>676</v>
      </c>
      <c r="D1003" s="669" t="s">
        <v>442</v>
      </c>
      <c r="E1003" s="544">
        <v>518.93335000000002</v>
      </c>
    </row>
    <row r="1004" spans="2:5" ht="14.4" x14ac:dyDescent="0.25">
      <c r="B1004" s="543">
        <v>1151</v>
      </c>
      <c r="C1004" s="553" t="s">
        <v>685</v>
      </c>
      <c r="D1004" s="669" t="s">
        <v>442</v>
      </c>
      <c r="E1004" s="544">
        <v>527.48888499999998</v>
      </c>
    </row>
    <row r="1005" spans="2:5" ht="14.4" x14ac:dyDescent="0.25">
      <c r="B1005" s="543">
        <v>1152</v>
      </c>
      <c r="C1005" s="553" t="s">
        <v>7028</v>
      </c>
      <c r="D1005" s="669" t="s">
        <v>442</v>
      </c>
      <c r="E1005" s="544">
        <v>516.75999100000001</v>
      </c>
    </row>
    <row r="1006" spans="2:5" ht="14.4" x14ac:dyDescent="0.25">
      <c r="B1006" s="543">
        <v>1153</v>
      </c>
      <c r="C1006" s="553" t="s">
        <v>691</v>
      </c>
      <c r="D1006" s="669" t="s">
        <v>442</v>
      </c>
      <c r="E1006" s="544">
        <v>529.84997599999997</v>
      </c>
    </row>
    <row r="1007" spans="2:5" x14ac:dyDescent="0.25">
      <c r="B1007" s="545">
        <v>1154</v>
      </c>
      <c r="C1007" s="553" t="s">
        <v>743</v>
      </c>
      <c r="D1007" s="669" t="s">
        <v>442</v>
      </c>
      <c r="E1007" s="546">
        <v>554.57693200000006</v>
      </c>
    </row>
    <row r="1008" spans="2:5" x14ac:dyDescent="0.25">
      <c r="B1008" s="545">
        <v>1155</v>
      </c>
      <c r="C1008" s="553" t="s">
        <v>7405</v>
      </c>
      <c r="D1008" s="669" t="s">
        <v>442</v>
      </c>
      <c r="E1008" s="546">
        <v>576.77142300000003</v>
      </c>
    </row>
    <row r="1009" spans="2:5" x14ac:dyDescent="0.25">
      <c r="B1009" s="545">
        <v>1156</v>
      </c>
      <c r="C1009" s="553" t="s">
        <v>1363</v>
      </c>
      <c r="D1009" s="669" t="s">
        <v>442</v>
      </c>
      <c r="E1009" s="546">
        <v>613.40000199999997</v>
      </c>
    </row>
    <row r="1010" spans="2:5" x14ac:dyDescent="0.25">
      <c r="B1010" s="545">
        <v>1157</v>
      </c>
      <c r="C1010" s="553" t="s">
        <v>1940</v>
      </c>
      <c r="D1010" s="669" t="s">
        <v>442</v>
      </c>
      <c r="E1010" s="546">
        <v>641.42856300000005</v>
      </c>
    </row>
    <row r="1011" spans="2:5" x14ac:dyDescent="0.25">
      <c r="B1011" s="545">
        <v>1158</v>
      </c>
      <c r="C1011" s="553" t="s">
        <v>3189</v>
      </c>
      <c r="D1011" s="669" t="s">
        <v>442</v>
      </c>
      <c r="E1011" s="546">
        <v>700.42500299999995</v>
      </c>
    </row>
    <row r="1012" spans="2:5" x14ac:dyDescent="0.25">
      <c r="B1012" s="545">
        <v>1159</v>
      </c>
      <c r="C1012" s="553" t="s">
        <v>3364</v>
      </c>
      <c r="D1012" s="669" t="s">
        <v>442</v>
      </c>
      <c r="E1012" s="546">
        <v>709.125</v>
      </c>
    </row>
    <row r="1013" spans="2:5" x14ac:dyDescent="0.25">
      <c r="B1013" s="545">
        <v>1160</v>
      </c>
      <c r="C1013" s="553" t="s">
        <v>6774</v>
      </c>
      <c r="D1013" s="669" t="s">
        <v>442</v>
      </c>
      <c r="E1013" s="546">
        <v>672.30000299999995</v>
      </c>
    </row>
    <row r="1014" spans="2:5" x14ac:dyDescent="0.25">
      <c r="B1014" s="545">
        <v>1161</v>
      </c>
      <c r="C1014" s="553" t="s">
        <v>3172</v>
      </c>
      <c r="D1014" s="669" t="s">
        <v>442</v>
      </c>
      <c r="E1014" s="546">
        <v>700</v>
      </c>
    </row>
    <row r="1015" spans="2:5" x14ac:dyDescent="0.25">
      <c r="B1015" s="545">
        <v>1162</v>
      </c>
      <c r="C1015" s="553" t="s">
        <v>2097</v>
      </c>
      <c r="D1015" s="669" t="s">
        <v>442</v>
      </c>
      <c r="E1015" s="546">
        <v>648.06667100000004</v>
      </c>
    </row>
    <row r="1016" spans="2:5" x14ac:dyDescent="0.25">
      <c r="B1016" s="545">
        <v>1163</v>
      </c>
      <c r="C1016" s="553" t="s">
        <v>1467</v>
      </c>
      <c r="D1016" s="669" t="s">
        <v>442</v>
      </c>
      <c r="E1016" s="546">
        <v>618.5</v>
      </c>
    </row>
    <row r="1017" spans="2:5" x14ac:dyDescent="0.25">
      <c r="B1017" s="545">
        <v>1164</v>
      </c>
      <c r="C1017" s="553" t="s">
        <v>909</v>
      </c>
      <c r="D1017" s="669" t="s">
        <v>442</v>
      </c>
      <c r="E1017" s="546">
        <v>587.5</v>
      </c>
    </row>
    <row r="1018" spans="2:5" x14ac:dyDescent="0.25">
      <c r="B1018" s="545">
        <v>1165</v>
      </c>
      <c r="C1018" s="553" t="s">
        <v>853</v>
      </c>
      <c r="D1018" s="669" t="s">
        <v>442</v>
      </c>
      <c r="E1018" s="546">
        <v>575.03334600000005</v>
      </c>
    </row>
    <row r="1019" spans="2:5" x14ac:dyDescent="0.25">
      <c r="B1019" s="545">
        <v>1166</v>
      </c>
      <c r="C1019" s="553" t="s">
        <v>871</v>
      </c>
      <c r="D1019" s="669" t="s">
        <v>442</v>
      </c>
      <c r="E1019" s="546">
        <v>577.09998800000005</v>
      </c>
    </row>
    <row r="1020" spans="2:5" x14ac:dyDescent="0.25">
      <c r="B1020" s="545">
        <v>1167</v>
      </c>
      <c r="C1020" s="553" t="s">
        <v>775</v>
      </c>
      <c r="D1020" s="669" t="s">
        <v>442</v>
      </c>
      <c r="E1020" s="546">
        <v>563.05000800000005</v>
      </c>
    </row>
    <row r="1021" spans="2:5" ht="14.4" x14ac:dyDescent="0.25">
      <c r="B1021" s="543">
        <v>1168</v>
      </c>
      <c r="C1021" s="553" t="s">
        <v>442</v>
      </c>
      <c r="D1021" s="669" t="s">
        <v>442</v>
      </c>
      <c r="E1021" s="544">
        <v>533.63750500000003</v>
      </c>
    </row>
    <row r="1022" spans="2:5" ht="14.4" x14ac:dyDescent="0.25">
      <c r="B1022" s="543">
        <v>1169</v>
      </c>
      <c r="C1022" s="553" t="s">
        <v>6904</v>
      </c>
      <c r="D1022" s="669" t="s">
        <v>442</v>
      </c>
      <c r="E1022" s="544">
        <v>544.46875</v>
      </c>
    </row>
    <row r="1023" spans="2:5" x14ac:dyDescent="0.25">
      <c r="B1023" s="545">
        <v>1170</v>
      </c>
      <c r="C1023" s="553" t="s">
        <v>1067</v>
      </c>
      <c r="D1023" s="669" t="s">
        <v>442</v>
      </c>
      <c r="E1023" s="546">
        <v>595.21001000000001</v>
      </c>
    </row>
    <row r="1024" spans="2:5" x14ac:dyDescent="0.25">
      <c r="B1024" s="545">
        <v>1171</v>
      </c>
      <c r="C1024" s="553" t="s">
        <v>962</v>
      </c>
      <c r="D1024" s="669" t="s">
        <v>442</v>
      </c>
      <c r="E1024" s="546">
        <v>585.22500600000001</v>
      </c>
    </row>
    <row r="1025" spans="2:5" x14ac:dyDescent="0.25">
      <c r="B1025" s="545">
        <v>1172</v>
      </c>
      <c r="C1025" s="553" t="s">
        <v>1531</v>
      </c>
      <c r="D1025" s="669" t="s">
        <v>442</v>
      </c>
      <c r="E1025" s="546">
        <v>622.15999799999997</v>
      </c>
    </row>
    <row r="1026" spans="2:5" x14ac:dyDescent="0.25">
      <c r="B1026" s="545">
        <v>1173</v>
      </c>
      <c r="C1026" s="553" t="s">
        <v>3087</v>
      </c>
      <c r="D1026" s="669" t="s">
        <v>7750</v>
      </c>
      <c r="E1026" s="546">
        <v>695.40002400000003</v>
      </c>
    </row>
    <row r="1027" spans="2:5" x14ac:dyDescent="0.25">
      <c r="B1027" s="545">
        <v>1174</v>
      </c>
      <c r="C1027" s="553" t="s">
        <v>3685</v>
      </c>
      <c r="D1027" s="669" t="s">
        <v>442</v>
      </c>
      <c r="E1027" s="546">
        <v>726.40000399999997</v>
      </c>
    </row>
    <row r="1028" spans="2:5" x14ac:dyDescent="0.25">
      <c r="B1028" s="545">
        <v>1175</v>
      </c>
      <c r="C1028" s="553" t="s">
        <v>6692</v>
      </c>
      <c r="D1028" s="669" t="s">
        <v>442</v>
      </c>
      <c r="E1028" s="546">
        <v>726.80000299999995</v>
      </c>
    </row>
    <row r="1029" spans="2:5" x14ac:dyDescent="0.25">
      <c r="B1029" s="545">
        <v>1176</v>
      </c>
      <c r="C1029" s="553" t="s">
        <v>2080</v>
      </c>
      <c r="D1029" s="669" t="s">
        <v>442</v>
      </c>
      <c r="E1029" s="546">
        <v>647.25</v>
      </c>
    </row>
    <row r="1030" spans="2:5" x14ac:dyDescent="0.25">
      <c r="B1030" s="545">
        <v>1177</v>
      </c>
      <c r="C1030" s="553" t="s">
        <v>6612</v>
      </c>
      <c r="D1030" s="669" t="s">
        <v>7750</v>
      </c>
      <c r="E1030" s="546">
        <v>676.71999500000004</v>
      </c>
    </row>
    <row r="1031" spans="2:5" x14ac:dyDescent="0.25">
      <c r="B1031" s="545">
        <v>1178</v>
      </c>
      <c r="C1031" s="553" t="s">
        <v>2219</v>
      </c>
      <c r="D1031" s="669" t="s">
        <v>7750</v>
      </c>
      <c r="E1031" s="546">
        <v>653.866669</v>
      </c>
    </row>
    <row r="1032" spans="2:5" x14ac:dyDescent="0.25">
      <c r="B1032" s="545">
        <v>1179</v>
      </c>
      <c r="C1032" s="553" t="s">
        <v>6769</v>
      </c>
      <c r="D1032" s="669" t="s">
        <v>7750</v>
      </c>
      <c r="E1032" s="546">
        <v>660.09997599999997</v>
      </c>
    </row>
    <row r="1033" spans="2:5" ht="14.4" x14ac:dyDescent="0.25">
      <c r="B1033" s="543">
        <v>1180</v>
      </c>
      <c r="C1033" s="553" t="s">
        <v>730</v>
      </c>
      <c r="D1033" s="669" t="s">
        <v>442</v>
      </c>
      <c r="E1033" s="544">
        <v>548.65713900000003</v>
      </c>
    </row>
    <row r="1034" spans="2:5" ht="14.4" x14ac:dyDescent="0.25">
      <c r="B1034" s="543">
        <v>1181</v>
      </c>
      <c r="C1034" s="553" t="s">
        <v>715</v>
      </c>
      <c r="D1034" s="669" t="s">
        <v>442</v>
      </c>
      <c r="E1034" s="544">
        <v>543.03334600000005</v>
      </c>
    </row>
    <row r="1035" spans="2:5" ht="14.4" x14ac:dyDescent="0.25">
      <c r="B1035" s="543">
        <v>1182</v>
      </c>
      <c r="C1035" s="553" t="s">
        <v>723</v>
      </c>
      <c r="D1035" s="669" t="s">
        <v>442</v>
      </c>
      <c r="E1035" s="544">
        <v>545.9</v>
      </c>
    </row>
    <row r="1036" spans="2:5" ht="14.4" x14ac:dyDescent="0.25">
      <c r="B1036" s="543">
        <v>1183</v>
      </c>
      <c r="C1036" s="553" t="s">
        <v>701</v>
      </c>
      <c r="D1036" s="669" t="s">
        <v>442</v>
      </c>
      <c r="E1036" s="544">
        <v>537.29998799999998</v>
      </c>
    </row>
    <row r="1037" spans="2:5" x14ac:dyDescent="0.25">
      <c r="B1037" s="545">
        <v>1184</v>
      </c>
      <c r="C1037" s="553" t="s">
        <v>739</v>
      </c>
      <c r="D1037" s="669" t="s">
        <v>442</v>
      </c>
      <c r="E1037" s="546">
        <v>552.59167000000002</v>
      </c>
    </row>
    <row r="1038" spans="2:5" ht="14.4" x14ac:dyDescent="0.25">
      <c r="B1038" s="543">
        <v>1185</v>
      </c>
      <c r="C1038" s="553" t="s">
        <v>6756</v>
      </c>
      <c r="D1038" s="669" t="s">
        <v>442</v>
      </c>
      <c r="E1038" s="544">
        <v>543.47500600000001</v>
      </c>
    </row>
    <row r="1039" spans="2:5" x14ac:dyDescent="0.25">
      <c r="B1039" s="545">
        <v>1186</v>
      </c>
      <c r="C1039" s="553" t="s">
        <v>6757</v>
      </c>
      <c r="D1039" s="669" t="s">
        <v>442</v>
      </c>
      <c r="E1039" s="546">
        <v>634.61248799999998</v>
      </c>
    </row>
    <row r="1040" spans="2:5" x14ac:dyDescent="0.25">
      <c r="B1040" s="545">
        <v>1187</v>
      </c>
      <c r="C1040" s="553" t="s">
        <v>1247</v>
      </c>
      <c r="D1040" s="669" t="s">
        <v>442</v>
      </c>
      <c r="E1040" s="546">
        <v>606.452178</v>
      </c>
    </row>
    <row r="1041" spans="2:5" x14ac:dyDescent="0.25">
      <c r="B1041" s="545">
        <v>1188</v>
      </c>
      <c r="C1041" s="553" t="s">
        <v>1522</v>
      </c>
      <c r="D1041" s="669" t="s">
        <v>442</v>
      </c>
      <c r="E1041" s="546">
        <v>621.66666699999996</v>
      </c>
    </row>
    <row r="1042" spans="2:5" x14ac:dyDescent="0.25">
      <c r="B1042" s="545">
        <v>1189</v>
      </c>
      <c r="C1042" s="553" t="s">
        <v>7625</v>
      </c>
      <c r="D1042" s="669" t="s">
        <v>442</v>
      </c>
      <c r="E1042" s="546">
        <v>644.52000699999996</v>
      </c>
    </row>
    <row r="1043" spans="2:5" x14ac:dyDescent="0.25">
      <c r="B1043" s="545">
        <v>1190</v>
      </c>
      <c r="C1043" s="553" t="s">
        <v>2313</v>
      </c>
      <c r="D1043" s="669" t="s">
        <v>7750</v>
      </c>
      <c r="E1043" s="546">
        <v>657.90002400000003</v>
      </c>
    </row>
    <row r="1044" spans="2:5" x14ac:dyDescent="0.25">
      <c r="B1044" s="545">
        <v>1191</v>
      </c>
      <c r="C1044" s="553" t="s">
        <v>7486</v>
      </c>
      <c r="D1044" s="669" t="s">
        <v>7750</v>
      </c>
      <c r="E1044" s="546">
        <v>647.82499700000005</v>
      </c>
    </row>
    <row r="1045" spans="2:5" x14ac:dyDescent="0.25">
      <c r="B1045" s="545">
        <v>1192</v>
      </c>
      <c r="C1045" s="553" t="s">
        <v>1850</v>
      </c>
      <c r="D1045" s="669" t="s">
        <v>7750</v>
      </c>
      <c r="E1045" s="546">
        <v>637.75</v>
      </c>
    </row>
    <row r="1046" spans="2:5" x14ac:dyDescent="0.25">
      <c r="B1046" s="545">
        <v>1193</v>
      </c>
      <c r="C1046" s="553" t="s">
        <v>2268</v>
      </c>
      <c r="D1046" s="669" t="s">
        <v>7750</v>
      </c>
      <c r="E1046" s="546">
        <v>656.08124499999997</v>
      </c>
    </row>
    <row r="1047" spans="2:5" x14ac:dyDescent="0.25">
      <c r="B1047" s="545">
        <v>1194</v>
      </c>
      <c r="C1047" s="553" t="s">
        <v>7332</v>
      </c>
      <c r="D1047" s="669" t="s">
        <v>7750</v>
      </c>
      <c r="E1047" s="546">
        <v>681.63749700000005</v>
      </c>
    </row>
    <row r="1048" spans="2:5" x14ac:dyDescent="0.25">
      <c r="B1048" s="545">
        <v>1195</v>
      </c>
      <c r="C1048" s="553" t="s">
        <v>3508</v>
      </c>
      <c r="D1048" s="669" t="s">
        <v>7750</v>
      </c>
      <c r="E1048" s="546">
        <v>716.43332899999996</v>
      </c>
    </row>
    <row r="1049" spans="2:5" x14ac:dyDescent="0.25">
      <c r="B1049" s="545">
        <v>1196</v>
      </c>
      <c r="C1049" s="553" t="s">
        <v>2785</v>
      </c>
      <c r="D1049" s="669" t="s">
        <v>7750</v>
      </c>
      <c r="E1049" s="546">
        <v>680.17501100000004</v>
      </c>
    </row>
    <row r="1050" spans="2:5" x14ac:dyDescent="0.25">
      <c r="B1050" s="545">
        <v>1197</v>
      </c>
      <c r="C1050" s="553" t="s">
        <v>2605</v>
      </c>
      <c r="D1050" s="669" t="s">
        <v>7750</v>
      </c>
      <c r="E1050" s="546">
        <v>671.05454299999997</v>
      </c>
    </row>
    <row r="1051" spans="2:5" x14ac:dyDescent="0.25">
      <c r="B1051" s="545">
        <v>1198</v>
      </c>
      <c r="C1051" s="553" t="s">
        <v>2540</v>
      </c>
      <c r="D1051" s="669" t="s">
        <v>7750</v>
      </c>
      <c r="E1051" s="546">
        <v>668.129999</v>
      </c>
    </row>
    <row r="1052" spans="2:5" x14ac:dyDescent="0.25">
      <c r="B1052" s="545">
        <v>1199</v>
      </c>
      <c r="C1052" s="553" t="s">
        <v>2025</v>
      </c>
      <c r="D1052" s="669" t="s">
        <v>7750</v>
      </c>
      <c r="E1052" s="546">
        <v>644.13334099999997</v>
      </c>
    </row>
    <row r="1053" spans="2:5" x14ac:dyDescent="0.25">
      <c r="B1053" s="545">
        <v>1200</v>
      </c>
      <c r="C1053" s="553" t="s">
        <v>2048</v>
      </c>
      <c r="D1053" s="669" t="s">
        <v>7750</v>
      </c>
      <c r="E1053" s="546">
        <v>645.29998799999998</v>
      </c>
    </row>
    <row r="1054" spans="2:5" x14ac:dyDescent="0.25">
      <c r="B1054" s="545">
        <v>1201</v>
      </c>
      <c r="C1054" s="553" t="s">
        <v>1165</v>
      </c>
      <c r="D1054" s="669" t="s">
        <v>7750</v>
      </c>
      <c r="E1054" s="546">
        <v>623.54998799999998</v>
      </c>
    </row>
    <row r="1055" spans="2:5" x14ac:dyDescent="0.25">
      <c r="B1055" s="545">
        <v>1202</v>
      </c>
      <c r="C1055" s="553" t="s">
        <v>6796</v>
      </c>
      <c r="D1055" s="669" t="s">
        <v>7750</v>
      </c>
      <c r="E1055" s="546">
        <v>635.16666699999996</v>
      </c>
    </row>
    <row r="1056" spans="2:5" ht="14.4" x14ac:dyDescent="0.25">
      <c r="B1056" s="543">
        <v>1203</v>
      </c>
      <c r="C1056" s="553" t="s">
        <v>680</v>
      </c>
      <c r="D1056" s="669" t="s">
        <v>442</v>
      </c>
      <c r="E1056" s="544">
        <v>523.26666299999999</v>
      </c>
    </row>
    <row r="1057" spans="2:5" ht="14.4" x14ac:dyDescent="0.25">
      <c r="B1057" s="543">
        <v>1204</v>
      </c>
      <c r="C1057" s="553" t="s">
        <v>682</v>
      </c>
      <c r="D1057" s="669" t="s">
        <v>442</v>
      </c>
      <c r="E1057" s="544">
        <v>525.30000299999995</v>
      </c>
    </row>
    <row r="1058" spans="2:5" ht="14.4" x14ac:dyDescent="0.25">
      <c r="B1058" s="543">
        <v>1205</v>
      </c>
      <c r="C1058" s="553" t="s">
        <v>703</v>
      </c>
      <c r="D1058" s="669" t="s">
        <v>442</v>
      </c>
      <c r="E1058" s="544">
        <v>538.50000999999997</v>
      </c>
    </row>
    <row r="1059" spans="2:5" x14ac:dyDescent="0.25">
      <c r="B1059" s="545">
        <v>1206</v>
      </c>
      <c r="C1059" s="553" t="s">
        <v>793</v>
      </c>
      <c r="D1059" s="669" t="s">
        <v>442</v>
      </c>
      <c r="E1059" s="546">
        <v>566.48461899999995</v>
      </c>
    </row>
    <row r="1060" spans="2:5" x14ac:dyDescent="0.25">
      <c r="B1060" s="545">
        <v>1207</v>
      </c>
      <c r="C1060" s="553" t="s">
        <v>1348</v>
      </c>
      <c r="D1060" s="669" t="s">
        <v>442</v>
      </c>
      <c r="E1060" s="546">
        <v>612.27778499999999</v>
      </c>
    </row>
    <row r="1061" spans="2:5" x14ac:dyDescent="0.25">
      <c r="B1061" s="545">
        <v>1208</v>
      </c>
      <c r="C1061" s="553" t="s">
        <v>1371</v>
      </c>
      <c r="D1061" s="669" t="s">
        <v>442</v>
      </c>
      <c r="E1061" s="546">
        <v>613.72000700000001</v>
      </c>
    </row>
    <row r="1062" spans="2:5" x14ac:dyDescent="0.25">
      <c r="B1062" s="545">
        <v>1209</v>
      </c>
      <c r="C1062" s="553" t="s">
        <v>1533</v>
      </c>
      <c r="D1062" s="669" t="s">
        <v>7750</v>
      </c>
      <c r="E1062" s="546">
        <v>622.29998799999998</v>
      </c>
    </row>
    <row r="1063" spans="2:5" x14ac:dyDescent="0.25">
      <c r="B1063" s="545">
        <v>1210</v>
      </c>
      <c r="C1063" s="553" t="s">
        <v>7436</v>
      </c>
      <c r="D1063" s="669" t="s">
        <v>7750</v>
      </c>
      <c r="E1063" s="546">
        <v>636.49997599999995</v>
      </c>
    </row>
    <row r="1064" spans="2:5" x14ac:dyDescent="0.25">
      <c r="B1064" s="545">
        <v>1211</v>
      </c>
      <c r="C1064" s="553" t="s">
        <v>1866</v>
      </c>
      <c r="D1064" s="669" t="s">
        <v>7750</v>
      </c>
      <c r="E1064" s="546">
        <v>638.61111100000005</v>
      </c>
    </row>
    <row r="1065" spans="2:5" x14ac:dyDescent="0.25">
      <c r="B1065" s="545">
        <v>1212</v>
      </c>
      <c r="C1065" s="553" t="s">
        <v>2203</v>
      </c>
      <c r="D1065" s="669" t="s">
        <v>7750</v>
      </c>
      <c r="E1065" s="546">
        <v>653</v>
      </c>
    </row>
    <row r="1066" spans="2:5" x14ac:dyDescent="0.25">
      <c r="B1066" s="545">
        <v>1213</v>
      </c>
      <c r="C1066" s="553" t="s">
        <v>2160</v>
      </c>
      <c r="D1066" s="669" t="s">
        <v>7750</v>
      </c>
      <c r="E1066" s="546">
        <v>651.29998799999998</v>
      </c>
    </row>
    <row r="1067" spans="2:5" x14ac:dyDescent="0.25">
      <c r="B1067" s="545">
        <v>1214</v>
      </c>
      <c r="C1067" s="553" t="s">
        <v>7091</v>
      </c>
      <c r="D1067" s="669" t="s">
        <v>7750</v>
      </c>
      <c r="E1067" s="546">
        <v>687.51428199999998</v>
      </c>
    </row>
    <row r="1068" spans="2:5" x14ac:dyDescent="0.25">
      <c r="B1068" s="545">
        <v>1215</v>
      </c>
      <c r="C1068" s="553" t="s">
        <v>2597</v>
      </c>
      <c r="D1068" s="669" t="s">
        <v>7750</v>
      </c>
      <c r="E1068" s="546">
        <v>670.57999299999994</v>
      </c>
    </row>
    <row r="1069" spans="2:5" x14ac:dyDescent="0.25">
      <c r="B1069" s="545">
        <v>1216</v>
      </c>
      <c r="C1069" s="553" t="s">
        <v>2116</v>
      </c>
      <c r="D1069" s="669" t="s">
        <v>7750</v>
      </c>
      <c r="E1069" s="546">
        <v>649.29998799999998</v>
      </c>
    </row>
    <row r="1070" spans="2:5" ht="14.4" x14ac:dyDescent="0.25">
      <c r="B1070" s="543">
        <v>1217</v>
      </c>
      <c r="C1070" s="553" t="s">
        <v>695</v>
      </c>
      <c r="D1070" s="669" t="s">
        <v>442</v>
      </c>
      <c r="E1070" s="544">
        <v>532.633331</v>
      </c>
    </row>
    <row r="1071" spans="2:5" ht="14.4" x14ac:dyDescent="0.25">
      <c r="B1071" s="543">
        <v>1218</v>
      </c>
      <c r="C1071" s="553" t="s">
        <v>708</v>
      </c>
      <c r="D1071" s="669" t="s">
        <v>442</v>
      </c>
      <c r="E1071" s="544">
        <v>541.81999499999995</v>
      </c>
    </row>
    <row r="1072" spans="2:5" x14ac:dyDescent="0.25">
      <c r="B1072" s="545">
        <v>1219</v>
      </c>
      <c r="C1072" s="553" t="s">
        <v>753</v>
      </c>
      <c r="D1072" s="669" t="s">
        <v>442</v>
      </c>
      <c r="E1072" s="546">
        <v>557.88334099999997</v>
      </c>
    </row>
    <row r="1073" spans="2:5" x14ac:dyDescent="0.25">
      <c r="B1073" s="545">
        <v>1220</v>
      </c>
      <c r="C1073" s="553" t="s">
        <v>801</v>
      </c>
      <c r="D1073" s="669" t="s">
        <v>442</v>
      </c>
      <c r="E1073" s="546">
        <v>567.22500600000001</v>
      </c>
    </row>
    <row r="1074" spans="2:5" x14ac:dyDescent="0.25">
      <c r="B1074" s="545">
        <v>1221</v>
      </c>
      <c r="C1074" s="553" t="s">
        <v>7184</v>
      </c>
      <c r="D1074" s="669" t="s">
        <v>442</v>
      </c>
      <c r="E1074" s="546">
        <v>579.67999299999997</v>
      </c>
    </row>
    <row r="1075" spans="2:5" x14ac:dyDescent="0.25">
      <c r="B1075" s="545">
        <v>1222</v>
      </c>
      <c r="C1075" s="553" t="s">
        <v>1262</v>
      </c>
      <c r="D1075" s="669" t="s">
        <v>442</v>
      </c>
      <c r="E1075" s="546">
        <v>607.22222199999999</v>
      </c>
    </row>
    <row r="1076" spans="2:5" x14ac:dyDescent="0.25">
      <c r="B1076" s="545">
        <v>1223</v>
      </c>
      <c r="C1076" s="553" t="s">
        <v>1617</v>
      </c>
      <c r="D1076" s="669" t="s">
        <v>7750</v>
      </c>
      <c r="E1076" s="546">
        <v>627.45455100000004</v>
      </c>
    </row>
    <row r="1077" spans="2:5" x14ac:dyDescent="0.25">
      <c r="B1077" s="545">
        <v>1224</v>
      </c>
      <c r="C1077" s="553" t="s">
        <v>1938</v>
      </c>
      <c r="D1077" s="669" t="s">
        <v>7750</v>
      </c>
      <c r="E1077" s="546">
        <v>641.37501499999996</v>
      </c>
    </row>
    <row r="1078" spans="2:5" x14ac:dyDescent="0.25">
      <c r="B1078" s="545">
        <v>1225</v>
      </c>
      <c r="C1078" s="553" t="s">
        <v>1696</v>
      </c>
      <c r="D1078" s="669" t="s">
        <v>7750</v>
      </c>
      <c r="E1078" s="546">
        <v>632.14999399999999</v>
      </c>
    </row>
    <row r="1079" spans="2:5" x14ac:dyDescent="0.25">
      <c r="B1079" s="545">
        <v>1226</v>
      </c>
      <c r="C1079" s="553" t="s">
        <v>1809</v>
      </c>
      <c r="D1079" s="669" t="s">
        <v>7750</v>
      </c>
      <c r="E1079" s="546">
        <v>636.47499100000005</v>
      </c>
    </row>
    <row r="1080" spans="2:5" x14ac:dyDescent="0.25">
      <c r="B1080" s="545">
        <v>1227</v>
      </c>
      <c r="C1080" s="553" t="s">
        <v>2722</v>
      </c>
      <c r="D1080" s="669" t="s">
        <v>7750</v>
      </c>
      <c r="E1080" s="546">
        <v>676.99999100000002</v>
      </c>
    </row>
    <row r="1081" spans="2:5" x14ac:dyDescent="0.25">
      <c r="B1081" s="545">
        <v>1228</v>
      </c>
      <c r="C1081" s="553" t="s">
        <v>2861</v>
      </c>
      <c r="D1081" s="669" t="s">
        <v>7750</v>
      </c>
      <c r="E1081" s="546">
        <v>684.46665399999995</v>
      </c>
    </row>
    <row r="1082" spans="2:5" x14ac:dyDescent="0.25">
      <c r="B1082" s="545">
        <v>1229</v>
      </c>
      <c r="C1082" s="553" t="s">
        <v>2278</v>
      </c>
      <c r="D1082" s="669" t="s">
        <v>7750</v>
      </c>
      <c r="E1082" s="546">
        <v>656.35000600000001</v>
      </c>
    </row>
    <row r="1083" spans="2:5" x14ac:dyDescent="0.25">
      <c r="B1083" s="545">
        <v>1230</v>
      </c>
      <c r="C1083" s="553" t="s">
        <v>766</v>
      </c>
      <c r="D1083" s="669" t="s">
        <v>442</v>
      </c>
      <c r="E1083" s="546">
        <v>561.79998799999998</v>
      </c>
    </row>
    <row r="1084" spans="2:5" x14ac:dyDescent="0.25">
      <c r="B1084" s="545">
        <v>1231</v>
      </c>
      <c r="C1084" s="553" t="s">
        <v>838</v>
      </c>
      <c r="D1084" s="669" t="s">
        <v>442</v>
      </c>
      <c r="E1084" s="546">
        <v>573.75</v>
      </c>
    </row>
    <row r="1085" spans="2:5" x14ac:dyDescent="0.25">
      <c r="B1085" s="545">
        <v>1232</v>
      </c>
      <c r="C1085" s="553" t="s">
        <v>771</v>
      </c>
      <c r="D1085" s="669" t="s">
        <v>442</v>
      </c>
      <c r="E1085" s="546">
        <v>562.639996</v>
      </c>
    </row>
    <row r="1086" spans="2:5" x14ac:dyDescent="0.25">
      <c r="B1086" s="545">
        <v>1233</v>
      </c>
      <c r="C1086" s="553" t="s">
        <v>864</v>
      </c>
      <c r="D1086" s="669" t="s">
        <v>442</v>
      </c>
      <c r="E1086" s="546">
        <v>575.94000200000005</v>
      </c>
    </row>
    <row r="1087" spans="2:5" x14ac:dyDescent="0.25">
      <c r="B1087" s="545">
        <v>1234</v>
      </c>
      <c r="C1087" s="553" t="s">
        <v>6803</v>
      </c>
      <c r="D1087" s="669" t="s">
        <v>442</v>
      </c>
      <c r="E1087" s="546">
        <v>560.84000200000003</v>
      </c>
    </row>
    <row r="1088" spans="2:5" ht="14.4" x14ac:dyDescent="0.25">
      <c r="B1088" s="543">
        <v>1235</v>
      </c>
      <c r="C1088" s="553" t="s">
        <v>7576</v>
      </c>
      <c r="D1088" s="669" t="s">
        <v>442</v>
      </c>
      <c r="E1088" s="544">
        <v>548.07501200000002</v>
      </c>
    </row>
    <row r="1089" spans="2:5" ht="14.4" x14ac:dyDescent="0.25">
      <c r="B1089" s="543">
        <v>1236</v>
      </c>
      <c r="C1089" s="553" t="s">
        <v>699</v>
      </c>
      <c r="D1089" s="669" t="s">
        <v>442</v>
      </c>
      <c r="E1089" s="544">
        <v>535.70001200000002</v>
      </c>
    </row>
    <row r="1090" spans="2:5" x14ac:dyDescent="0.25">
      <c r="B1090" s="545">
        <v>1237</v>
      </c>
      <c r="C1090" s="553" t="s">
        <v>779</v>
      </c>
      <c r="D1090" s="669" t="s">
        <v>442</v>
      </c>
      <c r="E1090" s="546">
        <v>563.63751200000002</v>
      </c>
    </row>
    <row r="1091" spans="2:5" x14ac:dyDescent="0.25">
      <c r="B1091" s="545">
        <v>1238</v>
      </c>
      <c r="C1091" s="553" t="s">
        <v>7045</v>
      </c>
      <c r="D1091" s="669" t="s">
        <v>442</v>
      </c>
      <c r="E1091" s="546">
        <v>586.75</v>
      </c>
    </row>
    <row r="1092" spans="2:5" x14ac:dyDescent="0.25">
      <c r="B1092" s="545">
        <v>1239</v>
      </c>
      <c r="C1092" s="553" t="s">
        <v>1207</v>
      </c>
      <c r="D1092" s="669" t="s">
        <v>442</v>
      </c>
      <c r="E1092" s="546">
        <v>604.13636399999996</v>
      </c>
    </row>
    <row r="1093" spans="2:5" x14ac:dyDescent="0.25">
      <c r="B1093" s="545">
        <v>1240</v>
      </c>
      <c r="C1093" s="553" t="s">
        <v>1459</v>
      </c>
      <c r="D1093" s="669" t="s">
        <v>442</v>
      </c>
      <c r="E1093" s="546">
        <v>618.24999400000002</v>
      </c>
    </row>
    <row r="1094" spans="2:5" x14ac:dyDescent="0.25">
      <c r="B1094" s="545">
        <v>1241</v>
      </c>
      <c r="C1094" s="553" t="s">
        <v>1673</v>
      </c>
      <c r="D1094" s="669" t="s">
        <v>442</v>
      </c>
      <c r="E1094" s="546">
        <v>630.76666299999999</v>
      </c>
    </row>
    <row r="1095" spans="2:5" x14ac:dyDescent="0.25">
      <c r="B1095" s="545">
        <v>1242</v>
      </c>
      <c r="C1095" s="553" t="s">
        <v>1080</v>
      </c>
      <c r="D1095" s="669" t="s">
        <v>7750</v>
      </c>
      <c r="E1095" s="546">
        <v>647.63332100000002</v>
      </c>
    </row>
    <row r="1096" spans="2:5" x14ac:dyDescent="0.25">
      <c r="B1096" s="545">
        <v>1243</v>
      </c>
      <c r="C1096" s="553" t="s">
        <v>1778</v>
      </c>
      <c r="D1096" s="669" t="s">
        <v>7750</v>
      </c>
      <c r="E1096" s="546">
        <v>635.31999900000005</v>
      </c>
    </row>
    <row r="1097" spans="2:5" x14ac:dyDescent="0.25">
      <c r="B1097" s="545">
        <v>1244</v>
      </c>
      <c r="C1097" s="553" t="s">
        <v>1547</v>
      </c>
      <c r="D1097" s="669" t="s">
        <v>7750</v>
      </c>
      <c r="E1097" s="546">
        <v>623.73333700000001</v>
      </c>
    </row>
    <row r="1098" spans="2:5" x14ac:dyDescent="0.25">
      <c r="B1098" s="545">
        <v>1245</v>
      </c>
      <c r="C1098" s="553" t="s">
        <v>1685</v>
      </c>
      <c r="D1098" s="669" t="s">
        <v>7750</v>
      </c>
      <c r="E1098" s="546">
        <v>631.56666099999995</v>
      </c>
    </row>
    <row r="1099" spans="2:5" x14ac:dyDescent="0.25">
      <c r="B1099" s="545">
        <v>1246</v>
      </c>
      <c r="C1099" s="553" t="s">
        <v>2246</v>
      </c>
      <c r="D1099" s="669" t="s">
        <v>7750</v>
      </c>
      <c r="E1099" s="546">
        <v>655.05001800000002</v>
      </c>
    </row>
    <row r="1100" spans="2:5" x14ac:dyDescent="0.25">
      <c r="B1100" s="545">
        <v>1247</v>
      </c>
      <c r="C1100" s="553" t="s">
        <v>1742</v>
      </c>
      <c r="D1100" s="669" t="s">
        <v>7750</v>
      </c>
      <c r="E1100" s="546">
        <v>633.79999999999995</v>
      </c>
    </row>
    <row r="1101" spans="2:5" x14ac:dyDescent="0.25">
      <c r="B1101" s="545">
        <v>1248</v>
      </c>
      <c r="C1101" s="553" t="s">
        <v>363</v>
      </c>
      <c r="D1101" s="669" t="s">
        <v>7750</v>
      </c>
      <c r="E1101" s="546">
        <v>627.55714599999999</v>
      </c>
    </row>
    <row r="1102" spans="2:5" x14ac:dyDescent="0.25">
      <c r="B1102" s="545">
        <v>1249</v>
      </c>
      <c r="C1102" s="553" t="s">
        <v>1209</v>
      </c>
      <c r="D1102" s="669" t="s">
        <v>7750</v>
      </c>
      <c r="E1102" s="546">
        <v>604.34286099999997</v>
      </c>
    </row>
    <row r="1103" spans="2:5" x14ac:dyDescent="0.25">
      <c r="B1103" s="545">
        <v>1250</v>
      </c>
      <c r="C1103" s="553" t="s">
        <v>899</v>
      </c>
      <c r="D1103" s="669" t="s">
        <v>7750</v>
      </c>
      <c r="E1103" s="546">
        <v>579.54001500000004</v>
      </c>
    </row>
    <row r="1104" spans="2:5" x14ac:dyDescent="0.25">
      <c r="B1104" s="545">
        <v>1251</v>
      </c>
      <c r="C1104" s="553" t="s">
        <v>1125</v>
      </c>
      <c r="D1104" s="669" t="s">
        <v>7750</v>
      </c>
      <c r="E1104" s="546">
        <v>599.34286099999997</v>
      </c>
    </row>
    <row r="1105" spans="2:5" x14ac:dyDescent="0.25">
      <c r="B1105" s="545">
        <v>1252</v>
      </c>
      <c r="C1105" s="553" t="s">
        <v>1620</v>
      </c>
      <c r="D1105" s="669" t="s">
        <v>7750</v>
      </c>
      <c r="E1105" s="546">
        <v>627.54286000000002</v>
      </c>
    </row>
    <row r="1106" spans="2:5" x14ac:dyDescent="0.25">
      <c r="B1106" s="545">
        <v>1253</v>
      </c>
      <c r="C1106" s="553" t="s">
        <v>1855</v>
      </c>
      <c r="D1106" s="669" t="s">
        <v>7750</v>
      </c>
      <c r="E1106" s="546">
        <v>638.18181800000002</v>
      </c>
    </row>
    <row r="1107" spans="2:5" x14ac:dyDescent="0.25">
      <c r="B1107" s="545">
        <v>1254</v>
      </c>
      <c r="C1107" s="553" t="s">
        <v>1486</v>
      </c>
      <c r="D1107" s="669" t="s">
        <v>7750</v>
      </c>
      <c r="E1107" s="546">
        <v>619.47499800000003</v>
      </c>
    </row>
    <row r="1108" spans="2:5" x14ac:dyDescent="0.25">
      <c r="B1108" s="545">
        <v>1255</v>
      </c>
      <c r="C1108" s="553" t="s">
        <v>1427</v>
      </c>
      <c r="D1108" s="669" t="s">
        <v>442</v>
      </c>
      <c r="E1108" s="546">
        <v>616.79998799999998</v>
      </c>
    </row>
    <row r="1109" spans="2:5" x14ac:dyDescent="0.25">
      <c r="B1109" s="545">
        <v>1256</v>
      </c>
      <c r="C1109" s="553" t="s">
        <v>2392</v>
      </c>
      <c r="D1109" s="669" t="s">
        <v>442</v>
      </c>
      <c r="E1109" s="546">
        <v>661.67999299999997</v>
      </c>
    </row>
    <row r="1110" spans="2:5" x14ac:dyDescent="0.25">
      <c r="B1110" s="545">
        <v>1301</v>
      </c>
      <c r="C1110" s="553" t="s">
        <v>4036</v>
      </c>
      <c r="D1110" s="669" t="s">
        <v>411</v>
      </c>
      <c r="E1110" s="546">
        <v>747.15715699999998</v>
      </c>
    </row>
    <row r="1111" spans="2:5" x14ac:dyDescent="0.25">
      <c r="B1111" s="545">
        <v>1302</v>
      </c>
      <c r="C1111" s="553" t="s">
        <v>2779</v>
      </c>
      <c r="D1111" s="669" t="s">
        <v>411</v>
      </c>
      <c r="E1111" s="546">
        <v>679.74284999999998</v>
      </c>
    </row>
    <row r="1112" spans="2:5" x14ac:dyDescent="0.25">
      <c r="B1112" s="545">
        <v>1303</v>
      </c>
      <c r="C1112" s="553" t="s">
        <v>3466</v>
      </c>
      <c r="D1112" s="669" t="s">
        <v>411</v>
      </c>
      <c r="E1112" s="546">
        <v>714.14999399999999</v>
      </c>
    </row>
    <row r="1113" spans="2:5" x14ac:dyDescent="0.25">
      <c r="B1113" s="545">
        <v>1304</v>
      </c>
      <c r="C1113" s="553" t="s">
        <v>1734</v>
      </c>
      <c r="D1113" s="669" t="s">
        <v>416</v>
      </c>
      <c r="E1113" s="546">
        <v>633.65</v>
      </c>
    </row>
    <row r="1114" spans="2:5" x14ac:dyDescent="0.25">
      <c r="B1114" s="545">
        <v>1305</v>
      </c>
      <c r="C1114" s="553" t="s">
        <v>2222</v>
      </c>
      <c r="D1114" s="669" t="s">
        <v>411</v>
      </c>
      <c r="E1114" s="546">
        <v>653.94166600000005</v>
      </c>
    </row>
    <row r="1115" spans="2:5" x14ac:dyDescent="0.25">
      <c r="B1115" s="545">
        <v>1306</v>
      </c>
      <c r="C1115" s="553" t="s">
        <v>1350</v>
      </c>
      <c r="D1115" s="669" t="s">
        <v>411</v>
      </c>
      <c r="E1115" s="546">
        <v>612.40000399999997</v>
      </c>
    </row>
    <row r="1116" spans="2:5" x14ac:dyDescent="0.25">
      <c r="B1116" s="545">
        <v>1307</v>
      </c>
      <c r="C1116" s="553" t="s">
        <v>2578</v>
      </c>
      <c r="D1116" s="669" t="s">
        <v>411</v>
      </c>
      <c r="E1116" s="546">
        <v>669.52857300000005</v>
      </c>
    </row>
    <row r="1117" spans="2:5" x14ac:dyDescent="0.25">
      <c r="B1117" s="545">
        <v>1308</v>
      </c>
      <c r="C1117" s="553" t="s">
        <v>1761</v>
      </c>
      <c r="D1117" s="669" t="s">
        <v>411</v>
      </c>
      <c r="E1117" s="546">
        <v>634.34999100000005</v>
      </c>
    </row>
    <row r="1118" spans="2:5" x14ac:dyDescent="0.25">
      <c r="B1118" s="545">
        <v>1309</v>
      </c>
      <c r="C1118" s="553" t="s">
        <v>2543</v>
      </c>
      <c r="D1118" s="669" t="s">
        <v>411</v>
      </c>
      <c r="E1118" s="546">
        <v>668.19999700000005</v>
      </c>
    </row>
    <row r="1119" spans="2:5" x14ac:dyDescent="0.25">
      <c r="B1119" s="545">
        <v>1310</v>
      </c>
      <c r="C1119" s="553" t="s">
        <v>3388</v>
      </c>
      <c r="D1119" s="669" t="s">
        <v>411</v>
      </c>
      <c r="E1119" s="546">
        <v>710.10000600000001</v>
      </c>
    </row>
    <row r="1120" spans="2:5" x14ac:dyDescent="0.25">
      <c r="B1120" s="545">
        <v>1311</v>
      </c>
      <c r="C1120" s="553" t="s">
        <v>1501</v>
      </c>
      <c r="D1120" s="669" t="s">
        <v>416</v>
      </c>
      <c r="E1120" s="546">
        <v>640.33332299999995</v>
      </c>
    </row>
    <row r="1121" spans="2:5" x14ac:dyDescent="0.25">
      <c r="B1121" s="545">
        <v>1312</v>
      </c>
      <c r="C1121" s="553" t="s">
        <v>2063</v>
      </c>
      <c r="D1121" s="669" t="s">
        <v>411</v>
      </c>
      <c r="E1121" s="546">
        <v>646</v>
      </c>
    </row>
    <row r="1122" spans="2:5" x14ac:dyDescent="0.25">
      <c r="B1122" s="545">
        <v>1313</v>
      </c>
      <c r="C1122" s="553" t="s">
        <v>4172</v>
      </c>
      <c r="D1122" s="669" t="s">
        <v>411</v>
      </c>
      <c r="E1122" s="546">
        <v>755.5</v>
      </c>
    </row>
    <row r="1123" spans="2:5" x14ac:dyDescent="0.25">
      <c r="B1123" s="545">
        <v>1314</v>
      </c>
      <c r="C1123" s="553" t="s">
        <v>1339</v>
      </c>
      <c r="D1123" s="669" t="s">
        <v>411</v>
      </c>
      <c r="E1123" s="546">
        <v>630.56667100000004</v>
      </c>
    </row>
    <row r="1124" spans="2:5" x14ac:dyDescent="0.25">
      <c r="B1124" s="545">
        <v>1315</v>
      </c>
      <c r="C1124" s="553" t="s">
        <v>3489</v>
      </c>
      <c r="D1124" s="669" t="s">
        <v>411</v>
      </c>
      <c r="E1124" s="546">
        <v>715.40000399999997</v>
      </c>
    </row>
    <row r="1125" spans="2:5" x14ac:dyDescent="0.25">
      <c r="B1125" s="545">
        <v>1316</v>
      </c>
      <c r="C1125" s="553" t="s">
        <v>3557</v>
      </c>
      <c r="D1125" s="669" t="s">
        <v>411</v>
      </c>
      <c r="E1125" s="546">
        <v>719</v>
      </c>
    </row>
    <row r="1126" spans="2:5" x14ac:dyDescent="0.25">
      <c r="B1126" s="545">
        <v>1317</v>
      </c>
      <c r="C1126" s="553" t="s">
        <v>1754</v>
      </c>
      <c r="D1126" s="669" t="s">
        <v>411</v>
      </c>
      <c r="E1126" s="546">
        <v>634.259998</v>
      </c>
    </row>
    <row r="1127" spans="2:5" x14ac:dyDescent="0.25">
      <c r="B1127" s="545">
        <v>1318</v>
      </c>
      <c r="C1127" s="553" t="s">
        <v>2808</v>
      </c>
      <c r="D1127" s="669" t="s">
        <v>411</v>
      </c>
      <c r="E1127" s="546">
        <v>681.59997599999997</v>
      </c>
    </row>
    <row r="1128" spans="2:5" x14ac:dyDescent="0.25">
      <c r="B1128" s="545">
        <v>1319</v>
      </c>
      <c r="C1128" s="553" t="s">
        <v>6583</v>
      </c>
      <c r="D1128" s="669" t="s">
        <v>416</v>
      </c>
      <c r="E1128" s="546">
        <v>645.75</v>
      </c>
    </row>
    <row r="1129" spans="2:5" x14ac:dyDescent="0.25">
      <c r="B1129" s="545">
        <v>1320</v>
      </c>
      <c r="C1129" s="553" t="s">
        <v>6595</v>
      </c>
      <c r="D1129" s="669" t="s">
        <v>411</v>
      </c>
      <c r="E1129" s="546">
        <v>815.56664999999998</v>
      </c>
    </row>
    <row r="1130" spans="2:5" x14ac:dyDescent="0.25">
      <c r="B1130" s="545">
        <v>1321</v>
      </c>
      <c r="C1130" s="553" t="s">
        <v>6596</v>
      </c>
      <c r="D1130" s="669" t="s">
        <v>411</v>
      </c>
      <c r="E1130" s="546">
        <v>851.29998799999998</v>
      </c>
    </row>
    <row r="1131" spans="2:5" x14ac:dyDescent="0.25">
      <c r="B1131" s="545">
        <v>1322</v>
      </c>
      <c r="C1131" s="553" t="s">
        <v>2332</v>
      </c>
      <c r="D1131" s="669" t="s">
        <v>416</v>
      </c>
      <c r="E1131" s="546">
        <v>658.96364000000005</v>
      </c>
    </row>
    <row r="1132" spans="2:5" x14ac:dyDescent="0.25">
      <c r="B1132" s="545">
        <v>1323</v>
      </c>
      <c r="C1132" s="553" t="s">
        <v>1167</v>
      </c>
      <c r="D1132" s="669" t="s">
        <v>411</v>
      </c>
      <c r="E1132" s="546">
        <v>602.09999100000005</v>
      </c>
    </row>
    <row r="1133" spans="2:5" x14ac:dyDescent="0.25">
      <c r="B1133" s="545">
        <v>1324</v>
      </c>
      <c r="C1133" s="553" t="s">
        <v>1024</v>
      </c>
      <c r="D1133" s="669" t="s">
        <v>416</v>
      </c>
      <c r="E1133" s="546">
        <v>591.70001200000002</v>
      </c>
    </row>
    <row r="1134" spans="2:5" x14ac:dyDescent="0.25">
      <c r="B1134" s="545">
        <v>1326</v>
      </c>
      <c r="C1134" s="553" t="s">
        <v>2236</v>
      </c>
      <c r="D1134" s="669" t="s">
        <v>411</v>
      </c>
      <c r="E1134" s="546">
        <v>654.60000600000001</v>
      </c>
    </row>
    <row r="1135" spans="2:5" x14ac:dyDescent="0.25">
      <c r="B1135" s="545">
        <v>1327</v>
      </c>
      <c r="C1135" s="553" t="s">
        <v>411</v>
      </c>
      <c r="D1135" s="669" t="s">
        <v>411</v>
      </c>
      <c r="E1135" s="546">
        <v>694.69999900000005</v>
      </c>
    </row>
    <row r="1136" spans="2:5" x14ac:dyDescent="0.25">
      <c r="B1136" s="545">
        <v>1328</v>
      </c>
      <c r="C1136" s="553" t="s">
        <v>3472</v>
      </c>
      <c r="D1136" s="669" t="s">
        <v>411</v>
      </c>
      <c r="E1136" s="546">
        <v>714.40002400000003</v>
      </c>
    </row>
    <row r="1137" spans="2:5" x14ac:dyDescent="0.25">
      <c r="B1137" s="545">
        <v>1329</v>
      </c>
      <c r="C1137" s="553" t="s">
        <v>6621</v>
      </c>
      <c r="D1137" s="669" t="s">
        <v>411</v>
      </c>
      <c r="E1137" s="546">
        <v>721.90002400000003</v>
      </c>
    </row>
    <row r="1138" spans="2:5" x14ac:dyDescent="0.25">
      <c r="B1138" s="545">
        <v>1330</v>
      </c>
      <c r="C1138" s="553" t="s">
        <v>2459</v>
      </c>
      <c r="D1138" s="669" t="s">
        <v>411</v>
      </c>
      <c r="E1138" s="546">
        <v>664.40002400000003</v>
      </c>
    </row>
    <row r="1139" spans="2:5" x14ac:dyDescent="0.25">
      <c r="B1139" s="545">
        <v>1331</v>
      </c>
      <c r="C1139" s="553" t="s">
        <v>2702</v>
      </c>
      <c r="D1139" s="669" t="s">
        <v>411</v>
      </c>
      <c r="E1139" s="546">
        <v>675.90002400000003</v>
      </c>
    </row>
    <row r="1140" spans="2:5" x14ac:dyDescent="0.25">
      <c r="B1140" s="545">
        <v>1332</v>
      </c>
      <c r="C1140" s="553" t="s">
        <v>1187</v>
      </c>
      <c r="D1140" s="669" t="s">
        <v>411</v>
      </c>
      <c r="E1140" s="546">
        <v>603.24285899999995</v>
      </c>
    </row>
    <row r="1141" spans="2:5" x14ac:dyDescent="0.25">
      <c r="B1141" s="545">
        <v>1333</v>
      </c>
      <c r="C1141" s="553" t="s">
        <v>3301</v>
      </c>
      <c r="D1141" s="669" t="s">
        <v>416</v>
      </c>
      <c r="E1141" s="546">
        <v>706.13334099999997</v>
      </c>
    </row>
    <row r="1142" spans="2:5" x14ac:dyDescent="0.25">
      <c r="B1142" s="545">
        <v>1334</v>
      </c>
      <c r="C1142" s="553" t="s">
        <v>6655</v>
      </c>
      <c r="D1142" s="669" t="s">
        <v>411</v>
      </c>
      <c r="E1142" s="546">
        <v>645.04998799999998</v>
      </c>
    </row>
    <row r="1143" spans="2:5" x14ac:dyDescent="0.25">
      <c r="B1143" s="545">
        <v>1335</v>
      </c>
      <c r="C1143" s="553" t="s">
        <v>6657</v>
      </c>
      <c r="D1143" s="669" t="s">
        <v>416</v>
      </c>
      <c r="E1143" s="546">
        <v>608.11429299999998</v>
      </c>
    </row>
    <row r="1144" spans="2:5" x14ac:dyDescent="0.25">
      <c r="B1144" s="545">
        <v>1336</v>
      </c>
      <c r="C1144" s="553" t="s">
        <v>786</v>
      </c>
      <c r="D1144" s="669" t="s">
        <v>416</v>
      </c>
      <c r="E1144" s="546">
        <v>564.85000600000001</v>
      </c>
    </row>
    <row r="1145" spans="2:5" x14ac:dyDescent="0.25">
      <c r="B1145" s="545">
        <v>1337</v>
      </c>
      <c r="C1145" s="553" t="s">
        <v>3807</v>
      </c>
      <c r="D1145" s="669" t="s">
        <v>411</v>
      </c>
      <c r="E1145" s="546">
        <v>733.375</v>
      </c>
    </row>
    <row r="1146" spans="2:5" x14ac:dyDescent="0.25">
      <c r="B1146" s="545">
        <v>1338</v>
      </c>
      <c r="C1146" s="553" t="s">
        <v>1049</v>
      </c>
      <c r="D1146" s="669" t="s">
        <v>416</v>
      </c>
      <c r="E1146" s="546">
        <v>593.93001100000004</v>
      </c>
    </row>
    <row r="1147" spans="2:5" x14ac:dyDescent="0.25">
      <c r="B1147" s="545">
        <v>1339</v>
      </c>
      <c r="C1147" s="553" t="s">
        <v>2369</v>
      </c>
      <c r="D1147" s="669" t="s">
        <v>411</v>
      </c>
      <c r="E1147" s="546">
        <v>660.51999499999999</v>
      </c>
    </row>
    <row r="1148" spans="2:5" x14ac:dyDescent="0.25">
      <c r="B1148" s="545">
        <v>1340</v>
      </c>
      <c r="C1148" s="553" t="s">
        <v>824</v>
      </c>
      <c r="D1148" s="669" t="s">
        <v>411</v>
      </c>
      <c r="E1148" s="546">
        <v>762.70001200000002</v>
      </c>
    </row>
    <row r="1149" spans="2:5" x14ac:dyDescent="0.25">
      <c r="B1149" s="545">
        <v>1341</v>
      </c>
      <c r="C1149" s="553" t="s">
        <v>1093</v>
      </c>
      <c r="D1149" s="669" t="s">
        <v>416</v>
      </c>
      <c r="E1149" s="546">
        <v>597.03332499999999</v>
      </c>
    </row>
    <row r="1150" spans="2:5" x14ac:dyDescent="0.25">
      <c r="B1150" s="545">
        <v>1342</v>
      </c>
      <c r="C1150" s="553" t="s">
        <v>2818</v>
      </c>
      <c r="D1150" s="669" t="s">
        <v>411</v>
      </c>
      <c r="E1150" s="546">
        <v>681.94998199999998</v>
      </c>
    </row>
    <row r="1151" spans="2:5" x14ac:dyDescent="0.25">
      <c r="B1151" s="545">
        <v>1343</v>
      </c>
      <c r="C1151" s="553" t="s">
        <v>1849</v>
      </c>
      <c r="D1151" s="669" t="s">
        <v>411</v>
      </c>
      <c r="E1151" s="546">
        <v>637.72857699999997</v>
      </c>
    </row>
    <row r="1152" spans="2:5" x14ac:dyDescent="0.25">
      <c r="B1152" s="545">
        <v>1344</v>
      </c>
      <c r="C1152" s="553" t="s">
        <v>2152</v>
      </c>
      <c r="D1152" s="669" t="s">
        <v>411</v>
      </c>
      <c r="E1152" s="546">
        <v>650.86665900000003</v>
      </c>
    </row>
    <row r="1153" spans="2:5" x14ac:dyDescent="0.25">
      <c r="B1153" s="545">
        <v>1345</v>
      </c>
      <c r="C1153" s="553" t="s">
        <v>3513</v>
      </c>
      <c r="D1153" s="669" t="s">
        <v>411</v>
      </c>
      <c r="E1153" s="546">
        <v>717.06667100000004</v>
      </c>
    </row>
    <row r="1154" spans="2:5" x14ac:dyDescent="0.25">
      <c r="B1154" s="545">
        <v>1346</v>
      </c>
      <c r="C1154" s="553" t="s">
        <v>1228</v>
      </c>
      <c r="D1154" s="669" t="s">
        <v>411</v>
      </c>
      <c r="E1154" s="546">
        <v>732.5</v>
      </c>
    </row>
    <row r="1155" spans="2:5" x14ac:dyDescent="0.25">
      <c r="B1155" s="545">
        <v>1347</v>
      </c>
      <c r="C1155" s="553" t="s">
        <v>4606</v>
      </c>
      <c r="D1155" s="669" t="s">
        <v>411</v>
      </c>
      <c r="E1155" s="546">
        <v>788.23331700000006</v>
      </c>
    </row>
    <row r="1156" spans="2:5" x14ac:dyDescent="0.25">
      <c r="B1156" s="545">
        <v>1348</v>
      </c>
      <c r="C1156" s="553" t="s">
        <v>2344</v>
      </c>
      <c r="D1156" s="669" t="s">
        <v>416</v>
      </c>
      <c r="E1156" s="546">
        <v>659.38182500000005</v>
      </c>
    </row>
    <row r="1157" spans="2:5" x14ac:dyDescent="0.25">
      <c r="B1157" s="545">
        <v>1349</v>
      </c>
      <c r="C1157" s="553" t="s">
        <v>3858</v>
      </c>
      <c r="D1157" s="669" t="s">
        <v>416</v>
      </c>
      <c r="E1157" s="546">
        <v>736.16666699999996</v>
      </c>
    </row>
    <row r="1158" spans="2:5" x14ac:dyDescent="0.25">
      <c r="B1158" s="545">
        <v>1350</v>
      </c>
      <c r="C1158" s="553" t="s">
        <v>981</v>
      </c>
      <c r="D1158" s="669" t="s">
        <v>416</v>
      </c>
      <c r="E1158" s="546">
        <v>587.10000600000001</v>
      </c>
    </row>
    <row r="1159" spans="2:5" x14ac:dyDescent="0.25">
      <c r="B1159" s="545">
        <v>1351</v>
      </c>
      <c r="C1159" s="553" t="s">
        <v>2558</v>
      </c>
      <c r="D1159" s="669" t="s">
        <v>411</v>
      </c>
      <c r="E1159" s="546">
        <v>668.70001200000002</v>
      </c>
    </row>
    <row r="1160" spans="2:5" x14ac:dyDescent="0.25">
      <c r="B1160" s="545">
        <v>1352</v>
      </c>
      <c r="C1160" s="553" t="s">
        <v>2150</v>
      </c>
      <c r="D1160" s="669" t="s">
        <v>411</v>
      </c>
      <c r="E1160" s="546">
        <v>650.81667100000004</v>
      </c>
    </row>
    <row r="1161" spans="2:5" x14ac:dyDescent="0.25">
      <c r="B1161" s="545">
        <v>1353</v>
      </c>
      <c r="C1161" s="553" t="s">
        <v>6772</v>
      </c>
      <c r="D1161" s="669" t="s">
        <v>411</v>
      </c>
      <c r="E1161" s="546">
        <v>698.06667100000004</v>
      </c>
    </row>
    <row r="1162" spans="2:5" x14ac:dyDescent="0.25">
      <c r="B1162" s="545">
        <v>1354</v>
      </c>
      <c r="C1162" s="553" t="s">
        <v>1675</v>
      </c>
      <c r="D1162" s="669" t="s">
        <v>411</v>
      </c>
      <c r="E1162" s="546">
        <v>630.90833999999995</v>
      </c>
    </row>
    <row r="1163" spans="2:5" x14ac:dyDescent="0.25">
      <c r="B1163" s="545">
        <v>1355</v>
      </c>
      <c r="C1163" s="553" t="s">
        <v>3966</v>
      </c>
      <c r="D1163" s="669" t="s">
        <v>411</v>
      </c>
      <c r="E1163" s="546">
        <v>742.66666699999996</v>
      </c>
    </row>
    <row r="1164" spans="2:5" x14ac:dyDescent="0.25">
      <c r="B1164" s="545">
        <v>1356</v>
      </c>
      <c r="C1164" s="553" t="s">
        <v>6791</v>
      </c>
      <c r="D1164" s="669" t="s">
        <v>411</v>
      </c>
      <c r="E1164" s="546">
        <v>610.96666500000003</v>
      </c>
    </row>
    <row r="1165" spans="2:5" x14ac:dyDescent="0.25">
      <c r="B1165" s="545">
        <v>1357</v>
      </c>
      <c r="C1165" s="553" t="s">
        <v>3765</v>
      </c>
      <c r="D1165" s="669" t="s">
        <v>411</v>
      </c>
      <c r="E1165" s="546">
        <v>730.89999</v>
      </c>
    </row>
    <row r="1166" spans="2:5" x14ac:dyDescent="0.25">
      <c r="B1166" s="545">
        <v>1358</v>
      </c>
      <c r="C1166" s="553" t="s">
        <v>1117</v>
      </c>
      <c r="D1166" s="669" t="s">
        <v>411</v>
      </c>
      <c r="E1166" s="546">
        <v>598.63334099999997</v>
      </c>
    </row>
    <row r="1167" spans="2:5" ht="14.4" x14ac:dyDescent="0.25">
      <c r="B1167" s="543">
        <v>1359</v>
      </c>
      <c r="C1167" s="553" t="s">
        <v>6798</v>
      </c>
      <c r="D1167" s="669" t="s">
        <v>411</v>
      </c>
      <c r="E1167" s="544">
        <v>521.54000199999996</v>
      </c>
    </row>
    <row r="1168" spans="2:5" x14ac:dyDescent="0.25">
      <c r="B1168" s="545">
        <v>1360</v>
      </c>
      <c r="C1168" s="553" t="s">
        <v>1975</v>
      </c>
      <c r="D1168" s="669" t="s">
        <v>411</v>
      </c>
      <c r="E1168" s="546">
        <v>642.59997599999997</v>
      </c>
    </row>
    <row r="1169" spans="2:5" x14ac:dyDescent="0.25">
      <c r="B1169" s="545">
        <v>1361</v>
      </c>
      <c r="C1169" s="553" t="s">
        <v>3929</v>
      </c>
      <c r="D1169" s="669" t="s">
        <v>411</v>
      </c>
      <c r="E1169" s="546">
        <v>740.48748799999998</v>
      </c>
    </row>
    <row r="1170" spans="2:5" x14ac:dyDescent="0.25">
      <c r="B1170" s="545">
        <v>1362</v>
      </c>
      <c r="C1170" s="553" t="s">
        <v>6883</v>
      </c>
      <c r="D1170" s="669" t="s">
        <v>411</v>
      </c>
      <c r="E1170" s="546">
        <v>703.30000500000006</v>
      </c>
    </row>
    <row r="1171" spans="2:5" x14ac:dyDescent="0.25">
      <c r="B1171" s="545">
        <v>1363</v>
      </c>
      <c r="C1171" s="553" t="s">
        <v>6600</v>
      </c>
      <c r="D1171" s="669" t="s">
        <v>411</v>
      </c>
      <c r="E1171" s="546">
        <v>614.67500299999995</v>
      </c>
    </row>
    <row r="1172" spans="2:5" x14ac:dyDescent="0.25">
      <c r="B1172" s="545">
        <v>1364</v>
      </c>
      <c r="C1172" s="553" t="s">
        <v>6919</v>
      </c>
      <c r="D1172" s="669" t="s">
        <v>411</v>
      </c>
      <c r="E1172" s="546">
        <v>631.75</v>
      </c>
    </row>
    <row r="1173" spans="2:5" x14ac:dyDescent="0.25">
      <c r="B1173" s="545">
        <v>1365</v>
      </c>
      <c r="C1173" s="553" t="s">
        <v>2802</v>
      </c>
      <c r="D1173" s="669" t="s">
        <v>411</v>
      </c>
      <c r="E1173" s="546">
        <v>681.10000600000001</v>
      </c>
    </row>
    <row r="1174" spans="2:5" x14ac:dyDescent="0.25">
      <c r="B1174" s="545">
        <v>1366</v>
      </c>
      <c r="C1174" s="553" t="s">
        <v>2001</v>
      </c>
      <c r="D1174" s="669" t="s">
        <v>416</v>
      </c>
      <c r="E1174" s="546">
        <v>643.33333300000004</v>
      </c>
    </row>
    <row r="1175" spans="2:5" x14ac:dyDescent="0.25">
      <c r="B1175" s="545">
        <v>1367</v>
      </c>
      <c r="C1175" s="553" t="s">
        <v>6959</v>
      </c>
      <c r="D1175" s="669" t="s">
        <v>411</v>
      </c>
      <c r="E1175" s="546">
        <v>715.13332100000002</v>
      </c>
    </row>
    <row r="1176" spans="2:5" x14ac:dyDescent="0.25">
      <c r="B1176" s="545">
        <v>1368</v>
      </c>
      <c r="C1176" s="553" t="s">
        <v>2462</v>
      </c>
      <c r="D1176" s="669" t="s">
        <v>411</v>
      </c>
      <c r="E1176" s="546">
        <v>664.59999600000003</v>
      </c>
    </row>
    <row r="1177" spans="2:5" x14ac:dyDescent="0.25">
      <c r="B1177" s="545">
        <v>1369</v>
      </c>
      <c r="C1177" s="553" t="s">
        <v>6964</v>
      </c>
      <c r="D1177" s="669" t="s">
        <v>411</v>
      </c>
      <c r="E1177" s="546">
        <v>651.59997599999997</v>
      </c>
    </row>
    <row r="1178" spans="2:5" x14ac:dyDescent="0.25">
      <c r="B1178" s="545">
        <v>1370</v>
      </c>
      <c r="C1178" s="553" t="s">
        <v>3499</v>
      </c>
      <c r="D1178" s="669" t="s">
        <v>411</v>
      </c>
      <c r="E1178" s="546">
        <v>715.90002400000003</v>
      </c>
    </row>
    <row r="1179" spans="2:5" x14ac:dyDescent="0.25">
      <c r="B1179" s="545">
        <v>1371</v>
      </c>
      <c r="C1179" s="553" t="s">
        <v>1220</v>
      </c>
      <c r="D1179" s="669" t="s">
        <v>411</v>
      </c>
      <c r="E1179" s="546">
        <v>605.09999600000003</v>
      </c>
    </row>
    <row r="1180" spans="2:5" x14ac:dyDescent="0.25">
      <c r="B1180" s="545">
        <v>1372</v>
      </c>
      <c r="C1180" s="553" t="s">
        <v>1193</v>
      </c>
      <c r="D1180" s="669" t="s">
        <v>411</v>
      </c>
      <c r="E1180" s="546">
        <v>603.52220999999997</v>
      </c>
    </row>
    <row r="1181" spans="2:5" x14ac:dyDescent="0.25">
      <c r="B1181" s="545">
        <v>1373</v>
      </c>
      <c r="C1181" s="553" t="s">
        <v>2963</v>
      </c>
      <c r="D1181" s="669" t="s">
        <v>411</v>
      </c>
      <c r="E1181" s="546">
        <v>688.62856599999998</v>
      </c>
    </row>
    <row r="1182" spans="2:5" x14ac:dyDescent="0.25">
      <c r="B1182" s="545">
        <v>1374</v>
      </c>
      <c r="C1182" s="553" t="s">
        <v>1898</v>
      </c>
      <c r="D1182" s="669" t="s">
        <v>411</v>
      </c>
      <c r="E1182" s="546">
        <v>639.79998799999998</v>
      </c>
    </row>
    <row r="1183" spans="2:5" ht="14.4" x14ac:dyDescent="0.25">
      <c r="B1183" s="543">
        <v>1375</v>
      </c>
      <c r="C1183" s="553" t="s">
        <v>719</v>
      </c>
      <c r="D1183" s="669" t="s">
        <v>411</v>
      </c>
      <c r="E1183" s="544">
        <v>545.08000500000003</v>
      </c>
    </row>
    <row r="1184" spans="2:5" x14ac:dyDescent="0.25">
      <c r="B1184" s="545">
        <v>1376</v>
      </c>
      <c r="C1184" s="553" t="s">
        <v>1376</v>
      </c>
      <c r="D1184" s="669" t="s">
        <v>416</v>
      </c>
      <c r="E1184" s="546">
        <v>613.95999800000004</v>
      </c>
    </row>
    <row r="1185" spans="2:5" x14ac:dyDescent="0.25">
      <c r="B1185" s="545">
        <v>1377</v>
      </c>
      <c r="C1185" s="553" t="s">
        <v>7019</v>
      </c>
      <c r="D1185" s="669" t="s">
        <v>411</v>
      </c>
      <c r="E1185" s="546">
        <v>815.75</v>
      </c>
    </row>
    <row r="1186" spans="2:5" x14ac:dyDescent="0.25">
      <c r="B1186" s="545">
        <v>1378</v>
      </c>
      <c r="C1186" s="553" t="s">
        <v>3505</v>
      </c>
      <c r="D1186" s="669" t="s">
        <v>411</v>
      </c>
      <c r="E1186" s="546">
        <v>716.20001200000002</v>
      </c>
    </row>
    <row r="1187" spans="2:5" x14ac:dyDescent="0.25">
      <c r="B1187" s="545">
        <v>1379</v>
      </c>
      <c r="C1187" s="553" t="s">
        <v>7025</v>
      </c>
      <c r="D1187" s="669" t="s">
        <v>411</v>
      </c>
      <c r="E1187" s="546">
        <v>747.06664999999998</v>
      </c>
    </row>
    <row r="1188" spans="2:5" x14ac:dyDescent="0.25">
      <c r="B1188" s="545">
        <v>1380</v>
      </c>
      <c r="C1188" s="553" t="s">
        <v>1406</v>
      </c>
      <c r="D1188" s="669" t="s">
        <v>416</v>
      </c>
      <c r="E1188" s="546">
        <v>615.29998799999998</v>
      </c>
    </row>
    <row r="1189" spans="2:5" x14ac:dyDescent="0.25">
      <c r="B1189" s="545">
        <v>1381</v>
      </c>
      <c r="C1189" s="553" t="s">
        <v>2286</v>
      </c>
      <c r="D1189" s="669" t="s">
        <v>416</v>
      </c>
      <c r="E1189" s="546">
        <v>656.79999799999996</v>
      </c>
    </row>
    <row r="1190" spans="2:5" ht="14.4" x14ac:dyDescent="0.25">
      <c r="B1190" s="543">
        <v>1382</v>
      </c>
      <c r="C1190" s="553" t="s">
        <v>722</v>
      </c>
      <c r="D1190" s="669" t="s">
        <v>411</v>
      </c>
      <c r="E1190" s="544">
        <v>545.79998799999998</v>
      </c>
    </row>
    <row r="1191" spans="2:5" x14ac:dyDescent="0.25">
      <c r="B1191" s="545">
        <v>1383</v>
      </c>
      <c r="C1191" s="553" t="s">
        <v>3869</v>
      </c>
      <c r="D1191" s="669" t="s">
        <v>411</v>
      </c>
      <c r="E1191" s="546">
        <v>736.75</v>
      </c>
    </row>
    <row r="1192" spans="2:5" x14ac:dyDescent="0.25">
      <c r="B1192" s="545">
        <v>1384</v>
      </c>
      <c r="C1192" s="553" t="s">
        <v>4264</v>
      </c>
      <c r="D1192" s="669" t="s">
        <v>411</v>
      </c>
      <c r="E1192" s="546">
        <v>762.09999100000005</v>
      </c>
    </row>
    <row r="1193" spans="2:5" x14ac:dyDescent="0.25">
      <c r="B1193" s="545">
        <v>1385</v>
      </c>
      <c r="C1193" s="553" t="s">
        <v>2657</v>
      </c>
      <c r="D1193" s="669" t="s">
        <v>411</v>
      </c>
      <c r="E1193" s="546">
        <v>674.14999399999999</v>
      </c>
    </row>
    <row r="1194" spans="2:5" x14ac:dyDescent="0.25">
      <c r="B1194" s="545">
        <v>1386</v>
      </c>
      <c r="C1194" s="553" t="s">
        <v>4076</v>
      </c>
      <c r="D1194" s="669" t="s">
        <v>411</v>
      </c>
      <c r="E1194" s="546">
        <v>749.75</v>
      </c>
    </row>
    <row r="1195" spans="2:5" x14ac:dyDescent="0.25">
      <c r="B1195" s="545">
        <v>1387</v>
      </c>
      <c r="C1195" s="553" t="s">
        <v>2546</v>
      </c>
      <c r="D1195" s="669" t="s">
        <v>411</v>
      </c>
      <c r="E1195" s="546">
        <v>668.30001800000002</v>
      </c>
    </row>
    <row r="1196" spans="2:5" x14ac:dyDescent="0.25">
      <c r="B1196" s="545">
        <v>1388</v>
      </c>
      <c r="C1196" s="553" t="s">
        <v>3702</v>
      </c>
      <c r="D1196" s="669" t="s">
        <v>411</v>
      </c>
      <c r="E1196" s="546">
        <v>727.32501200000002</v>
      </c>
    </row>
    <row r="1197" spans="2:5" x14ac:dyDescent="0.25">
      <c r="B1197" s="545">
        <v>1389</v>
      </c>
      <c r="C1197" s="553" t="s">
        <v>2115</v>
      </c>
      <c r="D1197" s="669" t="s">
        <v>411</v>
      </c>
      <c r="E1197" s="546">
        <v>649.22500600000001</v>
      </c>
    </row>
    <row r="1198" spans="2:5" x14ac:dyDescent="0.25">
      <c r="B1198" s="545">
        <v>1390</v>
      </c>
      <c r="C1198" s="553" t="s">
        <v>1902</v>
      </c>
      <c r="D1198" s="669" t="s">
        <v>416</v>
      </c>
      <c r="E1198" s="546">
        <v>640.07142899999997</v>
      </c>
    </row>
    <row r="1199" spans="2:5" x14ac:dyDescent="0.25">
      <c r="B1199" s="545">
        <v>1391</v>
      </c>
      <c r="C1199" s="553" t="s">
        <v>7081</v>
      </c>
      <c r="D1199" s="669" t="s">
        <v>411</v>
      </c>
      <c r="E1199" s="546">
        <v>678.09997599999997</v>
      </c>
    </row>
    <row r="1200" spans="2:5" x14ac:dyDescent="0.25">
      <c r="B1200" s="545">
        <v>1392</v>
      </c>
      <c r="C1200" s="553" t="s">
        <v>7093</v>
      </c>
      <c r="D1200" s="669" t="s">
        <v>411</v>
      </c>
      <c r="E1200" s="546">
        <v>637.04998799999998</v>
      </c>
    </row>
    <row r="1201" spans="2:5" x14ac:dyDescent="0.25">
      <c r="B1201" s="545">
        <v>1393</v>
      </c>
      <c r="C1201" s="553" t="s">
        <v>7097</v>
      </c>
      <c r="D1201" s="669" t="s">
        <v>416</v>
      </c>
      <c r="E1201" s="546">
        <v>602.96667500000001</v>
      </c>
    </row>
    <row r="1202" spans="2:5" x14ac:dyDescent="0.25">
      <c r="B1202" s="545">
        <v>1394</v>
      </c>
      <c r="C1202" s="553" t="s">
        <v>7100</v>
      </c>
      <c r="D1202" s="669" t="s">
        <v>416</v>
      </c>
      <c r="E1202" s="546">
        <v>761.13748899999996</v>
      </c>
    </row>
    <row r="1203" spans="2:5" x14ac:dyDescent="0.25">
      <c r="B1203" s="545">
        <v>1395</v>
      </c>
      <c r="C1203" s="553" t="s">
        <v>7115</v>
      </c>
      <c r="D1203" s="669" t="s">
        <v>416</v>
      </c>
      <c r="E1203" s="546">
        <v>686.43332899999996</v>
      </c>
    </row>
    <row r="1204" spans="2:5" x14ac:dyDescent="0.25">
      <c r="B1204" s="545">
        <v>1396</v>
      </c>
      <c r="C1204" s="553" t="s">
        <v>4436</v>
      </c>
      <c r="D1204" s="669" t="s">
        <v>416</v>
      </c>
      <c r="E1204" s="546">
        <v>775.64999399999999</v>
      </c>
    </row>
    <row r="1205" spans="2:5" x14ac:dyDescent="0.25">
      <c r="B1205" s="545">
        <v>1397</v>
      </c>
      <c r="C1205" s="553" t="s">
        <v>757</v>
      </c>
      <c r="D1205" s="669" t="s">
        <v>411</v>
      </c>
      <c r="E1205" s="546">
        <v>559.90000399999997</v>
      </c>
    </row>
    <row r="1206" spans="2:5" x14ac:dyDescent="0.25">
      <c r="B1206" s="545">
        <v>1398</v>
      </c>
      <c r="C1206" s="553" t="s">
        <v>2350</v>
      </c>
      <c r="D1206" s="669" t="s">
        <v>416</v>
      </c>
      <c r="E1206" s="546">
        <v>659.63333799999998</v>
      </c>
    </row>
    <row r="1207" spans="2:5" x14ac:dyDescent="0.25">
      <c r="B1207" s="545">
        <v>1399</v>
      </c>
      <c r="C1207" s="553" t="s">
        <v>4008</v>
      </c>
      <c r="D1207" s="669" t="s">
        <v>411</v>
      </c>
      <c r="E1207" s="546">
        <v>745.54998799999998</v>
      </c>
    </row>
    <row r="1208" spans="2:5" x14ac:dyDescent="0.25">
      <c r="B1208" s="545">
        <v>1400</v>
      </c>
      <c r="C1208" s="553" t="s">
        <v>1839</v>
      </c>
      <c r="D1208" s="669" t="s">
        <v>411</v>
      </c>
      <c r="E1208" s="546">
        <v>637.34999100000005</v>
      </c>
    </row>
    <row r="1209" spans="2:5" x14ac:dyDescent="0.25">
      <c r="B1209" s="545">
        <v>1401</v>
      </c>
      <c r="C1209" s="553" t="s">
        <v>2812</v>
      </c>
      <c r="D1209" s="669" t="s">
        <v>411</v>
      </c>
      <c r="E1209" s="546">
        <v>681.80001800000002</v>
      </c>
    </row>
    <row r="1210" spans="2:5" x14ac:dyDescent="0.25">
      <c r="B1210" s="545">
        <v>1402</v>
      </c>
      <c r="C1210" s="553" t="s">
        <v>2021</v>
      </c>
      <c r="D1210" s="669" t="s">
        <v>416</v>
      </c>
      <c r="E1210" s="546">
        <v>643.96666500000003</v>
      </c>
    </row>
    <row r="1211" spans="2:5" x14ac:dyDescent="0.25">
      <c r="B1211" s="545">
        <v>1403</v>
      </c>
      <c r="C1211" s="553" t="s">
        <v>416</v>
      </c>
      <c r="D1211" s="669" t="s">
        <v>416</v>
      </c>
      <c r="E1211" s="546">
        <v>616.69167100000004</v>
      </c>
    </row>
    <row r="1212" spans="2:5" x14ac:dyDescent="0.25">
      <c r="B1212" s="545">
        <v>1404</v>
      </c>
      <c r="C1212" s="553" t="s">
        <v>7146</v>
      </c>
      <c r="D1212" s="669" t="s">
        <v>411</v>
      </c>
      <c r="E1212" s="546">
        <v>695.10000600000001</v>
      </c>
    </row>
    <row r="1213" spans="2:5" x14ac:dyDescent="0.25">
      <c r="B1213" s="545">
        <v>1405</v>
      </c>
      <c r="C1213" s="553" t="s">
        <v>7151</v>
      </c>
      <c r="D1213" s="669" t="s">
        <v>411</v>
      </c>
      <c r="E1213" s="546">
        <v>635.5</v>
      </c>
    </row>
    <row r="1214" spans="2:5" x14ac:dyDescent="0.25">
      <c r="B1214" s="545">
        <v>1406</v>
      </c>
      <c r="C1214" s="553" t="s">
        <v>2257</v>
      </c>
      <c r="D1214" s="669" t="s">
        <v>416</v>
      </c>
      <c r="E1214" s="546">
        <v>655.59997599999997</v>
      </c>
    </row>
    <row r="1215" spans="2:5" x14ac:dyDescent="0.25">
      <c r="B1215" s="545">
        <v>1407</v>
      </c>
      <c r="C1215" s="553" t="s">
        <v>1590</v>
      </c>
      <c r="D1215" s="669" t="s">
        <v>416</v>
      </c>
      <c r="E1215" s="546">
        <v>625.86667899999998</v>
      </c>
    </row>
    <row r="1216" spans="2:5" x14ac:dyDescent="0.25">
      <c r="B1216" s="545">
        <v>1408</v>
      </c>
      <c r="C1216" s="553" t="s">
        <v>1699</v>
      </c>
      <c r="D1216" s="669" t="s">
        <v>416</v>
      </c>
      <c r="E1216" s="546">
        <v>632.23333700000001</v>
      </c>
    </row>
    <row r="1217" spans="2:5" x14ac:dyDescent="0.25">
      <c r="B1217" s="545">
        <v>1409</v>
      </c>
      <c r="C1217" s="553" t="s">
        <v>4700</v>
      </c>
      <c r="D1217" s="669" t="s">
        <v>411</v>
      </c>
      <c r="E1217" s="546">
        <v>795.75</v>
      </c>
    </row>
    <row r="1218" spans="2:5" x14ac:dyDescent="0.25">
      <c r="B1218" s="545">
        <v>1410</v>
      </c>
      <c r="C1218" s="553" t="s">
        <v>2425</v>
      </c>
      <c r="D1218" s="669" t="s">
        <v>411</v>
      </c>
      <c r="E1218" s="546">
        <v>663.44000900000003</v>
      </c>
    </row>
    <row r="1219" spans="2:5" x14ac:dyDescent="0.25">
      <c r="B1219" s="545">
        <v>1411</v>
      </c>
      <c r="C1219" s="553" t="s">
        <v>1095</v>
      </c>
      <c r="D1219" s="669" t="s">
        <v>411</v>
      </c>
      <c r="E1219" s="546">
        <v>623.85000600000001</v>
      </c>
    </row>
    <row r="1220" spans="2:5" x14ac:dyDescent="0.25">
      <c r="B1220" s="545">
        <v>1412</v>
      </c>
      <c r="C1220" s="553" t="s">
        <v>2195</v>
      </c>
      <c r="D1220" s="669" t="s">
        <v>416</v>
      </c>
      <c r="E1220" s="546">
        <v>652.70001200000002</v>
      </c>
    </row>
    <row r="1221" spans="2:5" x14ac:dyDescent="0.25">
      <c r="B1221" s="545">
        <v>1413</v>
      </c>
      <c r="C1221" s="553" t="s">
        <v>1500</v>
      </c>
      <c r="D1221" s="669" t="s">
        <v>411</v>
      </c>
      <c r="E1221" s="546">
        <v>620.40002400000003</v>
      </c>
    </row>
    <row r="1222" spans="2:5" x14ac:dyDescent="0.25">
      <c r="B1222" s="545">
        <v>1414</v>
      </c>
      <c r="C1222" s="553" t="s">
        <v>1161</v>
      </c>
      <c r="D1222" s="669" t="s">
        <v>416</v>
      </c>
      <c r="E1222" s="546">
        <v>601.68748500000004</v>
      </c>
    </row>
    <row r="1223" spans="2:5" x14ac:dyDescent="0.25">
      <c r="B1223" s="545">
        <v>1415</v>
      </c>
      <c r="C1223" s="553" t="s">
        <v>4493</v>
      </c>
      <c r="D1223" s="669" t="s">
        <v>411</v>
      </c>
      <c r="E1223" s="546">
        <v>779.5</v>
      </c>
    </row>
    <row r="1224" spans="2:5" x14ac:dyDescent="0.25">
      <c r="B1224" s="545">
        <v>1416</v>
      </c>
      <c r="C1224" s="553" t="s">
        <v>1417</v>
      </c>
      <c r="D1224" s="669" t="s">
        <v>416</v>
      </c>
      <c r="E1224" s="546">
        <v>616.35000600000001</v>
      </c>
    </row>
    <row r="1225" spans="2:5" x14ac:dyDescent="0.25">
      <c r="B1225" s="545">
        <v>1417</v>
      </c>
      <c r="C1225" s="553" t="s">
        <v>3666</v>
      </c>
      <c r="D1225" s="669" t="s">
        <v>411</v>
      </c>
      <c r="E1225" s="546">
        <v>725.09999600000003</v>
      </c>
    </row>
    <row r="1226" spans="2:5" x14ac:dyDescent="0.25">
      <c r="B1226" s="545">
        <v>1418</v>
      </c>
      <c r="C1226" s="553" t="s">
        <v>3290</v>
      </c>
      <c r="D1226" s="669" t="s">
        <v>411</v>
      </c>
      <c r="E1226" s="546">
        <v>705.20001200000002</v>
      </c>
    </row>
    <row r="1227" spans="2:5" x14ac:dyDescent="0.25">
      <c r="B1227" s="545">
        <v>1419</v>
      </c>
      <c r="C1227" s="553" t="s">
        <v>7179</v>
      </c>
      <c r="D1227" s="669" t="s">
        <v>416</v>
      </c>
      <c r="E1227" s="546">
        <v>687.13332100000002</v>
      </c>
    </row>
    <row r="1228" spans="2:5" x14ac:dyDescent="0.25">
      <c r="B1228" s="545">
        <v>1420</v>
      </c>
      <c r="C1228" s="553" t="s">
        <v>7180</v>
      </c>
      <c r="D1228" s="669" t="s">
        <v>411</v>
      </c>
      <c r="E1228" s="546">
        <v>683.64000199999998</v>
      </c>
    </row>
    <row r="1229" spans="2:5" x14ac:dyDescent="0.25">
      <c r="B1229" s="545">
        <v>1421</v>
      </c>
      <c r="C1229" s="553" t="s">
        <v>7181</v>
      </c>
      <c r="D1229" s="669" t="s">
        <v>411</v>
      </c>
      <c r="E1229" s="546">
        <v>749.29999799999996</v>
      </c>
    </row>
    <row r="1230" spans="2:5" x14ac:dyDescent="0.25">
      <c r="B1230" s="545">
        <v>1422</v>
      </c>
      <c r="C1230" s="553" t="s">
        <v>2809</v>
      </c>
      <c r="D1230" s="669" t="s">
        <v>411</v>
      </c>
      <c r="E1230" s="546">
        <v>681.66666699999996</v>
      </c>
    </row>
    <row r="1231" spans="2:5" x14ac:dyDescent="0.25">
      <c r="B1231" s="545">
        <v>1423</v>
      </c>
      <c r="C1231" s="553" t="s">
        <v>926</v>
      </c>
      <c r="D1231" s="669" t="s">
        <v>416</v>
      </c>
      <c r="E1231" s="546">
        <v>582.56666099999995</v>
      </c>
    </row>
    <row r="1232" spans="2:5" x14ac:dyDescent="0.25">
      <c r="B1232" s="545">
        <v>1424</v>
      </c>
      <c r="C1232" s="553" t="s">
        <v>1823</v>
      </c>
      <c r="D1232" s="669" t="s">
        <v>411</v>
      </c>
      <c r="E1232" s="546">
        <v>636.80000299999995</v>
      </c>
    </row>
    <row r="1233" spans="2:5" x14ac:dyDescent="0.25">
      <c r="B1233" s="545">
        <v>1425</v>
      </c>
      <c r="C1233" s="553" t="s">
        <v>1653</v>
      </c>
      <c r="D1233" s="669" t="s">
        <v>416</v>
      </c>
      <c r="E1233" s="546">
        <v>629.32501200000002</v>
      </c>
    </row>
    <row r="1234" spans="2:5" x14ac:dyDescent="0.25">
      <c r="B1234" s="545">
        <v>1426</v>
      </c>
      <c r="C1234" s="553" t="s">
        <v>2180</v>
      </c>
      <c r="D1234" s="669" t="s">
        <v>411</v>
      </c>
      <c r="E1234" s="546">
        <v>652.16667700000005</v>
      </c>
    </row>
    <row r="1235" spans="2:5" x14ac:dyDescent="0.25">
      <c r="B1235" s="545">
        <v>1427</v>
      </c>
      <c r="C1235" s="553" t="s">
        <v>2100</v>
      </c>
      <c r="D1235" s="669" t="s">
        <v>416</v>
      </c>
      <c r="E1235" s="546">
        <v>648.09998800000005</v>
      </c>
    </row>
    <row r="1236" spans="2:5" x14ac:dyDescent="0.25">
      <c r="B1236" s="545">
        <v>1428</v>
      </c>
      <c r="C1236" s="553" t="s">
        <v>1981</v>
      </c>
      <c r="D1236" s="669" t="s">
        <v>411</v>
      </c>
      <c r="E1236" s="546">
        <v>785.94999700000005</v>
      </c>
    </row>
    <row r="1237" spans="2:5" x14ac:dyDescent="0.25">
      <c r="B1237" s="545">
        <v>1429</v>
      </c>
      <c r="C1237" s="553" t="s">
        <v>1080</v>
      </c>
      <c r="D1237" s="669" t="s">
        <v>411</v>
      </c>
      <c r="E1237" s="546">
        <v>626.02500899999995</v>
      </c>
    </row>
    <row r="1238" spans="2:5" x14ac:dyDescent="0.25">
      <c r="B1238" s="545">
        <v>1430</v>
      </c>
      <c r="C1238" s="553" t="s">
        <v>3015</v>
      </c>
      <c r="D1238" s="669" t="s">
        <v>411</v>
      </c>
      <c r="E1238" s="546">
        <v>691.5</v>
      </c>
    </row>
    <row r="1239" spans="2:5" x14ac:dyDescent="0.25">
      <c r="B1239" s="545">
        <v>1431</v>
      </c>
      <c r="C1239" s="553" t="s">
        <v>1455</v>
      </c>
      <c r="D1239" s="669" t="s">
        <v>411</v>
      </c>
      <c r="E1239" s="546">
        <v>617.93998999999997</v>
      </c>
    </row>
    <row r="1240" spans="2:5" x14ac:dyDescent="0.25">
      <c r="B1240" s="545">
        <v>1432</v>
      </c>
      <c r="C1240" s="553" t="s">
        <v>1933</v>
      </c>
      <c r="D1240" s="669" t="s">
        <v>411</v>
      </c>
      <c r="E1240" s="546">
        <v>641.30001800000002</v>
      </c>
    </row>
    <row r="1241" spans="2:5" x14ac:dyDescent="0.25">
      <c r="B1241" s="545">
        <v>1433</v>
      </c>
      <c r="C1241" s="553" t="s">
        <v>3916</v>
      </c>
      <c r="D1241" s="669" t="s">
        <v>411</v>
      </c>
      <c r="E1241" s="546">
        <v>739.92856300000005</v>
      </c>
    </row>
    <row r="1242" spans="2:5" x14ac:dyDescent="0.25">
      <c r="B1242" s="545">
        <v>1434</v>
      </c>
      <c r="C1242" s="553" t="s">
        <v>4986</v>
      </c>
      <c r="D1242" s="669" t="s">
        <v>411</v>
      </c>
      <c r="E1242" s="546">
        <v>821.05001800000002</v>
      </c>
    </row>
    <row r="1243" spans="2:5" x14ac:dyDescent="0.25">
      <c r="B1243" s="545">
        <v>1435</v>
      </c>
      <c r="C1243" s="553" t="s">
        <v>3160</v>
      </c>
      <c r="D1243" s="669" t="s">
        <v>411</v>
      </c>
      <c r="E1243" s="546">
        <v>699.43335000000002</v>
      </c>
    </row>
    <row r="1244" spans="2:5" x14ac:dyDescent="0.25">
      <c r="B1244" s="545">
        <v>1436</v>
      </c>
      <c r="C1244" s="553" t="s">
        <v>7250</v>
      </c>
      <c r="D1244" s="669" t="s">
        <v>411</v>
      </c>
      <c r="E1244" s="546">
        <v>670.73333700000001</v>
      </c>
    </row>
    <row r="1245" spans="2:5" x14ac:dyDescent="0.25">
      <c r="B1245" s="545">
        <v>1437</v>
      </c>
      <c r="C1245" s="553" t="s">
        <v>1515</v>
      </c>
      <c r="D1245" s="669" t="s">
        <v>416</v>
      </c>
      <c r="E1245" s="546">
        <v>621.45001200000002</v>
      </c>
    </row>
    <row r="1246" spans="2:5" x14ac:dyDescent="0.25">
      <c r="B1246" s="545">
        <v>1438</v>
      </c>
      <c r="C1246" s="553" t="s">
        <v>1641</v>
      </c>
      <c r="D1246" s="669" t="s">
        <v>411</v>
      </c>
      <c r="E1246" s="546">
        <v>628.59999600000003</v>
      </c>
    </row>
    <row r="1247" spans="2:5" x14ac:dyDescent="0.25">
      <c r="B1247" s="545">
        <v>1439</v>
      </c>
      <c r="C1247" s="553" t="s">
        <v>7275</v>
      </c>
      <c r="D1247" s="669" t="s">
        <v>416</v>
      </c>
      <c r="E1247" s="546">
        <v>737.759998</v>
      </c>
    </row>
    <row r="1248" spans="2:5" x14ac:dyDescent="0.25">
      <c r="B1248" s="545">
        <v>1440</v>
      </c>
      <c r="C1248" s="553" t="s">
        <v>7268</v>
      </c>
      <c r="D1248" s="669" t="s">
        <v>411</v>
      </c>
      <c r="E1248" s="546">
        <v>688.30000800000005</v>
      </c>
    </row>
    <row r="1249" spans="2:5" x14ac:dyDescent="0.25">
      <c r="B1249" s="545">
        <v>1441</v>
      </c>
      <c r="C1249" s="553" t="s">
        <v>3465</v>
      </c>
      <c r="D1249" s="669" t="s">
        <v>416</v>
      </c>
      <c r="E1249" s="546">
        <v>714.13999000000001</v>
      </c>
    </row>
    <row r="1250" spans="2:5" x14ac:dyDescent="0.25">
      <c r="B1250" s="545">
        <v>1442</v>
      </c>
      <c r="C1250" s="553" t="s">
        <v>3288</v>
      </c>
      <c r="D1250" s="669" t="s">
        <v>411</v>
      </c>
      <c r="E1250" s="546">
        <v>705.12498500000004</v>
      </c>
    </row>
    <row r="1251" spans="2:5" x14ac:dyDescent="0.25">
      <c r="B1251" s="545">
        <v>1443</v>
      </c>
      <c r="C1251" s="553" t="s">
        <v>1767</v>
      </c>
      <c r="D1251" s="669" t="s">
        <v>416</v>
      </c>
      <c r="E1251" s="546">
        <v>634.84286099999997</v>
      </c>
    </row>
    <row r="1252" spans="2:5" x14ac:dyDescent="0.25">
      <c r="B1252" s="545">
        <v>1444</v>
      </c>
      <c r="C1252" s="553" t="s">
        <v>2011</v>
      </c>
      <c r="D1252" s="669" t="s">
        <v>411</v>
      </c>
      <c r="E1252" s="546">
        <v>643.76668299999994</v>
      </c>
    </row>
    <row r="1253" spans="2:5" x14ac:dyDescent="0.25">
      <c r="B1253" s="545">
        <v>1445</v>
      </c>
      <c r="C1253" s="553" t="s">
        <v>3328</v>
      </c>
      <c r="D1253" s="669" t="s">
        <v>411</v>
      </c>
      <c r="E1253" s="546">
        <v>707.44998199999998</v>
      </c>
    </row>
    <row r="1254" spans="2:5" x14ac:dyDescent="0.25">
      <c r="B1254" s="545">
        <v>1446</v>
      </c>
      <c r="C1254" s="553" t="s">
        <v>2111</v>
      </c>
      <c r="D1254" s="669" t="s">
        <v>416</v>
      </c>
      <c r="E1254" s="546">
        <v>649.08000500000003</v>
      </c>
    </row>
    <row r="1255" spans="2:5" x14ac:dyDescent="0.25">
      <c r="B1255" s="545">
        <v>1447</v>
      </c>
      <c r="C1255" s="553" t="s">
        <v>3754</v>
      </c>
      <c r="D1255" s="669" t="s">
        <v>411</v>
      </c>
      <c r="E1255" s="546">
        <v>730</v>
      </c>
    </row>
    <row r="1256" spans="2:5" x14ac:dyDescent="0.25">
      <c r="B1256" s="545">
        <v>1448</v>
      </c>
      <c r="C1256" s="553" t="s">
        <v>2340</v>
      </c>
      <c r="D1256" s="669" t="s">
        <v>411</v>
      </c>
      <c r="E1256" s="546">
        <v>659.19999199999995</v>
      </c>
    </row>
    <row r="1257" spans="2:5" x14ac:dyDescent="0.25">
      <c r="B1257" s="545">
        <v>1449</v>
      </c>
      <c r="C1257" s="553" t="s">
        <v>2734</v>
      </c>
      <c r="D1257" s="669" t="s">
        <v>411</v>
      </c>
      <c r="E1257" s="546">
        <v>677.375</v>
      </c>
    </row>
    <row r="1258" spans="2:5" x14ac:dyDescent="0.25">
      <c r="B1258" s="545">
        <v>1450</v>
      </c>
      <c r="C1258" s="553" t="s">
        <v>3693</v>
      </c>
      <c r="D1258" s="669" t="s">
        <v>411</v>
      </c>
      <c r="E1258" s="546">
        <v>726.75454400000001</v>
      </c>
    </row>
    <row r="1259" spans="2:5" x14ac:dyDescent="0.25">
      <c r="B1259" s="545">
        <v>1451</v>
      </c>
      <c r="C1259" s="553" t="s">
        <v>3857</v>
      </c>
      <c r="D1259" s="669" t="s">
        <v>411</v>
      </c>
      <c r="E1259" s="546">
        <v>736.04998799999998</v>
      </c>
    </row>
    <row r="1260" spans="2:5" x14ac:dyDescent="0.25">
      <c r="B1260" s="545">
        <v>1452</v>
      </c>
      <c r="C1260" s="553" t="s">
        <v>7326</v>
      </c>
      <c r="D1260" s="669" t="s">
        <v>416</v>
      </c>
      <c r="E1260" s="546">
        <v>632.83998999999994</v>
      </c>
    </row>
    <row r="1261" spans="2:5" x14ac:dyDescent="0.25">
      <c r="B1261" s="545">
        <v>1453</v>
      </c>
      <c r="C1261" s="553" t="s">
        <v>1661</v>
      </c>
      <c r="D1261" s="669" t="s">
        <v>416</v>
      </c>
      <c r="E1261" s="546">
        <v>630.31426999999996</v>
      </c>
    </row>
    <row r="1262" spans="2:5" x14ac:dyDescent="0.25">
      <c r="B1262" s="545">
        <v>1454</v>
      </c>
      <c r="C1262" s="553" t="s">
        <v>826</v>
      </c>
      <c r="D1262" s="669" t="s">
        <v>416</v>
      </c>
      <c r="E1262" s="546">
        <v>572.14999399999999</v>
      </c>
    </row>
    <row r="1263" spans="2:5" x14ac:dyDescent="0.25">
      <c r="B1263" s="545">
        <v>1455</v>
      </c>
      <c r="C1263" s="553" t="s">
        <v>2256</v>
      </c>
      <c r="D1263" s="669" t="s">
        <v>411</v>
      </c>
      <c r="E1263" s="546">
        <v>655.536833</v>
      </c>
    </row>
    <row r="1264" spans="2:5" x14ac:dyDescent="0.25">
      <c r="B1264" s="545">
        <v>1456</v>
      </c>
      <c r="C1264" s="553" t="s">
        <v>7365</v>
      </c>
      <c r="D1264" s="669" t="s">
        <v>411</v>
      </c>
      <c r="E1264" s="546">
        <v>714.5</v>
      </c>
    </row>
    <row r="1265" spans="2:5" x14ac:dyDescent="0.25">
      <c r="B1265" s="545">
        <v>1457</v>
      </c>
      <c r="C1265" s="553" t="s">
        <v>2086</v>
      </c>
      <c r="D1265" s="669" t="s">
        <v>411</v>
      </c>
      <c r="E1265" s="546">
        <v>681.25</v>
      </c>
    </row>
    <row r="1266" spans="2:5" x14ac:dyDescent="0.25">
      <c r="B1266" s="545">
        <v>1458</v>
      </c>
      <c r="C1266" s="553" t="s">
        <v>760</v>
      </c>
      <c r="D1266" s="669" t="s">
        <v>411</v>
      </c>
      <c r="E1266" s="546">
        <v>560.57499700000005</v>
      </c>
    </row>
    <row r="1267" spans="2:5" x14ac:dyDescent="0.25">
      <c r="B1267" s="545">
        <v>1459</v>
      </c>
      <c r="C1267" s="553" t="s">
        <v>7381</v>
      </c>
      <c r="D1267" s="669" t="s">
        <v>411</v>
      </c>
      <c r="E1267" s="546">
        <v>659.77000699999996</v>
      </c>
    </row>
    <row r="1268" spans="2:5" x14ac:dyDescent="0.25">
      <c r="B1268" s="545">
        <v>1460</v>
      </c>
      <c r="C1268" s="553" t="s">
        <v>430</v>
      </c>
      <c r="D1268" s="669" t="s">
        <v>416</v>
      </c>
      <c r="E1268" s="546">
        <v>630.25</v>
      </c>
    </row>
    <row r="1269" spans="2:5" x14ac:dyDescent="0.25">
      <c r="B1269" s="545">
        <v>1461</v>
      </c>
      <c r="C1269" s="553" t="s">
        <v>1813</v>
      </c>
      <c r="D1269" s="669" t="s">
        <v>411</v>
      </c>
      <c r="E1269" s="546">
        <v>636.60000600000001</v>
      </c>
    </row>
    <row r="1270" spans="2:5" x14ac:dyDescent="0.25">
      <c r="B1270" s="545">
        <v>1462</v>
      </c>
      <c r="C1270" s="553" t="s">
        <v>1313</v>
      </c>
      <c r="D1270" s="669" t="s">
        <v>411</v>
      </c>
      <c r="E1270" s="546">
        <v>610.35000600000001</v>
      </c>
    </row>
    <row r="1271" spans="2:5" x14ac:dyDescent="0.25">
      <c r="B1271" s="545">
        <v>1463</v>
      </c>
      <c r="C1271" s="553" t="s">
        <v>3553</v>
      </c>
      <c r="D1271" s="669" t="s">
        <v>411</v>
      </c>
      <c r="E1271" s="546">
        <v>718.86665900000003</v>
      </c>
    </row>
    <row r="1272" spans="2:5" x14ac:dyDescent="0.25">
      <c r="B1272" s="545">
        <v>1464</v>
      </c>
      <c r="C1272" s="553" t="s">
        <v>4357</v>
      </c>
      <c r="D1272" s="669" t="s">
        <v>416</v>
      </c>
      <c r="E1272" s="546">
        <v>768.625</v>
      </c>
    </row>
    <row r="1273" spans="2:5" x14ac:dyDescent="0.25">
      <c r="B1273" s="545">
        <v>1465</v>
      </c>
      <c r="C1273" s="553" t="s">
        <v>4654</v>
      </c>
      <c r="D1273" s="669" t="s">
        <v>411</v>
      </c>
      <c r="E1273" s="546">
        <v>792.61664800000005</v>
      </c>
    </row>
    <row r="1274" spans="2:5" x14ac:dyDescent="0.25">
      <c r="B1274" s="545">
        <v>1466</v>
      </c>
      <c r="C1274" s="553" t="s">
        <v>7418</v>
      </c>
      <c r="D1274" s="669" t="s">
        <v>411</v>
      </c>
      <c r="E1274" s="546">
        <v>802</v>
      </c>
    </row>
    <row r="1275" spans="2:5" x14ac:dyDescent="0.25">
      <c r="B1275" s="545">
        <v>1467</v>
      </c>
      <c r="C1275" s="553" t="s">
        <v>2175</v>
      </c>
      <c r="D1275" s="669" t="s">
        <v>411</v>
      </c>
      <c r="E1275" s="546">
        <v>652</v>
      </c>
    </row>
    <row r="1276" spans="2:5" x14ac:dyDescent="0.25">
      <c r="B1276" s="545">
        <v>1468</v>
      </c>
      <c r="C1276" s="553" t="s">
        <v>3161</v>
      </c>
      <c r="D1276" s="669" t="s">
        <v>411</v>
      </c>
      <c r="E1276" s="546">
        <v>699.45001200000002</v>
      </c>
    </row>
    <row r="1277" spans="2:5" x14ac:dyDescent="0.25">
      <c r="B1277" s="545">
        <v>1469</v>
      </c>
      <c r="C1277" s="553" t="s">
        <v>1649</v>
      </c>
      <c r="D1277" s="669" t="s">
        <v>411</v>
      </c>
      <c r="E1277" s="546">
        <v>629.07499700000005</v>
      </c>
    </row>
    <row r="1278" spans="2:5" x14ac:dyDescent="0.25">
      <c r="B1278" s="545">
        <v>1470</v>
      </c>
      <c r="C1278" s="553" t="s">
        <v>3430</v>
      </c>
      <c r="D1278" s="669" t="s">
        <v>411</v>
      </c>
      <c r="E1278" s="546">
        <v>712.47999300000004</v>
      </c>
    </row>
    <row r="1279" spans="2:5" x14ac:dyDescent="0.25">
      <c r="B1279" s="545">
        <v>1471</v>
      </c>
      <c r="C1279" s="553" t="s">
        <v>1333</v>
      </c>
      <c r="D1279" s="669" t="s">
        <v>416</v>
      </c>
      <c r="E1279" s="546">
        <v>611.6875</v>
      </c>
    </row>
    <row r="1280" spans="2:5" x14ac:dyDescent="0.25">
      <c r="B1280" s="545">
        <v>1472</v>
      </c>
      <c r="C1280" s="553" t="s">
        <v>7439</v>
      </c>
      <c r="D1280" s="669" t="s">
        <v>416</v>
      </c>
      <c r="E1280" s="546">
        <v>575.69999700000005</v>
      </c>
    </row>
    <row r="1281" spans="2:5" x14ac:dyDescent="0.25">
      <c r="B1281" s="545">
        <v>1473</v>
      </c>
      <c r="C1281" s="553" t="s">
        <v>7457</v>
      </c>
      <c r="D1281" s="669" t="s">
        <v>411</v>
      </c>
      <c r="E1281" s="546">
        <v>757.79998799999998</v>
      </c>
    </row>
    <row r="1282" spans="2:5" x14ac:dyDescent="0.25">
      <c r="B1282" s="545">
        <v>1474</v>
      </c>
      <c r="C1282" s="553" t="s">
        <v>770</v>
      </c>
      <c r="D1282" s="669" t="s">
        <v>411</v>
      </c>
      <c r="E1282" s="546">
        <v>562.26363300000003</v>
      </c>
    </row>
    <row r="1283" spans="2:5" x14ac:dyDescent="0.25">
      <c r="B1283" s="545">
        <v>1475</v>
      </c>
      <c r="C1283" s="553" t="s">
        <v>2958</v>
      </c>
      <c r="D1283" s="669" t="s">
        <v>411</v>
      </c>
      <c r="E1283" s="546">
        <v>688.30000800000005</v>
      </c>
    </row>
    <row r="1284" spans="2:5" x14ac:dyDescent="0.25">
      <c r="B1284" s="545">
        <v>1476</v>
      </c>
      <c r="C1284" s="553" t="s">
        <v>3855</v>
      </c>
      <c r="D1284" s="669" t="s">
        <v>416</v>
      </c>
      <c r="E1284" s="546">
        <v>735.96923400000003</v>
      </c>
    </row>
    <row r="1285" spans="2:5" x14ac:dyDescent="0.25">
      <c r="B1285" s="545">
        <v>1477</v>
      </c>
      <c r="C1285" s="553" t="s">
        <v>7465</v>
      </c>
      <c r="D1285" s="669" t="s">
        <v>416</v>
      </c>
      <c r="E1285" s="546">
        <v>624.46667500000001</v>
      </c>
    </row>
    <row r="1286" spans="2:5" x14ac:dyDescent="0.25">
      <c r="B1286" s="545">
        <v>1478</v>
      </c>
      <c r="C1286" s="553" t="s">
        <v>3089</v>
      </c>
      <c r="D1286" s="669" t="s">
        <v>411</v>
      </c>
      <c r="E1286" s="546">
        <v>695.5</v>
      </c>
    </row>
    <row r="1287" spans="2:5" x14ac:dyDescent="0.25">
      <c r="B1287" s="545">
        <v>1479</v>
      </c>
      <c r="C1287" s="553" t="s">
        <v>6529</v>
      </c>
      <c r="D1287" s="669" t="s">
        <v>411</v>
      </c>
      <c r="E1287" s="546">
        <v>625.72941000000003</v>
      </c>
    </row>
    <row r="1288" spans="2:5" x14ac:dyDescent="0.25">
      <c r="B1288" s="545">
        <v>1480</v>
      </c>
      <c r="C1288" s="553" t="s">
        <v>1425</v>
      </c>
      <c r="D1288" s="669" t="s">
        <v>416</v>
      </c>
      <c r="E1288" s="546">
        <v>616.63332100000002</v>
      </c>
    </row>
    <row r="1289" spans="2:5" x14ac:dyDescent="0.25">
      <c r="B1289" s="545">
        <v>1481</v>
      </c>
      <c r="C1289" s="553" t="s">
        <v>2687</v>
      </c>
      <c r="D1289" s="669" t="s">
        <v>411</v>
      </c>
      <c r="E1289" s="546">
        <v>675.42857100000003</v>
      </c>
    </row>
    <row r="1290" spans="2:5" x14ac:dyDescent="0.25">
      <c r="B1290" s="545">
        <v>1482</v>
      </c>
      <c r="C1290" s="553" t="s">
        <v>3694</v>
      </c>
      <c r="D1290" s="669" t="s">
        <v>411</v>
      </c>
      <c r="E1290" s="546">
        <v>726.79998799999998</v>
      </c>
    </row>
    <row r="1291" spans="2:5" x14ac:dyDescent="0.25">
      <c r="B1291" s="545">
        <v>1483</v>
      </c>
      <c r="C1291" s="553" t="s">
        <v>7477</v>
      </c>
      <c r="D1291" s="669" t="s">
        <v>411</v>
      </c>
      <c r="E1291" s="546">
        <v>673.29998799999998</v>
      </c>
    </row>
    <row r="1292" spans="2:5" x14ac:dyDescent="0.25">
      <c r="B1292" s="545">
        <v>1484</v>
      </c>
      <c r="C1292" s="553" t="s">
        <v>2673</v>
      </c>
      <c r="D1292" s="669" t="s">
        <v>411</v>
      </c>
      <c r="E1292" s="546">
        <v>674.70001200000002</v>
      </c>
    </row>
    <row r="1293" spans="2:5" x14ac:dyDescent="0.25">
      <c r="B1293" s="545">
        <v>1485</v>
      </c>
      <c r="C1293" s="553" t="s">
        <v>3136</v>
      </c>
      <c r="D1293" s="669" t="s">
        <v>411</v>
      </c>
      <c r="E1293" s="546">
        <v>698.15002400000003</v>
      </c>
    </row>
    <row r="1294" spans="2:5" x14ac:dyDescent="0.25">
      <c r="B1294" s="545">
        <v>1486</v>
      </c>
      <c r="C1294" s="553" t="s">
        <v>769</v>
      </c>
      <c r="D1294" s="669" t="s">
        <v>416</v>
      </c>
      <c r="E1294" s="546">
        <v>562.03333499999997</v>
      </c>
    </row>
    <row r="1295" spans="2:5" x14ac:dyDescent="0.25">
      <c r="B1295" s="545">
        <v>1487</v>
      </c>
      <c r="C1295" s="553" t="s">
        <v>809</v>
      </c>
      <c r="D1295" s="669" t="s">
        <v>416</v>
      </c>
      <c r="E1295" s="546">
        <v>568.71250899999995</v>
      </c>
    </row>
    <row r="1296" spans="2:5" x14ac:dyDescent="0.25">
      <c r="B1296" s="545">
        <v>1488</v>
      </c>
      <c r="C1296" s="553" t="s">
        <v>1869</v>
      </c>
      <c r="D1296" s="669" t="s">
        <v>416</v>
      </c>
      <c r="E1296" s="546">
        <v>643.62499200000002</v>
      </c>
    </row>
    <row r="1297" spans="2:5" x14ac:dyDescent="0.25">
      <c r="B1297" s="545">
        <v>1489</v>
      </c>
      <c r="C1297" s="553" t="s">
        <v>7490</v>
      </c>
      <c r="D1297" s="669" t="s">
        <v>411</v>
      </c>
      <c r="E1297" s="546">
        <v>661.97500600000001</v>
      </c>
    </row>
    <row r="1298" spans="2:5" x14ac:dyDescent="0.25">
      <c r="B1298" s="545">
        <v>1490</v>
      </c>
      <c r="C1298" s="553" t="s">
        <v>3082</v>
      </c>
      <c r="D1298" s="669" t="s">
        <v>416</v>
      </c>
      <c r="E1298" s="546">
        <v>695.20000500000003</v>
      </c>
    </row>
    <row r="1299" spans="2:5" x14ac:dyDescent="0.25">
      <c r="B1299" s="545">
        <v>1491</v>
      </c>
      <c r="C1299" s="553" t="s">
        <v>7504</v>
      </c>
      <c r="D1299" s="669" t="s">
        <v>411</v>
      </c>
      <c r="E1299" s="546">
        <v>654.15000899999995</v>
      </c>
    </row>
    <row r="1300" spans="2:5" x14ac:dyDescent="0.25">
      <c r="B1300" s="545">
        <v>1492</v>
      </c>
      <c r="C1300" s="553" t="s">
        <v>1016</v>
      </c>
      <c r="D1300" s="669" t="s">
        <v>411</v>
      </c>
      <c r="E1300" s="546">
        <v>633.25</v>
      </c>
    </row>
    <row r="1301" spans="2:5" x14ac:dyDescent="0.25">
      <c r="B1301" s="545">
        <v>1494</v>
      </c>
      <c r="C1301" s="553" t="s">
        <v>1337</v>
      </c>
      <c r="D1301" s="669" t="s">
        <v>411</v>
      </c>
      <c r="E1301" s="546">
        <v>743.08000500000003</v>
      </c>
    </row>
    <row r="1302" spans="2:5" x14ac:dyDescent="0.25">
      <c r="B1302" s="545">
        <v>1495</v>
      </c>
      <c r="C1302" s="553" t="s">
        <v>3704</v>
      </c>
      <c r="D1302" s="669" t="s">
        <v>411</v>
      </c>
      <c r="E1302" s="546">
        <v>727.38000499999998</v>
      </c>
    </row>
    <row r="1303" spans="2:5" x14ac:dyDescent="0.25">
      <c r="B1303" s="545">
        <v>1496</v>
      </c>
      <c r="C1303" s="553" t="s">
        <v>2198</v>
      </c>
      <c r="D1303" s="669" t="s">
        <v>416</v>
      </c>
      <c r="E1303" s="546">
        <v>652.73333700000001</v>
      </c>
    </row>
    <row r="1304" spans="2:5" x14ac:dyDescent="0.25">
      <c r="B1304" s="545">
        <v>1497</v>
      </c>
      <c r="C1304" s="553" t="s">
        <v>4614</v>
      </c>
      <c r="D1304" s="669" t="s">
        <v>411</v>
      </c>
      <c r="E1304" s="546">
        <v>788.97500600000001</v>
      </c>
    </row>
    <row r="1305" spans="2:5" x14ac:dyDescent="0.25">
      <c r="B1305" s="545">
        <v>1498</v>
      </c>
      <c r="C1305" s="553" t="s">
        <v>1386</v>
      </c>
      <c r="D1305" s="669" t="s">
        <v>416</v>
      </c>
      <c r="E1305" s="546">
        <v>614.35999800000002</v>
      </c>
    </row>
    <row r="1306" spans="2:5" x14ac:dyDescent="0.25">
      <c r="B1306" s="545">
        <v>1499</v>
      </c>
      <c r="C1306" s="553" t="s">
        <v>7534</v>
      </c>
      <c r="D1306" s="669" t="s">
        <v>411</v>
      </c>
      <c r="E1306" s="546">
        <v>645.32499700000005</v>
      </c>
    </row>
    <row r="1307" spans="2:5" x14ac:dyDescent="0.25">
      <c r="B1307" s="545">
        <v>1500</v>
      </c>
      <c r="C1307" s="553" t="s">
        <v>3188</v>
      </c>
      <c r="D1307" s="669" t="s">
        <v>416</v>
      </c>
      <c r="E1307" s="546">
        <v>700.36922000000004</v>
      </c>
    </row>
    <row r="1308" spans="2:5" x14ac:dyDescent="0.25">
      <c r="B1308" s="545">
        <v>1501</v>
      </c>
      <c r="C1308" s="553" t="s">
        <v>1122</v>
      </c>
      <c r="D1308" s="669" t="s">
        <v>416</v>
      </c>
      <c r="E1308" s="546">
        <v>599.09999100000005</v>
      </c>
    </row>
    <row r="1309" spans="2:5" x14ac:dyDescent="0.25">
      <c r="B1309" s="545">
        <v>1502</v>
      </c>
      <c r="C1309" s="553" t="s">
        <v>1157</v>
      </c>
      <c r="D1309" s="669" t="s">
        <v>416</v>
      </c>
      <c r="E1309" s="546">
        <v>601.40002400000003</v>
      </c>
    </row>
    <row r="1310" spans="2:5" x14ac:dyDescent="0.25">
      <c r="B1310" s="545">
        <v>1503</v>
      </c>
      <c r="C1310" s="553" t="s">
        <v>1465</v>
      </c>
      <c r="D1310" s="669" t="s">
        <v>411</v>
      </c>
      <c r="E1310" s="546">
        <v>618.39998400000002</v>
      </c>
    </row>
    <row r="1311" spans="2:5" x14ac:dyDescent="0.25">
      <c r="B1311" s="545">
        <v>1504</v>
      </c>
      <c r="C1311" s="553" t="s">
        <v>1768</v>
      </c>
      <c r="D1311" s="669" t="s">
        <v>416</v>
      </c>
      <c r="E1311" s="546">
        <v>634.86667899999998</v>
      </c>
    </row>
    <row r="1312" spans="2:5" x14ac:dyDescent="0.25">
      <c r="B1312" s="545">
        <v>1505</v>
      </c>
      <c r="C1312" s="553" t="s">
        <v>1957</v>
      </c>
      <c r="D1312" s="669" t="s">
        <v>411</v>
      </c>
      <c r="E1312" s="546">
        <v>642.03332499999999</v>
      </c>
    </row>
    <row r="1313" spans="2:5" x14ac:dyDescent="0.25">
      <c r="B1313" s="545">
        <v>1506</v>
      </c>
      <c r="C1313" s="553" t="s">
        <v>951</v>
      </c>
      <c r="D1313" s="669" t="s">
        <v>416</v>
      </c>
      <c r="E1313" s="546">
        <v>584.28332499999999</v>
      </c>
    </row>
    <row r="1314" spans="2:5" x14ac:dyDescent="0.25">
      <c r="B1314" s="545">
        <v>1507</v>
      </c>
      <c r="C1314" s="553" t="s">
        <v>1591</v>
      </c>
      <c r="D1314" s="669" t="s">
        <v>411</v>
      </c>
      <c r="E1314" s="546">
        <v>625.97499100000005</v>
      </c>
    </row>
    <row r="1315" spans="2:5" x14ac:dyDescent="0.25">
      <c r="B1315" s="545">
        <v>1508</v>
      </c>
      <c r="C1315" s="553" t="s">
        <v>3440</v>
      </c>
      <c r="D1315" s="669" t="s">
        <v>411</v>
      </c>
      <c r="E1315" s="546">
        <v>712.89999399999999</v>
      </c>
    </row>
    <row r="1316" spans="2:5" x14ac:dyDescent="0.25">
      <c r="B1316" s="545">
        <v>1509</v>
      </c>
      <c r="C1316" s="553" t="s">
        <v>2341</v>
      </c>
      <c r="D1316" s="669" t="s">
        <v>411</v>
      </c>
      <c r="E1316" s="546">
        <v>659.20001200000002</v>
      </c>
    </row>
    <row r="1317" spans="2:5" x14ac:dyDescent="0.25">
      <c r="B1317" s="545">
        <v>1510</v>
      </c>
      <c r="C1317" s="553" t="s">
        <v>822</v>
      </c>
      <c r="D1317" s="669" t="s">
        <v>416</v>
      </c>
      <c r="E1317" s="546">
        <v>571.27499399999999</v>
      </c>
    </row>
    <row r="1318" spans="2:5" x14ac:dyDescent="0.25">
      <c r="B1318" s="545">
        <v>1511</v>
      </c>
      <c r="C1318" s="553" t="s">
        <v>2120</v>
      </c>
      <c r="D1318" s="669" t="s">
        <v>411</v>
      </c>
      <c r="E1318" s="546">
        <v>649.5</v>
      </c>
    </row>
    <row r="1319" spans="2:5" x14ac:dyDescent="0.25">
      <c r="B1319" s="545">
        <v>1512</v>
      </c>
      <c r="C1319" s="553" t="s">
        <v>4017</v>
      </c>
      <c r="D1319" s="669" t="s">
        <v>411</v>
      </c>
      <c r="E1319" s="546">
        <v>746.04998799999998</v>
      </c>
    </row>
    <row r="1320" spans="2:5" x14ac:dyDescent="0.25">
      <c r="B1320" s="545">
        <v>1513</v>
      </c>
      <c r="C1320" s="553" t="s">
        <v>2174</v>
      </c>
      <c r="D1320" s="669" t="s">
        <v>411</v>
      </c>
      <c r="E1320" s="546">
        <v>651.90000899999995</v>
      </c>
    </row>
    <row r="1321" spans="2:5" x14ac:dyDescent="0.25">
      <c r="B1321" s="545">
        <v>1514</v>
      </c>
      <c r="C1321" s="553" t="s">
        <v>3933</v>
      </c>
      <c r="D1321" s="669" t="s">
        <v>411</v>
      </c>
      <c r="E1321" s="546">
        <v>740.70001200000002</v>
      </c>
    </row>
    <row r="1322" spans="2:5" x14ac:dyDescent="0.25">
      <c r="B1322" s="545">
        <v>1515</v>
      </c>
      <c r="C1322" s="553" t="s">
        <v>3555</v>
      </c>
      <c r="D1322" s="669" t="s">
        <v>411</v>
      </c>
      <c r="E1322" s="546">
        <v>718.90000399999997</v>
      </c>
    </row>
    <row r="1323" spans="2:5" x14ac:dyDescent="0.25">
      <c r="B1323" s="545">
        <v>1516</v>
      </c>
      <c r="C1323" s="553" t="s">
        <v>2390</v>
      </c>
      <c r="D1323" s="669" t="s">
        <v>411</v>
      </c>
      <c r="E1323" s="546">
        <v>661.57499700000005</v>
      </c>
    </row>
    <row r="1324" spans="2:5" x14ac:dyDescent="0.25">
      <c r="B1324" s="545">
        <v>1517</v>
      </c>
      <c r="C1324" s="553" t="s">
        <v>4702</v>
      </c>
      <c r="D1324" s="669" t="s">
        <v>411</v>
      </c>
      <c r="E1324" s="546">
        <v>796</v>
      </c>
    </row>
    <row r="1325" spans="2:5" x14ac:dyDescent="0.25">
      <c r="B1325" s="545">
        <v>1518</v>
      </c>
      <c r="C1325" s="553" t="s">
        <v>1002</v>
      </c>
      <c r="D1325" s="669" t="s">
        <v>416</v>
      </c>
      <c r="E1325" s="546">
        <v>589.30001800000002</v>
      </c>
    </row>
    <row r="1326" spans="2:5" x14ac:dyDescent="0.25">
      <c r="B1326" s="545">
        <v>1519</v>
      </c>
      <c r="C1326" s="553" t="s">
        <v>3336</v>
      </c>
      <c r="D1326" s="669" t="s">
        <v>411</v>
      </c>
      <c r="E1326" s="546">
        <v>707.64999399999999</v>
      </c>
    </row>
    <row r="1327" spans="2:5" x14ac:dyDescent="0.25">
      <c r="B1327" s="545">
        <v>1520</v>
      </c>
      <c r="C1327" s="553" t="s">
        <v>2660</v>
      </c>
      <c r="D1327" s="669" t="s">
        <v>411</v>
      </c>
      <c r="E1327" s="546">
        <v>674.30667300000005</v>
      </c>
    </row>
    <row r="1328" spans="2:5" x14ac:dyDescent="0.25">
      <c r="B1328" s="545">
        <v>1521</v>
      </c>
      <c r="C1328" s="553" t="s">
        <v>7586</v>
      </c>
      <c r="D1328" s="669" t="s">
        <v>411</v>
      </c>
      <c r="E1328" s="546">
        <v>656.5</v>
      </c>
    </row>
    <row r="1329" spans="2:5" x14ac:dyDescent="0.25">
      <c r="B1329" s="545">
        <v>1522</v>
      </c>
      <c r="C1329" s="553" t="s">
        <v>7587</v>
      </c>
      <c r="D1329" s="669" t="s">
        <v>411</v>
      </c>
      <c r="E1329" s="546">
        <v>771</v>
      </c>
    </row>
    <row r="1330" spans="2:5" x14ac:dyDescent="0.25">
      <c r="B1330" s="545">
        <v>1523</v>
      </c>
      <c r="C1330" s="553" t="s">
        <v>3980</v>
      </c>
      <c r="D1330" s="669" t="s">
        <v>411</v>
      </c>
      <c r="E1330" s="546">
        <v>743.94999700000005</v>
      </c>
    </row>
    <row r="1331" spans="2:5" x14ac:dyDescent="0.25">
      <c r="B1331" s="545">
        <v>1524</v>
      </c>
      <c r="C1331" s="553" t="s">
        <v>1039</v>
      </c>
      <c r="D1331" s="669" t="s">
        <v>411</v>
      </c>
      <c r="E1331" s="546">
        <v>592.45001200000002</v>
      </c>
    </row>
    <row r="1332" spans="2:5" x14ac:dyDescent="0.25">
      <c r="B1332" s="545">
        <v>1525</v>
      </c>
      <c r="C1332" s="553" t="s">
        <v>1111</v>
      </c>
      <c r="D1332" s="669" t="s">
        <v>416</v>
      </c>
      <c r="E1332" s="546">
        <v>598.49998000000005</v>
      </c>
    </row>
    <row r="1333" spans="2:5" x14ac:dyDescent="0.25">
      <c r="B1333" s="545">
        <v>1526</v>
      </c>
      <c r="C1333" s="553" t="s">
        <v>1995</v>
      </c>
      <c r="D1333" s="669" t="s">
        <v>411</v>
      </c>
      <c r="E1333" s="546">
        <v>643.18001700000002</v>
      </c>
    </row>
    <row r="1334" spans="2:5" x14ac:dyDescent="0.25">
      <c r="B1334" s="545">
        <v>1527</v>
      </c>
      <c r="C1334" s="553" t="s">
        <v>3986</v>
      </c>
      <c r="D1334" s="669" t="s">
        <v>411</v>
      </c>
      <c r="E1334" s="546">
        <v>744.20001200000002</v>
      </c>
    </row>
    <row r="1335" spans="2:5" x14ac:dyDescent="0.25">
      <c r="B1335" s="545">
        <v>1528</v>
      </c>
      <c r="C1335" s="553" t="s">
        <v>2890</v>
      </c>
      <c r="D1335" s="669" t="s">
        <v>411</v>
      </c>
      <c r="E1335" s="546">
        <v>685.52499399999999</v>
      </c>
    </row>
    <row r="1336" spans="2:5" x14ac:dyDescent="0.25">
      <c r="B1336" s="545">
        <v>1529</v>
      </c>
      <c r="C1336" s="553" t="s">
        <v>7608</v>
      </c>
      <c r="D1336" s="669" t="s">
        <v>411</v>
      </c>
      <c r="E1336" s="546">
        <v>725.35000600000001</v>
      </c>
    </row>
    <row r="1337" spans="2:5" x14ac:dyDescent="0.25">
      <c r="B1337" s="545">
        <v>1530</v>
      </c>
      <c r="C1337" s="553" t="s">
        <v>2318</v>
      </c>
      <c r="D1337" s="669" t="s">
        <v>411</v>
      </c>
      <c r="E1337" s="546">
        <v>658.19999199999995</v>
      </c>
    </row>
    <row r="1338" spans="2:5" x14ac:dyDescent="0.25">
      <c r="B1338" s="545">
        <v>1531</v>
      </c>
      <c r="C1338" s="553" t="s">
        <v>1879</v>
      </c>
      <c r="D1338" s="669" t="s">
        <v>416</v>
      </c>
      <c r="E1338" s="546">
        <v>639.18750799999998</v>
      </c>
    </row>
    <row r="1339" spans="2:5" x14ac:dyDescent="0.25">
      <c r="B1339" s="545">
        <v>1532</v>
      </c>
      <c r="C1339" s="553" t="s">
        <v>2211</v>
      </c>
      <c r="D1339" s="669" t="s">
        <v>416</v>
      </c>
      <c r="E1339" s="546">
        <v>653.39999399999999</v>
      </c>
    </row>
    <row r="1340" spans="2:5" x14ac:dyDescent="0.25">
      <c r="B1340" s="545">
        <v>1533</v>
      </c>
      <c r="C1340" s="553" t="s">
        <v>7623</v>
      </c>
      <c r="D1340" s="669" t="s">
        <v>411</v>
      </c>
      <c r="E1340" s="546">
        <v>725.43330900000001</v>
      </c>
    </row>
    <row r="1341" spans="2:5" x14ac:dyDescent="0.25">
      <c r="B1341" s="545">
        <v>1534</v>
      </c>
      <c r="C1341" s="553" t="s">
        <v>3816</v>
      </c>
      <c r="D1341" s="669" t="s">
        <v>411</v>
      </c>
      <c r="E1341" s="546">
        <v>733.79998799999998</v>
      </c>
    </row>
    <row r="1342" spans="2:5" x14ac:dyDescent="0.25">
      <c r="B1342" s="545">
        <v>1535</v>
      </c>
      <c r="C1342" s="553" t="s">
        <v>2530</v>
      </c>
      <c r="D1342" s="669" t="s">
        <v>411</v>
      </c>
      <c r="E1342" s="546">
        <v>667.79998799999998</v>
      </c>
    </row>
    <row r="1343" spans="2:5" x14ac:dyDescent="0.25">
      <c r="B1343" s="545">
        <v>1536</v>
      </c>
      <c r="C1343" s="553" t="s">
        <v>1318</v>
      </c>
      <c r="D1343" s="669" t="s">
        <v>416</v>
      </c>
      <c r="E1343" s="546">
        <v>610.64999399999999</v>
      </c>
    </row>
    <row r="1344" spans="2:5" x14ac:dyDescent="0.25">
      <c r="B1344" s="545">
        <v>1537</v>
      </c>
      <c r="C1344" s="553" t="s">
        <v>2016</v>
      </c>
      <c r="D1344" s="669" t="s">
        <v>411</v>
      </c>
      <c r="E1344" s="546">
        <v>643.90002400000003</v>
      </c>
    </row>
    <row r="1345" spans="2:5" x14ac:dyDescent="0.25">
      <c r="B1345" s="545">
        <v>1551</v>
      </c>
      <c r="C1345" s="553" t="s">
        <v>4115</v>
      </c>
      <c r="D1345" s="669" t="s">
        <v>414</v>
      </c>
      <c r="E1345" s="546">
        <v>751.78333499999997</v>
      </c>
    </row>
    <row r="1346" spans="2:5" x14ac:dyDescent="0.25">
      <c r="B1346" s="545">
        <v>1552</v>
      </c>
      <c r="C1346" s="553" t="s">
        <v>4598</v>
      </c>
      <c r="D1346" s="669" t="s">
        <v>414</v>
      </c>
      <c r="E1346" s="546">
        <v>787.81664999999998</v>
      </c>
    </row>
    <row r="1347" spans="2:5" x14ac:dyDescent="0.25">
      <c r="B1347" s="545">
        <v>1553</v>
      </c>
      <c r="C1347" s="553" t="s">
        <v>824</v>
      </c>
      <c r="D1347" s="669" t="s">
        <v>414</v>
      </c>
      <c r="E1347" s="546">
        <v>824.93570799999998</v>
      </c>
    </row>
    <row r="1348" spans="2:5" x14ac:dyDescent="0.25">
      <c r="B1348" s="545">
        <v>1554</v>
      </c>
      <c r="C1348" s="553" t="s">
        <v>5169</v>
      </c>
      <c r="D1348" s="669" t="s">
        <v>414</v>
      </c>
      <c r="E1348" s="546">
        <v>840.53333499999997</v>
      </c>
    </row>
    <row r="1349" spans="2:5" x14ac:dyDescent="0.25">
      <c r="B1349" s="545">
        <v>1555</v>
      </c>
      <c r="C1349" s="553" t="s">
        <v>886</v>
      </c>
      <c r="D1349" s="669" t="s">
        <v>414</v>
      </c>
      <c r="E1349" s="546">
        <v>798.67500299999995</v>
      </c>
    </row>
    <row r="1350" spans="2:5" x14ac:dyDescent="0.25">
      <c r="B1350" s="545">
        <v>1556</v>
      </c>
      <c r="C1350" s="553" t="s">
        <v>5593</v>
      </c>
      <c r="D1350" s="669" t="s">
        <v>414</v>
      </c>
      <c r="E1350" s="546">
        <v>910.39999799999998</v>
      </c>
    </row>
    <row r="1351" spans="2:5" x14ac:dyDescent="0.25">
      <c r="B1351" s="545">
        <v>1557</v>
      </c>
      <c r="C1351" s="553" t="s">
        <v>5730</v>
      </c>
      <c r="D1351" s="669" t="s">
        <v>414</v>
      </c>
      <c r="E1351" s="546">
        <v>947.95000100000004</v>
      </c>
    </row>
    <row r="1352" spans="2:5" x14ac:dyDescent="0.25">
      <c r="B1352" s="545">
        <v>1558</v>
      </c>
      <c r="C1352" s="553" t="s">
        <v>5651</v>
      </c>
      <c r="D1352" s="669" t="s">
        <v>414</v>
      </c>
      <c r="E1352" s="546">
        <v>925.32000700000003</v>
      </c>
    </row>
    <row r="1353" spans="2:5" x14ac:dyDescent="0.25">
      <c r="B1353" s="545">
        <v>1559</v>
      </c>
      <c r="C1353" s="553" t="s">
        <v>5783</v>
      </c>
      <c r="D1353" s="669" t="s">
        <v>414</v>
      </c>
      <c r="E1353" s="546">
        <v>961.64445000000001</v>
      </c>
    </row>
    <row r="1354" spans="2:5" x14ac:dyDescent="0.25">
      <c r="B1354" s="545">
        <v>1560</v>
      </c>
      <c r="C1354" s="553" t="s">
        <v>5659</v>
      </c>
      <c r="D1354" s="669" t="s">
        <v>414</v>
      </c>
      <c r="E1354" s="546">
        <v>927.16250600000001</v>
      </c>
    </row>
    <row r="1355" spans="2:5" x14ac:dyDescent="0.25">
      <c r="B1355" s="545">
        <v>1561</v>
      </c>
      <c r="C1355" s="553" t="s">
        <v>3205</v>
      </c>
      <c r="D1355" s="669" t="s">
        <v>414</v>
      </c>
      <c r="E1355" s="546">
        <v>932.54999499999997</v>
      </c>
    </row>
    <row r="1356" spans="2:5" x14ac:dyDescent="0.25">
      <c r="B1356" s="545">
        <v>1562</v>
      </c>
      <c r="C1356" s="553" t="s">
        <v>5608</v>
      </c>
      <c r="D1356" s="669" t="s">
        <v>414</v>
      </c>
      <c r="E1356" s="546">
        <v>914.08890099999996</v>
      </c>
    </row>
    <row r="1357" spans="2:5" x14ac:dyDescent="0.25">
      <c r="B1357" s="545">
        <v>1563</v>
      </c>
      <c r="C1357" s="553" t="s">
        <v>3093</v>
      </c>
      <c r="D1357" s="669" t="s">
        <v>414</v>
      </c>
      <c r="E1357" s="546">
        <v>914.53333499999997</v>
      </c>
    </row>
    <row r="1358" spans="2:5" x14ac:dyDescent="0.25">
      <c r="B1358" s="545">
        <v>1564</v>
      </c>
      <c r="C1358" s="553" t="s">
        <v>692</v>
      </c>
      <c r="D1358" s="669" t="s">
        <v>414</v>
      </c>
      <c r="E1358" s="546">
        <v>917.31427900000006</v>
      </c>
    </row>
    <row r="1359" spans="2:5" x14ac:dyDescent="0.25">
      <c r="B1359" s="545">
        <v>1565</v>
      </c>
      <c r="C1359" s="553" t="s">
        <v>6977</v>
      </c>
      <c r="D1359" s="669" t="s">
        <v>414</v>
      </c>
      <c r="E1359" s="546">
        <v>915.366669</v>
      </c>
    </row>
    <row r="1360" spans="2:5" x14ac:dyDescent="0.25">
      <c r="B1360" s="545">
        <v>1566</v>
      </c>
      <c r="C1360" s="553" t="s">
        <v>2240</v>
      </c>
      <c r="D1360" s="669" t="s">
        <v>414</v>
      </c>
      <c r="E1360" s="546">
        <v>917.41111899999999</v>
      </c>
    </row>
    <row r="1361" spans="2:5" x14ac:dyDescent="0.25">
      <c r="B1361" s="545">
        <v>1567</v>
      </c>
      <c r="C1361" s="553" t="s">
        <v>5489</v>
      </c>
      <c r="D1361" s="669" t="s">
        <v>414</v>
      </c>
      <c r="E1361" s="546">
        <v>894.01874199999997</v>
      </c>
    </row>
    <row r="1362" spans="2:5" x14ac:dyDescent="0.25">
      <c r="B1362" s="545">
        <v>1568</v>
      </c>
      <c r="C1362" s="553" t="s">
        <v>7343</v>
      </c>
      <c r="D1362" s="669" t="s">
        <v>414</v>
      </c>
      <c r="E1362" s="546">
        <v>890.92500299999995</v>
      </c>
    </row>
    <row r="1363" spans="2:5" x14ac:dyDescent="0.25">
      <c r="B1363" s="545">
        <v>1569</v>
      </c>
      <c r="C1363" s="553" t="s">
        <v>5581</v>
      </c>
      <c r="D1363" s="669" t="s">
        <v>414</v>
      </c>
      <c r="E1363" s="546">
        <v>908.10000300000002</v>
      </c>
    </row>
    <row r="1364" spans="2:5" x14ac:dyDescent="0.25">
      <c r="B1364" s="545">
        <v>1570</v>
      </c>
      <c r="C1364" s="553" t="s">
        <v>5603</v>
      </c>
      <c r="D1364" s="669" t="s">
        <v>414</v>
      </c>
      <c r="E1364" s="546">
        <v>912.427775</v>
      </c>
    </row>
    <row r="1365" spans="2:5" x14ac:dyDescent="0.25">
      <c r="B1365" s="545">
        <v>1571</v>
      </c>
      <c r="C1365" s="553" t="s">
        <v>6751</v>
      </c>
      <c r="D1365" s="669" t="s">
        <v>414</v>
      </c>
      <c r="E1365" s="546">
        <v>922.89999399999999</v>
      </c>
    </row>
    <row r="1366" spans="2:5" x14ac:dyDescent="0.25">
      <c r="B1366" s="545">
        <v>1572</v>
      </c>
      <c r="C1366" s="553" t="s">
        <v>5764</v>
      </c>
      <c r="D1366" s="669" t="s">
        <v>414</v>
      </c>
      <c r="E1366" s="546">
        <v>957.009998</v>
      </c>
    </row>
    <row r="1367" spans="2:5" x14ac:dyDescent="0.25">
      <c r="B1367" s="545">
        <v>1573</v>
      </c>
      <c r="C1367" s="553" t="s">
        <v>5779</v>
      </c>
      <c r="D1367" s="669" t="s">
        <v>414</v>
      </c>
      <c r="E1367" s="546">
        <v>960.93748500000004</v>
      </c>
    </row>
    <row r="1368" spans="2:5" x14ac:dyDescent="0.25">
      <c r="B1368" s="545">
        <v>1574</v>
      </c>
      <c r="C1368" s="553" t="s">
        <v>5666</v>
      </c>
      <c r="D1368" s="669" t="s">
        <v>414</v>
      </c>
      <c r="E1368" s="546">
        <v>930.22500600000001</v>
      </c>
    </row>
    <row r="1369" spans="2:5" x14ac:dyDescent="0.25">
      <c r="B1369" s="545">
        <v>1575</v>
      </c>
      <c r="C1369" s="553" t="s">
        <v>5492</v>
      </c>
      <c r="D1369" s="669" t="s">
        <v>414</v>
      </c>
      <c r="E1369" s="546">
        <v>894.27999299999999</v>
      </c>
    </row>
    <row r="1370" spans="2:5" x14ac:dyDescent="0.25">
      <c r="B1370" s="545">
        <v>1576</v>
      </c>
      <c r="C1370" s="553" t="s">
        <v>5683</v>
      </c>
      <c r="D1370" s="669" t="s">
        <v>414</v>
      </c>
      <c r="E1370" s="546">
        <v>934.46667500000001</v>
      </c>
    </row>
    <row r="1371" spans="2:5" x14ac:dyDescent="0.25">
      <c r="B1371" s="545">
        <v>1577</v>
      </c>
      <c r="C1371" s="553" t="s">
        <v>5716</v>
      </c>
      <c r="D1371" s="669" t="s">
        <v>414</v>
      </c>
      <c r="E1371" s="546">
        <v>943.89999399999999</v>
      </c>
    </row>
    <row r="1372" spans="2:5" x14ac:dyDescent="0.25">
      <c r="B1372" s="545">
        <v>1578</v>
      </c>
      <c r="C1372" s="553" t="s">
        <v>5165</v>
      </c>
      <c r="D1372" s="669" t="s">
        <v>414</v>
      </c>
      <c r="E1372" s="546">
        <v>839.85000600000001</v>
      </c>
    </row>
    <row r="1373" spans="2:5" x14ac:dyDescent="0.25">
      <c r="B1373" s="545">
        <v>1579</v>
      </c>
      <c r="C1373" s="553" t="s">
        <v>5440</v>
      </c>
      <c r="D1373" s="669" t="s">
        <v>414</v>
      </c>
      <c r="E1373" s="546">
        <v>886.0625</v>
      </c>
    </row>
    <row r="1374" spans="2:5" x14ac:dyDescent="0.25">
      <c r="B1374" s="545">
        <v>1580</v>
      </c>
      <c r="C1374" s="553" t="s">
        <v>6858</v>
      </c>
      <c r="D1374" s="669" t="s">
        <v>414</v>
      </c>
      <c r="E1374" s="546">
        <v>840.66666699999996</v>
      </c>
    </row>
    <row r="1375" spans="2:5" x14ac:dyDescent="0.25">
      <c r="B1375" s="545">
        <v>1581</v>
      </c>
      <c r="C1375" s="553" t="s">
        <v>5461</v>
      </c>
      <c r="D1375" s="669" t="s">
        <v>414</v>
      </c>
      <c r="E1375" s="546">
        <v>890.22666400000003</v>
      </c>
    </row>
    <row r="1376" spans="2:5" x14ac:dyDescent="0.25">
      <c r="B1376" s="545">
        <v>1582</v>
      </c>
      <c r="C1376" s="553" t="s">
        <v>757</v>
      </c>
      <c r="D1376" s="669" t="s">
        <v>414</v>
      </c>
      <c r="E1376" s="546">
        <v>851.616669</v>
      </c>
    </row>
    <row r="1377" spans="2:5" x14ac:dyDescent="0.25">
      <c r="B1377" s="545">
        <v>1583</v>
      </c>
      <c r="C1377" s="553" t="s">
        <v>4969</v>
      </c>
      <c r="D1377" s="669" t="s">
        <v>414</v>
      </c>
      <c r="E1377" s="546">
        <v>818.90000399999997</v>
      </c>
    </row>
    <row r="1378" spans="2:5" x14ac:dyDescent="0.25">
      <c r="B1378" s="545">
        <v>1584</v>
      </c>
      <c r="C1378" s="553" t="s">
        <v>2269</v>
      </c>
      <c r="D1378" s="669" t="s">
        <v>414</v>
      </c>
      <c r="E1378" s="546">
        <v>802.17143899999996</v>
      </c>
    </row>
    <row r="1379" spans="2:5" x14ac:dyDescent="0.25">
      <c r="B1379" s="545">
        <v>1585</v>
      </c>
      <c r="C1379" s="553" t="s">
        <v>5472</v>
      </c>
      <c r="D1379" s="669" t="s">
        <v>414</v>
      </c>
      <c r="E1379" s="546">
        <v>892</v>
      </c>
    </row>
    <row r="1380" spans="2:5" x14ac:dyDescent="0.25">
      <c r="B1380" s="545">
        <v>1586</v>
      </c>
      <c r="C1380" s="553" t="s">
        <v>1571</v>
      </c>
      <c r="D1380" s="669" t="s">
        <v>414</v>
      </c>
      <c r="E1380" s="546">
        <v>833.184617</v>
      </c>
    </row>
    <row r="1381" spans="2:5" x14ac:dyDescent="0.25">
      <c r="B1381" s="545">
        <v>1587</v>
      </c>
      <c r="C1381" s="553" t="s">
        <v>5114</v>
      </c>
      <c r="D1381" s="669" t="s">
        <v>414</v>
      </c>
      <c r="E1381" s="546">
        <v>834.75</v>
      </c>
    </row>
    <row r="1382" spans="2:5" x14ac:dyDescent="0.25">
      <c r="B1382" s="545">
        <v>1588</v>
      </c>
      <c r="C1382" s="553" t="s">
        <v>7384</v>
      </c>
      <c r="D1382" s="669" t="s">
        <v>414</v>
      </c>
      <c r="E1382" s="546">
        <v>825.116669</v>
      </c>
    </row>
    <row r="1383" spans="2:5" x14ac:dyDescent="0.25">
      <c r="B1383" s="545">
        <v>1589</v>
      </c>
      <c r="C1383" s="553" t="s">
        <v>5356</v>
      </c>
      <c r="D1383" s="669" t="s">
        <v>414</v>
      </c>
      <c r="E1383" s="546">
        <v>871.33157500000004</v>
      </c>
    </row>
    <row r="1384" spans="2:5" x14ac:dyDescent="0.25">
      <c r="B1384" s="545">
        <v>1590</v>
      </c>
      <c r="C1384" s="553" t="s">
        <v>5230</v>
      </c>
      <c r="D1384" s="669" t="s">
        <v>414</v>
      </c>
      <c r="E1384" s="546">
        <v>850.63334099999997</v>
      </c>
    </row>
    <row r="1385" spans="2:5" x14ac:dyDescent="0.25">
      <c r="B1385" s="545">
        <v>1591</v>
      </c>
      <c r="C1385" s="553" t="s">
        <v>5265</v>
      </c>
      <c r="D1385" s="669" t="s">
        <v>414</v>
      </c>
      <c r="E1385" s="546">
        <v>856.27142800000001</v>
      </c>
    </row>
    <row r="1386" spans="2:5" x14ac:dyDescent="0.25">
      <c r="B1386" s="545">
        <v>1592</v>
      </c>
      <c r="C1386" s="553" t="s">
        <v>1022</v>
      </c>
      <c r="D1386" s="669" t="s">
        <v>414</v>
      </c>
      <c r="E1386" s="546">
        <v>881.19999800000005</v>
      </c>
    </row>
    <row r="1387" spans="2:5" x14ac:dyDescent="0.25">
      <c r="B1387" s="545">
        <v>1593</v>
      </c>
      <c r="C1387" s="553" t="s">
        <v>5427</v>
      </c>
      <c r="D1387" s="669" t="s">
        <v>414</v>
      </c>
      <c r="E1387" s="546">
        <v>884.05554900000004</v>
      </c>
    </row>
    <row r="1388" spans="2:5" x14ac:dyDescent="0.25">
      <c r="B1388" s="545">
        <v>1594</v>
      </c>
      <c r="C1388" s="553" t="s">
        <v>5199</v>
      </c>
      <c r="D1388" s="669" t="s">
        <v>414</v>
      </c>
      <c r="E1388" s="546">
        <v>852.59000900000001</v>
      </c>
    </row>
    <row r="1389" spans="2:5" x14ac:dyDescent="0.25">
      <c r="B1389" s="545">
        <v>1595</v>
      </c>
      <c r="C1389" s="553" t="s">
        <v>5317</v>
      </c>
      <c r="D1389" s="669" t="s">
        <v>414</v>
      </c>
      <c r="E1389" s="546">
        <v>865.15199500000006</v>
      </c>
    </row>
    <row r="1390" spans="2:5" x14ac:dyDescent="0.25">
      <c r="B1390" s="545">
        <v>1596</v>
      </c>
      <c r="C1390" s="553" t="s">
        <v>5054</v>
      </c>
      <c r="D1390" s="669" t="s">
        <v>414</v>
      </c>
      <c r="E1390" s="546">
        <v>828.614284</v>
      </c>
    </row>
    <row r="1391" spans="2:5" x14ac:dyDescent="0.25">
      <c r="B1391" s="545">
        <v>1597</v>
      </c>
      <c r="C1391" s="553" t="s">
        <v>1347</v>
      </c>
      <c r="D1391" s="669" t="s">
        <v>414</v>
      </c>
      <c r="E1391" s="546">
        <v>809.40000399999997</v>
      </c>
    </row>
    <row r="1392" spans="2:5" x14ac:dyDescent="0.25">
      <c r="B1392" s="545">
        <v>1598</v>
      </c>
      <c r="C1392" s="553" t="s">
        <v>3133</v>
      </c>
      <c r="D1392" s="669" t="s">
        <v>414</v>
      </c>
      <c r="E1392" s="546">
        <v>835.45001200000002</v>
      </c>
    </row>
    <row r="1393" spans="2:5" x14ac:dyDescent="0.25">
      <c r="B1393" s="545">
        <v>1599</v>
      </c>
      <c r="C1393" s="553" t="s">
        <v>2097</v>
      </c>
      <c r="D1393" s="669" t="s">
        <v>414</v>
      </c>
      <c r="E1393" s="546">
        <v>758.10000600000001</v>
      </c>
    </row>
    <row r="1394" spans="2:5" x14ac:dyDescent="0.25">
      <c r="B1394" s="545">
        <v>1600</v>
      </c>
      <c r="C1394" s="553" t="s">
        <v>4626</v>
      </c>
      <c r="D1394" s="669" t="s">
        <v>414</v>
      </c>
      <c r="E1394" s="546">
        <v>790.78000499999996</v>
      </c>
    </row>
    <row r="1395" spans="2:5" x14ac:dyDescent="0.25">
      <c r="B1395" s="545">
        <v>1601</v>
      </c>
      <c r="C1395" s="553" t="s">
        <v>6978</v>
      </c>
      <c r="D1395" s="669" t="s">
        <v>414</v>
      </c>
      <c r="E1395" s="546">
        <v>763</v>
      </c>
    </row>
    <row r="1396" spans="2:5" x14ac:dyDescent="0.25">
      <c r="B1396" s="545">
        <v>1602</v>
      </c>
      <c r="C1396" s="553" t="s">
        <v>3897</v>
      </c>
      <c r="D1396" s="669" t="s">
        <v>414</v>
      </c>
      <c r="E1396" s="546">
        <v>738.5</v>
      </c>
    </row>
    <row r="1397" spans="2:5" x14ac:dyDescent="0.25">
      <c r="B1397" s="545">
        <v>1603</v>
      </c>
      <c r="C1397" s="553" t="s">
        <v>4610</v>
      </c>
      <c r="D1397" s="669" t="s">
        <v>414</v>
      </c>
      <c r="E1397" s="546">
        <v>788.63749700000005</v>
      </c>
    </row>
    <row r="1398" spans="2:5" x14ac:dyDescent="0.25">
      <c r="B1398" s="545">
        <v>1604</v>
      </c>
      <c r="C1398" s="553" t="s">
        <v>3856</v>
      </c>
      <c r="D1398" s="669" t="s">
        <v>414</v>
      </c>
      <c r="E1398" s="546">
        <v>736</v>
      </c>
    </row>
    <row r="1399" spans="2:5" x14ac:dyDescent="0.25">
      <c r="B1399" s="545">
        <v>1605</v>
      </c>
      <c r="C1399" s="553" t="s">
        <v>4690</v>
      </c>
      <c r="D1399" s="669" t="s">
        <v>414</v>
      </c>
      <c r="E1399" s="546">
        <v>795.18749200000002</v>
      </c>
    </row>
    <row r="1400" spans="2:5" x14ac:dyDescent="0.25">
      <c r="B1400" s="545">
        <v>1606</v>
      </c>
      <c r="C1400" s="553" t="s">
        <v>2253</v>
      </c>
      <c r="D1400" s="669" t="s">
        <v>414</v>
      </c>
      <c r="E1400" s="546">
        <v>782.29999799999996</v>
      </c>
    </row>
    <row r="1401" spans="2:5" x14ac:dyDescent="0.25">
      <c r="B1401" s="545">
        <v>1607</v>
      </c>
      <c r="C1401" s="553" t="s">
        <v>6654</v>
      </c>
      <c r="D1401" s="669" t="s">
        <v>414</v>
      </c>
      <c r="E1401" s="546">
        <v>756.25</v>
      </c>
    </row>
    <row r="1402" spans="2:5" x14ac:dyDescent="0.25">
      <c r="B1402" s="545">
        <v>1608</v>
      </c>
      <c r="C1402" s="553" t="s">
        <v>4784</v>
      </c>
      <c r="D1402" s="669" t="s">
        <v>414</v>
      </c>
      <c r="E1402" s="546">
        <v>802.29998799999998</v>
      </c>
    </row>
    <row r="1403" spans="2:5" x14ac:dyDescent="0.25">
      <c r="B1403" s="545">
        <v>1609</v>
      </c>
      <c r="C1403" s="553" t="s">
        <v>4847</v>
      </c>
      <c r="D1403" s="669" t="s">
        <v>414</v>
      </c>
      <c r="E1403" s="546">
        <v>807.03332499999999</v>
      </c>
    </row>
    <row r="1404" spans="2:5" x14ac:dyDescent="0.25">
      <c r="B1404" s="545">
        <v>1610</v>
      </c>
      <c r="C1404" s="553" t="s">
        <v>6788</v>
      </c>
      <c r="D1404" s="669" t="s">
        <v>414</v>
      </c>
      <c r="E1404" s="546">
        <v>837.60000600000001</v>
      </c>
    </row>
    <row r="1405" spans="2:5" x14ac:dyDescent="0.25">
      <c r="B1405" s="545">
        <v>1611</v>
      </c>
      <c r="C1405" s="553" t="s">
        <v>414</v>
      </c>
      <c r="D1405" s="669" t="s">
        <v>414</v>
      </c>
      <c r="E1405" s="546">
        <v>763.10000600000001</v>
      </c>
    </row>
    <row r="1406" spans="2:5" x14ac:dyDescent="0.25">
      <c r="B1406" s="545">
        <v>1612</v>
      </c>
      <c r="C1406" s="553" t="s">
        <v>4817</v>
      </c>
      <c r="D1406" s="669" t="s">
        <v>414</v>
      </c>
      <c r="E1406" s="546">
        <v>804.79998799999998</v>
      </c>
    </row>
    <row r="1407" spans="2:5" x14ac:dyDescent="0.25">
      <c r="B1407" s="545">
        <v>1613</v>
      </c>
      <c r="C1407" s="553" t="s">
        <v>5128</v>
      </c>
      <c r="D1407" s="669" t="s">
        <v>414</v>
      </c>
      <c r="E1407" s="546">
        <v>836.5</v>
      </c>
    </row>
    <row r="1408" spans="2:5" x14ac:dyDescent="0.25">
      <c r="B1408" s="545">
        <v>1614</v>
      </c>
      <c r="C1408" s="553" t="s">
        <v>1289</v>
      </c>
      <c r="D1408" s="669" t="s">
        <v>414</v>
      </c>
      <c r="E1408" s="546">
        <v>739.37501499999996</v>
      </c>
    </row>
    <row r="1409" spans="2:5" x14ac:dyDescent="0.25">
      <c r="B1409" s="545">
        <v>1615</v>
      </c>
      <c r="C1409" s="553" t="s">
        <v>4200</v>
      </c>
      <c r="D1409" s="669" t="s">
        <v>414</v>
      </c>
      <c r="E1409" s="546">
        <v>757.75</v>
      </c>
    </row>
    <row r="1410" spans="2:5" x14ac:dyDescent="0.25">
      <c r="B1410" s="545">
        <v>1616</v>
      </c>
      <c r="C1410" s="553" t="s">
        <v>7002</v>
      </c>
      <c r="D1410" s="669" t="s">
        <v>414</v>
      </c>
      <c r="E1410" s="546">
        <v>777.94998199999998</v>
      </c>
    </row>
    <row r="1411" spans="2:5" x14ac:dyDescent="0.25">
      <c r="B1411" s="545">
        <v>1617</v>
      </c>
      <c r="C1411" s="553" t="s">
        <v>1228</v>
      </c>
      <c r="D1411" s="669" t="s">
        <v>414</v>
      </c>
      <c r="E1411" s="546">
        <v>772.82223199999999</v>
      </c>
    </row>
    <row r="1412" spans="2:5" x14ac:dyDescent="0.25">
      <c r="B1412" s="545">
        <v>1618</v>
      </c>
      <c r="C1412" s="553" t="s">
        <v>7616</v>
      </c>
      <c r="D1412" s="669" t="s">
        <v>414</v>
      </c>
      <c r="E1412" s="546">
        <v>760.44000200000005</v>
      </c>
    </row>
    <row r="1413" spans="2:5" x14ac:dyDescent="0.25">
      <c r="B1413" s="545">
        <v>1619</v>
      </c>
      <c r="C1413" s="553" t="s">
        <v>7602</v>
      </c>
      <c r="D1413" s="669" t="s">
        <v>414</v>
      </c>
      <c r="E1413" s="546">
        <v>915.23333700000001</v>
      </c>
    </row>
    <row r="1414" spans="2:5" x14ac:dyDescent="0.25">
      <c r="B1414" s="545">
        <v>1620</v>
      </c>
      <c r="C1414" s="553" t="s">
        <v>7239</v>
      </c>
      <c r="D1414" s="669" t="s">
        <v>414</v>
      </c>
      <c r="E1414" s="546">
        <v>921.385716</v>
      </c>
    </row>
    <row r="1415" spans="2:5" x14ac:dyDescent="0.25">
      <c r="B1415" s="545">
        <v>1621</v>
      </c>
      <c r="C1415" s="553" t="s">
        <v>1889</v>
      </c>
      <c r="D1415" s="669" t="s">
        <v>414</v>
      </c>
      <c r="E1415" s="546">
        <v>893.34000200000003</v>
      </c>
    </row>
    <row r="1416" spans="2:5" x14ac:dyDescent="0.25">
      <c r="B1416" s="545">
        <v>1622</v>
      </c>
      <c r="C1416" s="553" t="s">
        <v>5291</v>
      </c>
      <c r="D1416" s="669" t="s">
        <v>414</v>
      </c>
      <c r="E1416" s="546">
        <v>859.86818300000004</v>
      </c>
    </row>
    <row r="1417" spans="2:5" x14ac:dyDescent="0.25">
      <c r="B1417" s="545">
        <v>1623</v>
      </c>
      <c r="C1417" s="553" t="s">
        <v>6659</v>
      </c>
      <c r="D1417" s="669" t="s">
        <v>414</v>
      </c>
      <c r="E1417" s="546">
        <v>869.08571099999995</v>
      </c>
    </row>
    <row r="1418" spans="2:5" x14ac:dyDescent="0.25">
      <c r="B1418" s="545">
        <v>1624</v>
      </c>
      <c r="C1418" s="553" t="s">
        <v>5636</v>
      </c>
      <c r="D1418" s="669" t="s">
        <v>414</v>
      </c>
      <c r="E1418" s="546">
        <v>920.41666699999996</v>
      </c>
    </row>
    <row r="1419" spans="2:5" x14ac:dyDescent="0.25">
      <c r="B1419" s="545">
        <v>1625</v>
      </c>
      <c r="C1419" s="553" t="s">
        <v>5284</v>
      </c>
      <c r="D1419" s="669" t="s">
        <v>414</v>
      </c>
      <c r="E1419" s="546">
        <v>858.74165900000003</v>
      </c>
    </row>
    <row r="1420" spans="2:5" x14ac:dyDescent="0.25">
      <c r="B1420" s="545">
        <v>1626</v>
      </c>
      <c r="C1420" s="553" t="s">
        <v>3997</v>
      </c>
      <c r="D1420" s="669" t="s">
        <v>414</v>
      </c>
      <c r="E1420" s="546">
        <v>744.73333700000001</v>
      </c>
    </row>
    <row r="1421" spans="2:5" x14ac:dyDescent="0.25">
      <c r="B1421" s="545">
        <v>1627</v>
      </c>
      <c r="C1421" s="553" t="s">
        <v>4444</v>
      </c>
      <c r="D1421" s="669" t="s">
        <v>414</v>
      </c>
      <c r="E1421" s="546">
        <v>776.46001000000001</v>
      </c>
    </row>
    <row r="1422" spans="2:5" x14ac:dyDescent="0.25">
      <c r="B1422" s="545">
        <v>1628</v>
      </c>
      <c r="C1422" s="553" t="s">
        <v>6918</v>
      </c>
      <c r="D1422" s="669" t="s">
        <v>414</v>
      </c>
      <c r="E1422" s="546">
        <v>775.06667100000004</v>
      </c>
    </row>
    <row r="1423" spans="2:5" x14ac:dyDescent="0.25">
      <c r="B1423" s="545">
        <v>1629</v>
      </c>
      <c r="C1423" s="553" t="s">
        <v>4858</v>
      </c>
      <c r="D1423" s="669" t="s">
        <v>414</v>
      </c>
      <c r="E1423" s="546">
        <v>807.71999500000004</v>
      </c>
    </row>
    <row r="1424" spans="2:5" x14ac:dyDescent="0.25">
      <c r="B1424" s="545">
        <v>1630</v>
      </c>
      <c r="C1424" s="553" t="s">
        <v>7462</v>
      </c>
      <c r="D1424" s="669" t="s">
        <v>414</v>
      </c>
      <c r="E1424" s="546">
        <v>706.02500899999995</v>
      </c>
    </row>
    <row r="1425" spans="2:5" x14ac:dyDescent="0.25">
      <c r="B1425" s="545">
        <v>1631</v>
      </c>
      <c r="C1425" s="553" t="s">
        <v>1080</v>
      </c>
      <c r="D1425" s="669" t="s">
        <v>414</v>
      </c>
      <c r="E1425" s="546">
        <v>700.66666699999996</v>
      </c>
    </row>
    <row r="1426" spans="2:5" x14ac:dyDescent="0.25">
      <c r="B1426" s="545">
        <v>1632</v>
      </c>
      <c r="C1426" s="553" t="s">
        <v>2906</v>
      </c>
      <c r="D1426" s="669" t="s">
        <v>414</v>
      </c>
      <c r="E1426" s="546">
        <v>686.09997599999997</v>
      </c>
    </row>
    <row r="1427" spans="2:5" x14ac:dyDescent="0.25">
      <c r="B1427" s="545">
        <v>1633</v>
      </c>
      <c r="C1427" s="553" t="s">
        <v>3708</v>
      </c>
      <c r="D1427" s="669" t="s">
        <v>414</v>
      </c>
      <c r="E1427" s="546">
        <v>727.62498500000004</v>
      </c>
    </row>
    <row r="1428" spans="2:5" x14ac:dyDescent="0.25">
      <c r="B1428" s="545">
        <v>1634</v>
      </c>
      <c r="C1428" s="553" t="s">
        <v>722</v>
      </c>
      <c r="D1428" s="669" t="s">
        <v>414</v>
      </c>
      <c r="E1428" s="546">
        <v>736.00001699999996</v>
      </c>
    </row>
    <row r="1429" spans="2:5" x14ac:dyDescent="0.25">
      <c r="B1429" s="545">
        <v>1635</v>
      </c>
      <c r="C1429" s="553" t="s">
        <v>1340</v>
      </c>
      <c r="D1429" s="669" t="s">
        <v>414</v>
      </c>
      <c r="E1429" s="546">
        <v>782.23333700000001</v>
      </c>
    </row>
    <row r="1430" spans="2:5" x14ac:dyDescent="0.25">
      <c r="B1430" s="545">
        <v>1636</v>
      </c>
      <c r="C1430" s="553" t="s">
        <v>2925</v>
      </c>
      <c r="D1430" s="669" t="s">
        <v>414</v>
      </c>
      <c r="E1430" s="546">
        <v>686.90002400000003</v>
      </c>
    </row>
    <row r="1431" spans="2:5" x14ac:dyDescent="0.25">
      <c r="B1431" s="545">
        <v>1637</v>
      </c>
      <c r="C1431" s="553" t="s">
        <v>3587</v>
      </c>
      <c r="D1431" s="669" t="s">
        <v>414</v>
      </c>
      <c r="E1431" s="546">
        <v>720.63334099999997</v>
      </c>
    </row>
    <row r="1432" spans="2:5" x14ac:dyDescent="0.25">
      <c r="B1432" s="545">
        <v>1638</v>
      </c>
      <c r="C1432" s="553" t="s">
        <v>3965</v>
      </c>
      <c r="D1432" s="669" t="s">
        <v>414</v>
      </c>
      <c r="E1432" s="546">
        <v>742.5</v>
      </c>
    </row>
    <row r="1433" spans="2:5" x14ac:dyDescent="0.25">
      <c r="B1433" s="545">
        <v>1639</v>
      </c>
      <c r="C1433" s="553" t="s">
        <v>7171</v>
      </c>
      <c r="D1433" s="669" t="s">
        <v>414</v>
      </c>
      <c r="E1433" s="546">
        <v>688.43335000000002</v>
      </c>
    </row>
    <row r="1434" spans="2:5" x14ac:dyDescent="0.25">
      <c r="B1434" s="545">
        <v>1640</v>
      </c>
      <c r="C1434" s="553" t="s">
        <v>2520</v>
      </c>
      <c r="D1434" s="669" t="s">
        <v>414</v>
      </c>
      <c r="E1434" s="546">
        <v>666.76666299999999</v>
      </c>
    </row>
    <row r="1435" spans="2:5" x14ac:dyDescent="0.25">
      <c r="B1435" s="545">
        <v>1641</v>
      </c>
      <c r="C1435" s="553" t="s">
        <v>3020</v>
      </c>
      <c r="D1435" s="669" t="s">
        <v>414</v>
      </c>
      <c r="E1435" s="546">
        <v>691.90000399999997</v>
      </c>
    </row>
    <row r="1436" spans="2:5" x14ac:dyDescent="0.25">
      <c r="B1436" s="545">
        <v>1642</v>
      </c>
      <c r="C1436" s="553" t="s">
        <v>4447</v>
      </c>
      <c r="D1436" s="669" t="s">
        <v>414</v>
      </c>
      <c r="E1436" s="546">
        <v>776.7</v>
      </c>
    </row>
    <row r="1437" spans="2:5" x14ac:dyDescent="0.25">
      <c r="B1437" s="545">
        <v>1643</v>
      </c>
      <c r="C1437" s="553" t="s">
        <v>7428</v>
      </c>
      <c r="D1437" s="669" t="s">
        <v>414</v>
      </c>
      <c r="E1437" s="546">
        <v>747.54999799999996</v>
      </c>
    </row>
    <row r="1438" spans="2:5" x14ac:dyDescent="0.25">
      <c r="B1438" s="545">
        <v>1644</v>
      </c>
      <c r="C1438" s="553" t="s">
        <v>3101</v>
      </c>
      <c r="D1438" s="669" t="s">
        <v>414</v>
      </c>
      <c r="E1438" s="546">
        <v>696</v>
      </c>
    </row>
    <row r="1439" spans="2:5" x14ac:dyDescent="0.25">
      <c r="B1439" s="545">
        <v>1645</v>
      </c>
      <c r="C1439" s="553" t="s">
        <v>7540</v>
      </c>
      <c r="D1439" s="669" t="s">
        <v>414</v>
      </c>
      <c r="E1439" s="546">
        <v>679.73333700000001</v>
      </c>
    </row>
    <row r="1440" spans="2:5" x14ac:dyDescent="0.25">
      <c r="B1440" s="545">
        <v>1646</v>
      </c>
      <c r="C1440" s="553" t="s">
        <v>1741</v>
      </c>
      <c r="D1440" s="669" t="s">
        <v>414</v>
      </c>
      <c r="E1440" s="546">
        <v>688.80001800000002</v>
      </c>
    </row>
    <row r="1441" spans="2:5" x14ac:dyDescent="0.25">
      <c r="B1441" s="545">
        <v>1647</v>
      </c>
      <c r="C1441" s="553" t="s">
        <v>2124</v>
      </c>
      <c r="D1441" s="669" t="s">
        <v>414</v>
      </c>
      <c r="E1441" s="546">
        <v>649.67500299999995</v>
      </c>
    </row>
    <row r="1442" spans="2:5" x14ac:dyDescent="0.25">
      <c r="B1442" s="545">
        <v>1648</v>
      </c>
      <c r="C1442" s="553" t="s">
        <v>6518</v>
      </c>
      <c r="D1442" s="669" t="s">
        <v>414</v>
      </c>
      <c r="E1442" s="546">
        <v>675.59999600000003</v>
      </c>
    </row>
    <row r="1443" spans="2:5" x14ac:dyDescent="0.25">
      <c r="B1443" s="545">
        <v>1649</v>
      </c>
      <c r="C1443" s="553" t="s">
        <v>3124</v>
      </c>
      <c r="D1443" s="669" t="s">
        <v>414</v>
      </c>
      <c r="E1443" s="546">
        <v>697.47999300000004</v>
      </c>
    </row>
    <row r="1444" spans="2:5" x14ac:dyDescent="0.25">
      <c r="B1444" s="545">
        <v>1650</v>
      </c>
      <c r="C1444" s="553" t="s">
        <v>1055</v>
      </c>
      <c r="D1444" s="669" t="s">
        <v>414</v>
      </c>
      <c r="E1444" s="546">
        <v>734.43998999999997</v>
      </c>
    </row>
    <row r="1445" spans="2:5" x14ac:dyDescent="0.25">
      <c r="B1445" s="545">
        <v>1651</v>
      </c>
      <c r="C1445" s="553" t="s">
        <v>5017</v>
      </c>
      <c r="D1445" s="669" t="s">
        <v>414</v>
      </c>
      <c r="E1445" s="546">
        <v>824.20001200000002</v>
      </c>
    </row>
    <row r="1446" spans="2:5" x14ac:dyDescent="0.25">
      <c r="B1446" s="545">
        <v>1652</v>
      </c>
      <c r="C1446" s="553" t="s">
        <v>3028</v>
      </c>
      <c r="D1446" s="669" t="s">
        <v>414</v>
      </c>
      <c r="E1446" s="546">
        <v>692.35000600000001</v>
      </c>
    </row>
    <row r="1447" spans="2:5" x14ac:dyDescent="0.25">
      <c r="B1447" s="545">
        <v>1653</v>
      </c>
      <c r="C1447" s="553" t="s">
        <v>2649</v>
      </c>
      <c r="D1447" s="669" t="s">
        <v>414</v>
      </c>
      <c r="E1447" s="546">
        <v>759.10000600000001</v>
      </c>
    </row>
    <row r="1448" spans="2:5" x14ac:dyDescent="0.25">
      <c r="B1448" s="545">
        <v>1654</v>
      </c>
      <c r="C1448" s="553" t="s">
        <v>6702</v>
      </c>
      <c r="D1448" s="669" t="s">
        <v>414</v>
      </c>
      <c r="E1448" s="546">
        <v>721.24286800000004</v>
      </c>
    </row>
    <row r="1449" spans="2:5" x14ac:dyDescent="0.25">
      <c r="B1449" s="545">
        <v>1655</v>
      </c>
      <c r="C1449" s="553" t="s">
        <v>6703</v>
      </c>
      <c r="D1449" s="669" t="s">
        <v>414</v>
      </c>
      <c r="E1449" s="546">
        <v>731.40000399999997</v>
      </c>
    </row>
    <row r="1450" spans="2:5" x14ac:dyDescent="0.25">
      <c r="B1450" s="545">
        <v>1656</v>
      </c>
      <c r="C1450" s="553" t="s">
        <v>3368</v>
      </c>
      <c r="D1450" s="669" t="s">
        <v>414</v>
      </c>
      <c r="E1450" s="546">
        <v>759.02000699999996</v>
      </c>
    </row>
    <row r="1451" spans="2:5" x14ac:dyDescent="0.25">
      <c r="B1451" s="545">
        <v>1657</v>
      </c>
      <c r="C1451" s="553" t="s">
        <v>6820</v>
      </c>
      <c r="D1451" s="669" t="s">
        <v>414</v>
      </c>
      <c r="E1451" s="546">
        <v>758.44286199999999</v>
      </c>
    </row>
    <row r="1452" spans="2:5" x14ac:dyDescent="0.25">
      <c r="B1452" s="545">
        <v>1701</v>
      </c>
      <c r="C1452" s="553" t="s">
        <v>2240</v>
      </c>
      <c r="D1452" s="669" t="s">
        <v>415</v>
      </c>
      <c r="E1452" s="546">
        <v>906.13749700000005</v>
      </c>
    </row>
    <row r="1453" spans="2:5" x14ac:dyDescent="0.25">
      <c r="B1453" s="545">
        <v>1702</v>
      </c>
      <c r="C1453" s="553" t="s">
        <v>7098</v>
      </c>
      <c r="D1453" s="669" t="s">
        <v>415</v>
      </c>
      <c r="E1453" s="546">
        <v>871.29998799999998</v>
      </c>
    </row>
    <row r="1454" spans="2:5" x14ac:dyDescent="0.25">
      <c r="B1454" s="545">
        <v>1703</v>
      </c>
      <c r="C1454" s="553" t="s">
        <v>1868</v>
      </c>
      <c r="D1454" s="669" t="s">
        <v>415</v>
      </c>
      <c r="E1454" s="546">
        <v>871.17000700000006</v>
      </c>
    </row>
    <row r="1455" spans="2:5" x14ac:dyDescent="0.25">
      <c r="B1455" s="545">
        <v>1704</v>
      </c>
      <c r="C1455" s="553" t="s">
        <v>5867</v>
      </c>
      <c r="D1455" s="669" t="s">
        <v>415</v>
      </c>
      <c r="E1455" s="546">
        <v>987.09997599999997</v>
      </c>
    </row>
    <row r="1456" spans="2:5" x14ac:dyDescent="0.25">
      <c r="B1456" s="545">
        <v>1705</v>
      </c>
      <c r="C1456" s="553" t="s">
        <v>5480</v>
      </c>
      <c r="D1456" s="669" t="s">
        <v>415</v>
      </c>
      <c r="E1456" s="546">
        <v>893.26250500000003</v>
      </c>
    </row>
    <row r="1457" spans="2:5" x14ac:dyDescent="0.25">
      <c r="B1457" s="545">
        <v>1706</v>
      </c>
      <c r="C1457" s="553" t="s">
        <v>5643</v>
      </c>
      <c r="D1457" s="669" t="s">
        <v>415</v>
      </c>
      <c r="E1457" s="546">
        <v>923.44999700000005</v>
      </c>
    </row>
    <row r="1458" spans="2:5" x14ac:dyDescent="0.25">
      <c r="B1458" s="545">
        <v>1707</v>
      </c>
      <c r="C1458" s="553" t="s">
        <v>5582</v>
      </c>
      <c r="D1458" s="669" t="s">
        <v>415</v>
      </c>
      <c r="E1458" s="546">
        <v>908.25</v>
      </c>
    </row>
    <row r="1459" spans="2:5" x14ac:dyDescent="0.25">
      <c r="B1459" s="545">
        <v>1708</v>
      </c>
      <c r="C1459" s="553" t="s">
        <v>5409</v>
      </c>
      <c r="D1459" s="669" t="s">
        <v>415</v>
      </c>
      <c r="E1459" s="546">
        <v>880.20001200000002</v>
      </c>
    </row>
    <row r="1460" spans="2:5" x14ac:dyDescent="0.25">
      <c r="B1460" s="545">
        <v>1709</v>
      </c>
      <c r="C1460" s="553" t="s">
        <v>1864</v>
      </c>
      <c r="D1460" s="669" t="s">
        <v>415</v>
      </c>
      <c r="E1460" s="546">
        <v>841.41665599999999</v>
      </c>
    </row>
    <row r="1461" spans="2:5" x14ac:dyDescent="0.25">
      <c r="B1461" s="545">
        <v>1710</v>
      </c>
      <c r="C1461" s="553" t="s">
        <v>5403</v>
      </c>
      <c r="D1461" s="669" t="s">
        <v>415</v>
      </c>
      <c r="E1461" s="546">
        <v>879.66666699999996</v>
      </c>
    </row>
    <row r="1462" spans="2:5" x14ac:dyDescent="0.25">
      <c r="B1462" s="545">
        <v>1711</v>
      </c>
      <c r="C1462" s="553" t="s">
        <v>4843</v>
      </c>
      <c r="D1462" s="669" t="s">
        <v>415</v>
      </c>
      <c r="E1462" s="546">
        <v>806.76666599999999</v>
      </c>
    </row>
    <row r="1463" spans="2:5" x14ac:dyDescent="0.25">
      <c r="B1463" s="545">
        <v>1712</v>
      </c>
      <c r="C1463" s="553" t="s">
        <v>3308</v>
      </c>
      <c r="D1463" s="669" t="s">
        <v>415</v>
      </c>
      <c r="E1463" s="546">
        <v>865.94444099999998</v>
      </c>
    </row>
    <row r="1464" spans="2:5" x14ac:dyDescent="0.25">
      <c r="B1464" s="545">
        <v>1713</v>
      </c>
      <c r="C1464" s="553" t="s">
        <v>4109</v>
      </c>
      <c r="D1464" s="669" t="s">
        <v>415</v>
      </c>
      <c r="E1464" s="546">
        <v>751.28333499999997</v>
      </c>
    </row>
    <row r="1465" spans="2:5" x14ac:dyDescent="0.25">
      <c r="B1465" s="545">
        <v>1714</v>
      </c>
      <c r="C1465" s="553" t="s">
        <v>4649</v>
      </c>
      <c r="D1465" s="669" t="s">
        <v>415</v>
      </c>
      <c r="E1465" s="546">
        <v>792.46665399999995</v>
      </c>
    </row>
    <row r="1466" spans="2:5" x14ac:dyDescent="0.25">
      <c r="B1466" s="545">
        <v>1715</v>
      </c>
      <c r="C1466" s="553" t="s">
        <v>5126</v>
      </c>
      <c r="D1466" s="669" t="s">
        <v>415</v>
      </c>
      <c r="E1466" s="546">
        <v>836.46665399999995</v>
      </c>
    </row>
    <row r="1467" spans="2:5" x14ac:dyDescent="0.25">
      <c r="B1467" s="545">
        <v>1716</v>
      </c>
      <c r="C1467" s="553" t="s">
        <v>4479</v>
      </c>
      <c r="D1467" s="669" t="s">
        <v>415</v>
      </c>
      <c r="E1467" s="546">
        <v>778.59285599999998</v>
      </c>
    </row>
    <row r="1468" spans="2:5" x14ac:dyDescent="0.25">
      <c r="B1468" s="545">
        <v>1717</v>
      </c>
      <c r="C1468" s="553" t="s">
        <v>4200</v>
      </c>
      <c r="D1468" s="669" t="s">
        <v>415</v>
      </c>
      <c r="E1468" s="546">
        <v>871.70001200000002</v>
      </c>
    </row>
    <row r="1469" spans="2:5" x14ac:dyDescent="0.25">
      <c r="B1469" s="545">
        <v>1718</v>
      </c>
      <c r="C1469" s="553" t="s">
        <v>5228</v>
      </c>
      <c r="D1469" s="669" t="s">
        <v>415</v>
      </c>
      <c r="E1469" s="546">
        <v>850.15999799999997</v>
      </c>
    </row>
    <row r="1470" spans="2:5" x14ac:dyDescent="0.25">
      <c r="B1470" s="545">
        <v>1719</v>
      </c>
      <c r="C1470" s="553" t="s">
        <v>2939</v>
      </c>
      <c r="D1470" s="669" t="s">
        <v>415</v>
      </c>
      <c r="E1470" s="546">
        <v>867.32499700000005</v>
      </c>
    </row>
    <row r="1471" spans="2:5" x14ac:dyDescent="0.25">
      <c r="B1471" s="545">
        <v>1720</v>
      </c>
      <c r="C1471" s="553" t="s">
        <v>5383</v>
      </c>
      <c r="D1471" s="669" t="s">
        <v>415</v>
      </c>
      <c r="E1471" s="546">
        <v>875.70001200000002</v>
      </c>
    </row>
    <row r="1472" spans="2:5" x14ac:dyDescent="0.25">
      <c r="B1472" s="545">
        <v>1721</v>
      </c>
      <c r="C1472" s="553" t="s">
        <v>7572</v>
      </c>
      <c r="D1472" s="669" t="s">
        <v>415</v>
      </c>
      <c r="E1472" s="546">
        <v>885.63334099999997</v>
      </c>
    </row>
    <row r="1473" spans="2:5" x14ac:dyDescent="0.25">
      <c r="B1473" s="545">
        <v>1722</v>
      </c>
      <c r="C1473" s="553" t="s">
        <v>844</v>
      </c>
      <c r="D1473" s="669" t="s">
        <v>415</v>
      </c>
      <c r="E1473" s="546">
        <v>889.15002400000003</v>
      </c>
    </row>
    <row r="1474" spans="2:5" x14ac:dyDescent="0.25">
      <c r="B1474" s="545">
        <v>1723</v>
      </c>
      <c r="C1474" s="553" t="s">
        <v>5558</v>
      </c>
      <c r="D1474" s="669" t="s">
        <v>415</v>
      </c>
      <c r="E1474" s="546">
        <v>906</v>
      </c>
    </row>
    <row r="1475" spans="2:5" x14ac:dyDescent="0.25">
      <c r="B1475" s="545">
        <v>1724</v>
      </c>
      <c r="C1475" s="553" t="s">
        <v>6933</v>
      </c>
      <c r="D1475" s="669" t="s">
        <v>415</v>
      </c>
      <c r="E1475" s="546">
        <v>863.09997599999997</v>
      </c>
    </row>
    <row r="1476" spans="2:5" x14ac:dyDescent="0.25">
      <c r="B1476" s="545">
        <v>1725</v>
      </c>
      <c r="C1476" s="553" t="s">
        <v>4912</v>
      </c>
      <c r="D1476" s="669" t="s">
        <v>415</v>
      </c>
      <c r="E1476" s="546">
        <v>813.35000600000001</v>
      </c>
    </row>
    <row r="1477" spans="2:5" x14ac:dyDescent="0.25">
      <c r="B1477" s="545">
        <v>1726</v>
      </c>
      <c r="C1477" s="553" t="s">
        <v>2180</v>
      </c>
      <c r="D1477" s="669" t="s">
        <v>415</v>
      </c>
      <c r="E1477" s="546">
        <v>835.83333300000004</v>
      </c>
    </row>
    <row r="1478" spans="2:5" x14ac:dyDescent="0.25">
      <c r="B1478" s="545">
        <v>1727</v>
      </c>
      <c r="C1478" s="553" t="s">
        <v>1905</v>
      </c>
      <c r="D1478" s="669" t="s">
        <v>415</v>
      </c>
      <c r="E1478" s="546">
        <v>846.92500299999995</v>
      </c>
    </row>
    <row r="1479" spans="2:5" x14ac:dyDescent="0.25">
      <c r="B1479" s="545">
        <v>1728</v>
      </c>
      <c r="C1479" s="553" t="s">
        <v>5005</v>
      </c>
      <c r="D1479" s="669" t="s">
        <v>415</v>
      </c>
      <c r="E1479" s="546">
        <v>823.36154899999997</v>
      </c>
    </row>
    <row r="1480" spans="2:5" x14ac:dyDescent="0.25">
      <c r="B1480" s="545">
        <v>1729</v>
      </c>
      <c r="C1480" s="553" t="s">
        <v>5162</v>
      </c>
      <c r="D1480" s="669" t="s">
        <v>415</v>
      </c>
      <c r="E1480" s="546">
        <v>839.59997599999997</v>
      </c>
    </row>
    <row r="1481" spans="2:5" x14ac:dyDescent="0.25">
      <c r="B1481" s="545">
        <v>1730</v>
      </c>
      <c r="C1481" s="553" t="s">
        <v>5180</v>
      </c>
      <c r="D1481" s="669" t="s">
        <v>415</v>
      </c>
      <c r="E1481" s="546">
        <v>842.59998800000005</v>
      </c>
    </row>
    <row r="1482" spans="2:5" x14ac:dyDescent="0.25">
      <c r="B1482" s="545">
        <v>1731</v>
      </c>
      <c r="C1482" s="553" t="s">
        <v>3731</v>
      </c>
      <c r="D1482" s="669" t="s">
        <v>415</v>
      </c>
      <c r="E1482" s="546">
        <v>728.740002</v>
      </c>
    </row>
    <row r="1483" spans="2:5" x14ac:dyDescent="0.25">
      <c r="B1483" s="545">
        <v>1732</v>
      </c>
      <c r="C1483" s="553" t="s">
        <v>2992</v>
      </c>
      <c r="D1483" s="669" t="s">
        <v>415</v>
      </c>
      <c r="E1483" s="546">
        <v>690.25998500000003</v>
      </c>
    </row>
    <row r="1484" spans="2:5" x14ac:dyDescent="0.25">
      <c r="B1484" s="545">
        <v>1733</v>
      </c>
      <c r="C1484" s="553" t="s">
        <v>2321</v>
      </c>
      <c r="D1484" s="669" t="s">
        <v>415</v>
      </c>
      <c r="E1484" s="546">
        <v>658.30001800000002</v>
      </c>
    </row>
    <row r="1485" spans="2:5" x14ac:dyDescent="0.25">
      <c r="B1485" s="545">
        <v>1734</v>
      </c>
      <c r="C1485" s="553" t="s">
        <v>2132</v>
      </c>
      <c r="D1485" s="669" t="s">
        <v>415</v>
      </c>
      <c r="E1485" s="546">
        <v>650.02499399999999</v>
      </c>
    </row>
    <row r="1486" spans="2:5" x14ac:dyDescent="0.25">
      <c r="B1486" s="545">
        <v>1735</v>
      </c>
      <c r="C1486" s="553" t="s">
        <v>1668</v>
      </c>
      <c r="D1486" s="669" t="s">
        <v>415</v>
      </c>
      <c r="E1486" s="546">
        <v>630.67999299999997</v>
      </c>
    </row>
    <row r="1487" spans="2:5" x14ac:dyDescent="0.25">
      <c r="B1487" s="545">
        <v>1736</v>
      </c>
      <c r="C1487" s="553" t="s">
        <v>1611</v>
      </c>
      <c r="D1487" s="669" t="s">
        <v>415</v>
      </c>
      <c r="E1487" s="546">
        <v>627.09997599999997</v>
      </c>
    </row>
    <row r="1488" spans="2:5" x14ac:dyDescent="0.25">
      <c r="B1488" s="545">
        <v>1737</v>
      </c>
      <c r="C1488" s="553" t="s">
        <v>1982</v>
      </c>
      <c r="D1488" s="669" t="s">
        <v>415</v>
      </c>
      <c r="E1488" s="546">
        <v>642.76666299999999</v>
      </c>
    </row>
    <row r="1489" spans="2:5" x14ac:dyDescent="0.25">
      <c r="B1489" s="545">
        <v>1738</v>
      </c>
      <c r="C1489" s="553" t="s">
        <v>1667</v>
      </c>
      <c r="D1489" s="669" t="s">
        <v>415</v>
      </c>
      <c r="E1489" s="546">
        <v>630.63332100000002</v>
      </c>
    </row>
    <row r="1490" spans="2:5" x14ac:dyDescent="0.25">
      <c r="B1490" s="545">
        <v>1739</v>
      </c>
      <c r="C1490" s="553" t="s">
        <v>1338</v>
      </c>
      <c r="D1490" s="669" t="s">
        <v>415</v>
      </c>
      <c r="E1490" s="546">
        <v>611.95999800000004</v>
      </c>
    </row>
    <row r="1491" spans="2:5" x14ac:dyDescent="0.25">
      <c r="B1491" s="545">
        <v>1740</v>
      </c>
      <c r="C1491" s="553" t="s">
        <v>6654</v>
      </c>
      <c r="D1491" s="669" t="s">
        <v>415</v>
      </c>
      <c r="E1491" s="546">
        <v>694.79998799999998</v>
      </c>
    </row>
    <row r="1492" spans="2:5" x14ac:dyDescent="0.25">
      <c r="B1492" s="545">
        <v>1741</v>
      </c>
      <c r="C1492" s="553" t="s">
        <v>2765</v>
      </c>
      <c r="D1492" s="669" t="s">
        <v>415</v>
      </c>
      <c r="E1492" s="546">
        <v>678.98332700000003</v>
      </c>
    </row>
    <row r="1493" spans="2:5" x14ac:dyDescent="0.25">
      <c r="B1493" s="545">
        <v>1742</v>
      </c>
      <c r="C1493" s="553" t="s">
        <v>7624</v>
      </c>
      <c r="D1493" s="669" t="s">
        <v>415</v>
      </c>
      <c r="E1493" s="546">
        <v>684.5</v>
      </c>
    </row>
    <row r="1494" spans="2:5" x14ac:dyDescent="0.25">
      <c r="B1494" s="545">
        <v>1743</v>
      </c>
      <c r="C1494" s="553" t="s">
        <v>7331</v>
      </c>
      <c r="D1494" s="669" t="s">
        <v>415</v>
      </c>
      <c r="E1494" s="546">
        <v>667.240002</v>
      </c>
    </row>
    <row r="1495" spans="2:5" x14ac:dyDescent="0.25">
      <c r="B1495" s="545">
        <v>1744</v>
      </c>
      <c r="C1495" s="553" t="s">
        <v>4292</v>
      </c>
      <c r="D1495" s="669" t="s">
        <v>415</v>
      </c>
      <c r="E1495" s="546">
        <v>764.01667299999997</v>
      </c>
    </row>
    <row r="1496" spans="2:5" x14ac:dyDescent="0.25">
      <c r="B1496" s="545">
        <v>1745</v>
      </c>
      <c r="C1496" s="553" t="s">
        <v>7141</v>
      </c>
      <c r="D1496" s="669" t="s">
        <v>415</v>
      </c>
      <c r="E1496" s="546">
        <v>736.17999299999997</v>
      </c>
    </row>
    <row r="1497" spans="2:5" x14ac:dyDescent="0.25">
      <c r="B1497" s="545">
        <v>1746</v>
      </c>
      <c r="C1497" s="553" t="s">
        <v>4382</v>
      </c>
      <c r="D1497" s="669" t="s">
        <v>415</v>
      </c>
      <c r="E1497" s="546">
        <v>770.77691200000004</v>
      </c>
    </row>
    <row r="1498" spans="2:5" x14ac:dyDescent="0.25">
      <c r="B1498" s="545">
        <v>1747</v>
      </c>
      <c r="C1498" s="553" t="s">
        <v>3923</v>
      </c>
      <c r="D1498" s="669" t="s">
        <v>415</v>
      </c>
      <c r="E1498" s="546">
        <v>740.18331899999998</v>
      </c>
    </row>
    <row r="1499" spans="2:5" x14ac:dyDescent="0.25">
      <c r="B1499" s="545">
        <v>1748</v>
      </c>
      <c r="C1499" s="553" t="s">
        <v>7630</v>
      </c>
      <c r="D1499" s="669" t="s">
        <v>415</v>
      </c>
      <c r="E1499" s="546">
        <v>744.96666500000003</v>
      </c>
    </row>
    <row r="1500" spans="2:5" x14ac:dyDescent="0.25">
      <c r="B1500" s="545">
        <v>1749</v>
      </c>
      <c r="C1500" s="553" t="s">
        <v>7000</v>
      </c>
      <c r="D1500" s="669" t="s">
        <v>415</v>
      </c>
      <c r="E1500" s="546">
        <v>676.96667500000001</v>
      </c>
    </row>
    <row r="1501" spans="2:5" x14ac:dyDescent="0.25">
      <c r="B1501" s="545">
        <v>1750</v>
      </c>
      <c r="C1501" s="553" t="s">
        <v>1464</v>
      </c>
      <c r="D1501" s="669" t="s">
        <v>415</v>
      </c>
      <c r="E1501" s="546">
        <v>618.37999300000001</v>
      </c>
    </row>
    <row r="1502" spans="2:5" x14ac:dyDescent="0.25">
      <c r="B1502" s="545">
        <v>1751</v>
      </c>
      <c r="C1502" s="553" t="s">
        <v>1891</v>
      </c>
      <c r="D1502" s="669" t="s">
        <v>415</v>
      </c>
      <c r="E1502" s="546">
        <v>639.53332499999999</v>
      </c>
    </row>
    <row r="1503" spans="2:5" x14ac:dyDescent="0.25">
      <c r="B1503" s="545">
        <v>1752</v>
      </c>
      <c r="C1503" s="553" t="s">
        <v>3630</v>
      </c>
      <c r="D1503" s="669" t="s">
        <v>415</v>
      </c>
      <c r="E1503" s="546">
        <v>723.6</v>
      </c>
    </row>
    <row r="1504" spans="2:5" x14ac:dyDescent="0.25">
      <c r="B1504" s="545">
        <v>1753</v>
      </c>
      <c r="C1504" s="553" t="s">
        <v>3085</v>
      </c>
      <c r="D1504" s="669" t="s">
        <v>415</v>
      </c>
      <c r="E1504" s="546">
        <v>695.26668299999994</v>
      </c>
    </row>
    <row r="1505" spans="2:5" x14ac:dyDescent="0.25">
      <c r="B1505" s="545">
        <v>1754</v>
      </c>
      <c r="C1505" s="553" t="s">
        <v>415</v>
      </c>
      <c r="D1505" s="669" t="s">
        <v>415</v>
      </c>
      <c r="E1505" s="546">
        <v>657.17999299999997</v>
      </c>
    </row>
    <row r="1506" spans="2:5" x14ac:dyDescent="0.25">
      <c r="B1506" s="545">
        <v>1755</v>
      </c>
      <c r="C1506" s="553" t="s">
        <v>1352</v>
      </c>
      <c r="D1506" s="669" t="s">
        <v>415</v>
      </c>
      <c r="E1506" s="546">
        <v>612.59998800000005</v>
      </c>
    </row>
    <row r="1507" spans="2:5" x14ac:dyDescent="0.25">
      <c r="B1507" s="545">
        <v>1756</v>
      </c>
      <c r="C1507" s="553" t="s">
        <v>2303</v>
      </c>
      <c r="D1507" s="669" t="s">
        <v>415</v>
      </c>
      <c r="E1507" s="546">
        <v>657.54998799999998</v>
      </c>
    </row>
    <row r="1508" spans="2:5" x14ac:dyDescent="0.25">
      <c r="B1508" s="545">
        <v>1757</v>
      </c>
      <c r="C1508" s="553" t="s">
        <v>3755</v>
      </c>
      <c r="D1508" s="669" t="s">
        <v>415</v>
      </c>
      <c r="E1508" s="546">
        <v>730.23331700000006</v>
      </c>
    </row>
    <row r="1509" spans="2:5" x14ac:dyDescent="0.25">
      <c r="B1509" s="545">
        <v>1758</v>
      </c>
      <c r="C1509" s="553" t="s">
        <v>1993</v>
      </c>
      <c r="D1509" s="669" t="s">
        <v>415</v>
      </c>
      <c r="E1509" s="546">
        <v>643.16666699999996</v>
      </c>
    </row>
    <row r="1510" spans="2:5" x14ac:dyDescent="0.25">
      <c r="B1510" s="545">
        <v>1759</v>
      </c>
      <c r="C1510" s="553" t="s">
        <v>2015</v>
      </c>
      <c r="D1510" s="669" t="s">
        <v>415</v>
      </c>
      <c r="E1510" s="546">
        <v>643.88571999999999</v>
      </c>
    </row>
    <row r="1511" spans="2:5" x14ac:dyDescent="0.25">
      <c r="B1511" s="545">
        <v>1760</v>
      </c>
      <c r="C1511" s="553" t="s">
        <v>2435</v>
      </c>
      <c r="D1511" s="669" t="s">
        <v>415</v>
      </c>
      <c r="E1511" s="546">
        <v>749.60909200000003</v>
      </c>
    </row>
    <row r="1512" spans="2:5" x14ac:dyDescent="0.25">
      <c r="B1512" s="545">
        <v>1761</v>
      </c>
      <c r="C1512" s="553" t="s">
        <v>4312</v>
      </c>
      <c r="D1512" s="669" t="s">
        <v>415</v>
      </c>
      <c r="E1512" s="546">
        <v>826.71539299999995</v>
      </c>
    </row>
    <row r="1513" spans="2:5" x14ac:dyDescent="0.25">
      <c r="B1513" s="545">
        <v>1762</v>
      </c>
      <c r="C1513" s="553" t="s">
        <v>5224</v>
      </c>
      <c r="D1513" s="669" t="s">
        <v>415</v>
      </c>
      <c r="E1513" s="546">
        <v>849.65000599999996</v>
      </c>
    </row>
    <row r="1514" spans="2:5" x14ac:dyDescent="0.25">
      <c r="B1514" s="545">
        <v>1763</v>
      </c>
      <c r="C1514" s="553" t="s">
        <v>4186</v>
      </c>
      <c r="D1514" s="669" t="s">
        <v>415</v>
      </c>
      <c r="E1514" s="546">
        <v>756.23334799999998</v>
      </c>
    </row>
    <row r="1515" spans="2:5" x14ac:dyDescent="0.25">
      <c r="B1515" s="545">
        <v>1764</v>
      </c>
      <c r="C1515" s="553" t="s">
        <v>3793</v>
      </c>
      <c r="D1515" s="669" t="s">
        <v>415</v>
      </c>
      <c r="E1515" s="546">
        <v>732.25</v>
      </c>
    </row>
    <row r="1516" spans="2:5" x14ac:dyDescent="0.25">
      <c r="B1516" s="545">
        <v>1765</v>
      </c>
      <c r="C1516" s="553" t="s">
        <v>7060</v>
      </c>
      <c r="D1516" s="669" t="s">
        <v>415</v>
      </c>
      <c r="E1516" s="546">
        <v>769.47647300000006</v>
      </c>
    </row>
    <row r="1517" spans="2:5" x14ac:dyDescent="0.25">
      <c r="B1517" s="545">
        <v>1766</v>
      </c>
      <c r="C1517" s="553" t="s">
        <v>4370</v>
      </c>
      <c r="D1517" s="669" t="s">
        <v>415</v>
      </c>
      <c r="E1517" s="546">
        <v>769.86665900000003</v>
      </c>
    </row>
    <row r="1518" spans="2:5" x14ac:dyDescent="0.25">
      <c r="B1518" s="545">
        <v>1767</v>
      </c>
      <c r="C1518" s="553" t="s">
        <v>2838</v>
      </c>
      <c r="D1518" s="669" t="s">
        <v>415</v>
      </c>
      <c r="E1518" s="546">
        <v>683.32499700000005</v>
      </c>
    </row>
    <row r="1519" spans="2:5" x14ac:dyDescent="0.25">
      <c r="B1519" s="545">
        <v>1768</v>
      </c>
      <c r="C1519" s="553" t="s">
        <v>3784</v>
      </c>
      <c r="D1519" s="669" t="s">
        <v>415</v>
      </c>
      <c r="E1519" s="546">
        <v>731.89000199999998</v>
      </c>
    </row>
    <row r="1520" spans="2:5" x14ac:dyDescent="0.25">
      <c r="B1520" s="545">
        <v>1769</v>
      </c>
      <c r="C1520" s="553" t="s">
        <v>3707</v>
      </c>
      <c r="D1520" s="669" t="s">
        <v>415</v>
      </c>
      <c r="E1520" s="546">
        <v>727.6</v>
      </c>
    </row>
    <row r="1521" spans="2:5" x14ac:dyDescent="0.25">
      <c r="B1521" s="545">
        <v>1770</v>
      </c>
      <c r="C1521" s="553" t="s">
        <v>4048</v>
      </c>
      <c r="D1521" s="669" t="s">
        <v>415</v>
      </c>
      <c r="E1521" s="546">
        <v>748.01249700000005</v>
      </c>
    </row>
    <row r="1522" spans="2:5" x14ac:dyDescent="0.25">
      <c r="B1522" s="545">
        <v>1771</v>
      </c>
      <c r="C1522" s="553" t="s">
        <v>4159</v>
      </c>
      <c r="D1522" s="669" t="s">
        <v>415</v>
      </c>
      <c r="E1522" s="546">
        <v>754.50000599999998</v>
      </c>
    </row>
    <row r="1523" spans="2:5" x14ac:dyDescent="0.25">
      <c r="B1523" s="545">
        <v>1772</v>
      </c>
      <c r="C1523" s="553" t="s">
        <v>5199</v>
      </c>
      <c r="D1523" s="669" t="s">
        <v>415</v>
      </c>
      <c r="E1523" s="546">
        <v>845.55454299999997</v>
      </c>
    </row>
    <row r="1524" spans="2:5" x14ac:dyDescent="0.25">
      <c r="B1524" s="545">
        <v>1773</v>
      </c>
      <c r="C1524" s="553" t="s">
        <v>4735</v>
      </c>
      <c r="D1524" s="669" t="s">
        <v>415</v>
      </c>
      <c r="E1524" s="546">
        <v>799.16666699999996</v>
      </c>
    </row>
    <row r="1525" spans="2:5" x14ac:dyDescent="0.25">
      <c r="B1525" s="545">
        <v>1774</v>
      </c>
      <c r="C1525" s="553" t="s">
        <v>5315</v>
      </c>
      <c r="D1525" s="669" t="s">
        <v>415</v>
      </c>
      <c r="E1525" s="546">
        <v>864.90002400000003</v>
      </c>
    </row>
    <row r="1526" spans="2:5" x14ac:dyDescent="0.25">
      <c r="B1526" s="545">
        <v>1775</v>
      </c>
      <c r="C1526" s="553" t="s">
        <v>5194</v>
      </c>
      <c r="D1526" s="669" t="s">
        <v>415</v>
      </c>
      <c r="E1526" s="546">
        <v>844.97776999999996</v>
      </c>
    </row>
    <row r="1527" spans="2:5" x14ac:dyDescent="0.25">
      <c r="B1527" s="545">
        <v>1776</v>
      </c>
      <c r="C1527" s="553" t="s">
        <v>5227</v>
      </c>
      <c r="D1527" s="669" t="s">
        <v>415</v>
      </c>
      <c r="E1527" s="546">
        <v>850.13999000000001</v>
      </c>
    </row>
    <row r="1528" spans="2:5" x14ac:dyDescent="0.25">
      <c r="B1528" s="545">
        <v>1777</v>
      </c>
      <c r="C1528" s="553" t="s">
        <v>4727</v>
      </c>
      <c r="D1528" s="669" t="s">
        <v>415</v>
      </c>
      <c r="E1528" s="546">
        <v>798.25001499999996</v>
      </c>
    </row>
    <row r="1529" spans="2:5" x14ac:dyDescent="0.25">
      <c r="B1529" s="545">
        <v>1778</v>
      </c>
      <c r="C1529" s="553" t="s">
        <v>3642</v>
      </c>
      <c r="D1529" s="669" t="s">
        <v>415</v>
      </c>
      <c r="E1529" s="546">
        <v>724.00001199999997</v>
      </c>
    </row>
    <row r="1530" spans="2:5" x14ac:dyDescent="0.25">
      <c r="B1530" s="545">
        <v>1779</v>
      </c>
      <c r="C1530" s="553" t="s">
        <v>6819</v>
      </c>
      <c r="D1530" s="669" t="s">
        <v>415</v>
      </c>
      <c r="E1530" s="546">
        <v>762.41665599999999</v>
      </c>
    </row>
    <row r="1531" spans="2:5" x14ac:dyDescent="0.25">
      <c r="B1531" s="545">
        <v>1780</v>
      </c>
      <c r="C1531" s="553" t="s">
        <v>3956</v>
      </c>
      <c r="D1531" s="669" t="s">
        <v>415</v>
      </c>
      <c r="E1531" s="546">
        <v>742.19999900000005</v>
      </c>
    </row>
    <row r="1532" spans="2:5" x14ac:dyDescent="0.25">
      <c r="B1532" s="545">
        <v>1781</v>
      </c>
      <c r="C1532" s="553" t="s">
        <v>2715</v>
      </c>
      <c r="D1532" s="669" t="s">
        <v>415</v>
      </c>
      <c r="E1532" s="546">
        <v>676.57499700000005</v>
      </c>
    </row>
    <row r="1533" spans="2:5" x14ac:dyDescent="0.25">
      <c r="B1533" s="545">
        <v>1782</v>
      </c>
      <c r="C1533" s="553" t="s">
        <v>3056</v>
      </c>
      <c r="D1533" s="669" t="s">
        <v>415</v>
      </c>
      <c r="E1533" s="546">
        <v>693.79998799999998</v>
      </c>
    </row>
    <row r="1534" spans="2:5" x14ac:dyDescent="0.25">
      <c r="B1534" s="545">
        <v>1783</v>
      </c>
      <c r="C1534" s="553" t="s">
        <v>6644</v>
      </c>
      <c r="D1534" s="669" t="s">
        <v>415</v>
      </c>
      <c r="E1534" s="546">
        <v>673.80000800000005</v>
      </c>
    </row>
    <row r="1535" spans="2:5" x14ac:dyDescent="0.25">
      <c r="B1535" s="545">
        <v>1784</v>
      </c>
      <c r="C1535" s="553" t="s">
        <v>4344</v>
      </c>
      <c r="D1535" s="669" t="s">
        <v>415</v>
      </c>
      <c r="E1535" s="546">
        <v>767.72499600000003</v>
      </c>
    </row>
    <row r="1536" spans="2:5" x14ac:dyDescent="0.25">
      <c r="B1536" s="545">
        <v>1785</v>
      </c>
      <c r="C1536" s="553" t="s">
        <v>3922</v>
      </c>
      <c r="D1536" s="669" t="s">
        <v>415</v>
      </c>
      <c r="E1536" s="546">
        <v>740.177775</v>
      </c>
    </row>
    <row r="1537" spans="2:5" x14ac:dyDescent="0.25">
      <c r="B1537" s="545">
        <v>1786</v>
      </c>
      <c r="C1537" s="553" t="s">
        <v>2957</v>
      </c>
      <c r="D1537" s="669" t="s">
        <v>415</v>
      </c>
      <c r="E1537" s="546">
        <v>688.29998799999998</v>
      </c>
    </row>
    <row r="1538" spans="2:5" x14ac:dyDescent="0.25">
      <c r="B1538" s="545">
        <v>1787</v>
      </c>
      <c r="C1538" s="553" t="s">
        <v>4077</v>
      </c>
      <c r="D1538" s="669" t="s">
        <v>415</v>
      </c>
      <c r="E1538" s="546">
        <v>749.86922500000003</v>
      </c>
    </row>
    <row r="1539" spans="2:5" x14ac:dyDescent="0.25">
      <c r="B1539" s="545">
        <v>1788</v>
      </c>
      <c r="C1539" s="553" t="s">
        <v>4251</v>
      </c>
      <c r="D1539" s="669" t="s">
        <v>415</v>
      </c>
      <c r="E1539" s="546">
        <v>761.06152799999995</v>
      </c>
    </row>
    <row r="1540" spans="2:5" x14ac:dyDescent="0.25">
      <c r="B1540" s="545">
        <v>1789</v>
      </c>
      <c r="C1540" s="553" t="s">
        <v>4537</v>
      </c>
      <c r="D1540" s="669" t="s">
        <v>415</v>
      </c>
      <c r="E1540" s="546">
        <v>782.84375399999999</v>
      </c>
    </row>
    <row r="1541" spans="2:5" x14ac:dyDescent="0.25">
      <c r="B1541" s="545">
        <v>1790</v>
      </c>
      <c r="C1541" s="553" t="s">
        <v>2512</v>
      </c>
      <c r="D1541" s="669" t="s">
        <v>415</v>
      </c>
      <c r="E1541" s="546">
        <v>666.31250799999998</v>
      </c>
    </row>
    <row r="1542" spans="2:5" x14ac:dyDescent="0.25">
      <c r="B1542" s="545">
        <v>1791</v>
      </c>
      <c r="C1542" s="553" t="s">
        <v>3114</v>
      </c>
      <c r="D1542" s="669" t="s">
        <v>415</v>
      </c>
      <c r="E1542" s="546">
        <v>696.81667100000004</v>
      </c>
    </row>
    <row r="1543" spans="2:5" x14ac:dyDescent="0.25">
      <c r="B1543" s="545">
        <v>1792</v>
      </c>
      <c r="C1543" s="553" t="s">
        <v>4118</v>
      </c>
      <c r="D1543" s="669" t="s">
        <v>415</v>
      </c>
      <c r="E1543" s="546">
        <v>752</v>
      </c>
    </row>
    <row r="1544" spans="2:5" x14ac:dyDescent="0.25">
      <c r="B1544" s="545">
        <v>1793</v>
      </c>
      <c r="C1544" s="553" t="s">
        <v>3416</v>
      </c>
      <c r="D1544" s="669" t="s">
        <v>415</v>
      </c>
      <c r="E1544" s="546">
        <v>725.41667700000005</v>
      </c>
    </row>
    <row r="1545" spans="2:5" x14ac:dyDescent="0.25">
      <c r="B1545" s="545">
        <v>1794</v>
      </c>
      <c r="C1545" s="553" t="s">
        <v>2565</v>
      </c>
      <c r="D1545" s="669" t="s">
        <v>415</v>
      </c>
      <c r="E1545" s="546">
        <v>668.95001200000002</v>
      </c>
    </row>
    <row r="1546" spans="2:5" x14ac:dyDescent="0.25">
      <c r="B1546" s="545">
        <v>1795</v>
      </c>
      <c r="C1546" s="553" t="s">
        <v>2706</v>
      </c>
      <c r="D1546" s="669" t="s">
        <v>415</v>
      </c>
      <c r="E1546" s="546">
        <v>676.09997599999997</v>
      </c>
    </row>
    <row r="1547" spans="2:5" x14ac:dyDescent="0.25">
      <c r="B1547" s="545">
        <v>1796</v>
      </c>
      <c r="C1547" s="553" t="s">
        <v>1888</v>
      </c>
      <c r="D1547" s="669" t="s">
        <v>415</v>
      </c>
      <c r="E1547" s="546">
        <v>639.45001200000002</v>
      </c>
    </row>
    <row r="1548" spans="2:5" x14ac:dyDescent="0.25">
      <c r="B1548" s="545">
        <v>1797</v>
      </c>
      <c r="C1548" s="553" t="s">
        <v>3804</v>
      </c>
      <c r="D1548" s="669" t="s">
        <v>415</v>
      </c>
      <c r="E1548" s="546">
        <v>733.14999399999999</v>
      </c>
    </row>
    <row r="1549" spans="2:5" x14ac:dyDescent="0.25">
      <c r="B1549" s="545">
        <v>1798</v>
      </c>
      <c r="C1549" s="553" t="s">
        <v>4013</v>
      </c>
      <c r="D1549" s="669" t="s">
        <v>415</v>
      </c>
      <c r="E1549" s="546">
        <v>745.80000500000006</v>
      </c>
    </row>
    <row r="1550" spans="2:5" x14ac:dyDescent="0.25">
      <c r="B1550" s="545">
        <v>1799</v>
      </c>
      <c r="C1550" s="553" t="s">
        <v>4057</v>
      </c>
      <c r="D1550" s="669" t="s">
        <v>415</v>
      </c>
      <c r="E1550" s="546">
        <v>748.67334000000005</v>
      </c>
    </row>
    <row r="1551" spans="2:5" x14ac:dyDescent="0.25">
      <c r="B1551" s="545">
        <v>1800</v>
      </c>
      <c r="C1551" s="553" t="s">
        <v>2182</v>
      </c>
      <c r="D1551" s="669" t="s">
        <v>415</v>
      </c>
      <c r="E1551" s="546">
        <v>652.27499899999998</v>
      </c>
    </row>
    <row r="1552" spans="2:5" x14ac:dyDescent="0.25">
      <c r="B1552" s="545">
        <v>1801</v>
      </c>
      <c r="C1552" s="553" t="s">
        <v>1638</v>
      </c>
      <c r="D1552" s="669" t="s">
        <v>415</v>
      </c>
      <c r="E1552" s="546">
        <v>628.32499700000005</v>
      </c>
    </row>
    <row r="1553" spans="2:5" x14ac:dyDescent="0.25">
      <c r="B1553" s="545">
        <v>1802</v>
      </c>
      <c r="C1553" s="553" t="s">
        <v>1025</v>
      </c>
      <c r="D1553" s="669" t="s">
        <v>415</v>
      </c>
      <c r="E1553" s="546">
        <v>591.79998799999998</v>
      </c>
    </row>
    <row r="1554" spans="2:5" x14ac:dyDescent="0.25">
      <c r="B1554" s="545">
        <v>1803</v>
      </c>
      <c r="C1554" s="553" t="s">
        <v>6587</v>
      </c>
      <c r="D1554" s="669" t="s">
        <v>415</v>
      </c>
      <c r="E1554" s="546">
        <v>635.43333900000005</v>
      </c>
    </row>
    <row r="1555" spans="2:5" x14ac:dyDescent="0.25">
      <c r="B1555" s="545">
        <v>1804</v>
      </c>
      <c r="C1555" s="553" t="s">
        <v>1261</v>
      </c>
      <c r="D1555" s="669" t="s">
        <v>415</v>
      </c>
      <c r="E1555" s="546">
        <v>607.14999399999999</v>
      </c>
    </row>
    <row r="1556" spans="2:5" x14ac:dyDescent="0.25">
      <c r="B1556" s="545">
        <v>1805</v>
      </c>
      <c r="C1556" s="553" t="s">
        <v>2526</v>
      </c>
      <c r="D1556" s="669" t="s">
        <v>415</v>
      </c>
      <c r="E1556" s="546">
        <v>667.46666100000004</v>
      </c>
    </row>
    <row r="1557" spans="2:5" x14ac:dyDescent="0.25">
      <c r="B1557" s="545">
        <v>1806</v>
      </c>
      <c r="C1557" s="553" t="s">
        <v>1299</v>
      </c>
      <c r="D1557" s="669" t="s">
        <v>415</v>
      </c>
      <c r="E1557" s="546">
        <v>609.69999199999995</v>
      </c>
    </row>
    <row r="1558" spans="2:5" x14ac:dyDescent="0.25">
      <c r="B1558" s="545">
        <v>1807</v>
      </c>
      <c r="C1558" s="553" t="s">
        <v>1137</v>
      </c>
      <c r="D1558" s="669" t="s">
        <v>415</v>
      </c>
      <c r="E1558" s="546">
        <v>599.74545000000001</v>
      </c>
    </row>
    <row r="1559" spans="2:5" x14ac:dyDescent="0.25">
      <c r="B1559" s="545">
        <v>1808</v>
      </c>
      <c r="C1559" s="553" t="s">
        <v>3420</v>
      </c>
      <c r="D1559" s="669" t="s">
        <v>416</v>
      </c>
      <c r="E1559" s="546">
        <v>712.26000999999997</v>
      </c>
    </row>
    <row r="1560" spans="2:5" x14ac:dyDescent="0.25">
      <c r="B1560" s="545">
        <v>1809</v>
      </c>
      <c r="C1560" s="553" t="s">
        <v>3398</v>
      </c>
      <c r="D1560" s="669" t="s">
        <v>416</v>
      </c>
      <c r="E1560" s="546">
        <v>710.83998999999994</v>
      </c>
    </row>
    <row r="1561" spans="2:5" x14ac:dyDescent="0.25">
      <c r="B1561" s="545">
        <v>1810</v>
      </c>
      <c r="C1561" s="553" t="s">
        <v>6785</v>
      </c>
      <c r="D1561" s="669" t="s">
        <v>416</v>
      </c>
      <c r="E1561" s="546">
        <v>704.16667700000005</v>
      </c>
    </row>
    <row r="1562" spans="2:5" x14ac:dyDescent="0.25">
      <c r="B1562" s="545">
        <v>1811</v>
      </c>
      <c r="C1562" s="553" t="s">
        <v>1594</v>
      </c>
      <c r="D1562" s="669" t="s">
        <v>416</v>
      </c>
      <c r="E1562" s="546">
        <v>626.14999399999999</v>
      </c>
    </row>
    <row r="1563" spans="2:5" x14ac:dyDescent="0.25">
      <c r="B1563" s="545">
        <v>1812</v>
      </c>
      <c r="C1563" s="553" t="s">
        <v>2106</v>
      </c>
      <c r="D1563" s="669" t="s">
        <v>416</v>
      </c>
      <c r="E1563" s="546">
        <v>648.79998799999998</v>
      </c>
    </row>
    <row r="1564" spans="2:5" x14ac:dyDescent="0.25">
      <c r="B1564" s="545">
        <v>1813</v>
      </c>
      <c r="C1564" s="553" t="s">
        <v>2212</v>
      </c>
      <c r="D1564" s="669" t="s">
        <v>416</v>
      </c>
      <c r="E1564" s="546">
        <v>653.41999499999997</v>
      </c>
    </row>
    <row r="1565" spans="2:5" x14ac:dyDescent="0.25">
      <c r="B1565" s="545">
        <v>1814</v>
      </c>
      <c r="C1565" s="553" t="s">
        <v>2146</v>
      </c>
      <c r="D1565" s="669" t="s">
        <v>416</v>
      </c>
      <c r="E1565" s="546">
        <v>650.60000600000001</v>
      </c>
    </row>
    <row r="1566" spans="2:5" x14ac:dyDescent="0.25">
      <c r="B1566" s="545">
        <v>1815</v>
      </c>
      <c r="C1566" s="553" t="s">
        <v>2220</v>
      </c>
      <c r="D1566" s="669" t="s">
        <v>416</v>
      </c>
      <c r="E1566" s="546">
        <v>653.88748899999996</v>
      </c>
    </row>
    <row r="1567" spans="2:5" x14ac:dyDescent="0.25">
      <c r="B1567" s="545">
        <v>1816</v>
      </c>
      <c r="C1567" s="553" t="s">
        <v>2078</v>
      </c>
      <c r="D1567" s="669" t="s">
        <v>416</v>
      </c>
      <c r="E1567" s="546">
        <v>647.20000000000005</v>
      </c>
    </row>
    <row r="1568" spans="2:5" x14ac:dyDescent="0.25">
      <c r="B1568" s="545">
        <v>1817</v>
      </c>
      <c r="C1568" s="553" t="s">
        <v>7498</v>
      </c>
      <c r="D1568" s="669" t="s">
        <v>416</v>
      </c>
      <c r="E1568" s="546">
        <v>653.75</v>
      </c>
    </row>
    <row r="1569" spans="2:5" x14ac:dyDescent="0.25">
      <c r="B1569" s="545">
        <v>1818</v>
      </c>
      <c r="C1569" s="553" t="s">
        <v>2151</v>
      </c>
      <c r="D1569" s="669" t="s">
        <v>416</v>
      </c>
      <c r="E1569" s="546">
        <v>650.83998999999994</v>
      </c>
    </row>
    <row r="1570" spans="2:5" x14ac:dyDescent="0.25">
      <c r="B1570" s="545">
        <v>1819</v>
      </c>
      <c r="C1570" s="553" t="s">
        <v>1072</v>
      </c>
      <c r="D1570" s="669" t="s">
        <v>416</v>
      </c>
      <c r="E1570" s="546">
        <v>723.65998500000001</v>
      </c>
    </row>
    <row r="1571" spans="2:5" x14ac:dyDescent="0.25">
      <c r="B1571" s="545">
        <v>1820</v>
      </c>
      <c r="C1571" s="553" t="s">
        <v>1899</v>
      </c>
      <c r="D1571" s="669" t="s">
        <v>416</v>
      </c>
      <c r="E1571" s="546">
        <v>639.79999499999997</v>
      </c>
    </row>
    <row r="1572" spans="2:5" x14ac:dyDescent="0.25">
      <c r="B1572" s="545">
        <v>1821</v>
      </c>
      <c r="C1572" s="553" t="s">
        <v>1802</v>
      </c>
      <c r="D1572" s="669" t="s">
        <v>416</v>
      </c>
      <c r="E1572" s="546">
        <v>636.16666699999996</v>
      </c>
    </row>
    <row r="1573" spans="2:5" x14ac:dyDescent="0.25">
      <c r="B1573" s="545">
        <v>1822</v>
      </c>
      <c r="C1573" s="553" t="s">
        <v>3327</v>
      </c>
      <c r="D1573" s="669" t="s">
        <v>416</v>
      </c>
      <c r="E1573" s="546">
        <v>707.40625</v>
      </c>
    </row>
    <row r="1574" spans="2:5" x14ac:dyDescent="0.25">
      <c r="B1574" s="545">
        <v>1823</v>
      </c>
      <c r="C1574" s="553" t="s">
        <v>3829</v>
      </c>
      <c r="D1574" s="669" t="s">
        <v>416</v>
      </c>
      <c r="E1574" s="546">
        <v>734.60001</v>
      </c>
    </row>
    <row r="1575" spans="2:5" x14ac:dyDescent="0.25">
      <c r="B1575" s="545">
        <v>1824</v>
      </c>
      <c r="C1575" s="553" t="s">
        <v>3695</v>
      </c>
      <c r="D1575" s="669" t="s">
        <v>416</v>
      </c>
      <c r="E1575" s="546">
        <v>726.81666600000005</v>
      </c>
    </row>
    <row r="1576" spans="2:5" x14ac:dyDescent="0.25">
      <c r="B1576" s="545">
        <v>1825</v>
      </c>
      <c r="C1576" s="553" t="s">
        <v>4140</v>
      </c>
      <c r="D1576" s="669" t="s">
        <v>416</v>
      </c>
      <c r="E1576" s="546">
        <v>753.5</v>
      </c>
    </row>
    <row r="1577" spans="2:5" x14ac:dyDescent="0.25">
      <c r="B1577" s="545">
        <v>1826</v>
      </c>
      <c r="C1577" s="553" t="s">
        <v>3852</v>
      </c>
      <c r="D1577" s="669" t="s">
        <v>416</v>
      </c>
      <c r="E1577" s="546">
        <v>735.70001200000002</v>
      </c>
    </row>
    <row r="1578" spans="2:5" x14ac:dyDescent="0.25">
      <c r="B1578" s="545">
        <v>1827</v>
      </c>
      <c r="C1578" s="553" t="s">
        <v>4241</v>
      </c>
      <c r="D1578" s="669" t="s">
        <v>416</v>
      </c>
      <c r="E1578" s="546">
        <v>760.46363399999996</v>
      </c>
    </row>
    <row r="1579" spans="2:5" x14ac:dyDescent="0.25">
      <c r="B1579" s="545">
        <v>1828</v>
      </c>
      <c r="C1579" s="553" t="s">
        <v>848</v>
      </c>
      <c r="D1579" s="669" t="s">
        <v>416</v>
      </c>
      <c r="E1579" s="546">
        <v>780.97272799999996</v>
      </c>
    </row>
    <row r="1580" spans="2:5" x14ac:dyDescent="0.25">
      <c r="B1580" s="545">
        <v>1829</v>
      </c>
      <c r="C1580" s="553" t="s">
        <v>1461</v>
      </c>
      <c r="D1580" s="669" t="s">
        <v>416</v>
      </c>
      <c r="E1580" s="546">
        <v>731.92500299999995</v>
      </c>
    </row>
    <row r="1581" spans="2:5" x14ac:dyDescent="0.25">
      <c r="B1581" s="545">
        <v>1830</v>
      </c>
      <c r="C1581" s="553" t="s">
        <v>4065</v>
      </c>
      <c r="D1581" s="669" t="s">
        <v>416</v>
      </c>
      <c r="E1581" s="546">
        <v>749.12856599999998</v>
      </c>
    </row>
    <row r="1582" spans="2:5" x14ac:dyDescent="0.25">
      <c r="B1582" s="545">
        <v>1831</v>
      </c>
      <c r="C1582" s="553" t="s">
        <v>6927</v>
      </c>
      <c r="D1582" s="669" t="s">
        <v>416</v>
      </c>
      <c r="E1582" s="546">
        <v>749.26667299999997</v>
      </c>
    </row>
    <row r="1583" spans="2:5" x14ac:dyDescent="0.25">
      <c r="B1583" s="545">
        <v>1832</v>
      </c>
      <c r="C1583" s="553" t="s">
        <v>3876</v>
      </c>
      <c r="D1583" s="669" t="s">
        <v>416</v>
      </c>
      <c r="E1583" s="546">
        <v>737.35000600000001</v>
      </c>
    </row>
    <row r="1584" spans="2:5" x14ac:dyDescent="0.25">
      <c r="B1584" s="545">
        <v>1833</v>
      </c>
      <c r="C1584" s="553" t="s">
        <v>4257</v>
      </c>
      <c r="D1584" s="669" t="s">
        <v>416</v>
      </c>
      <c r="E1584" s="546">
        <v>761.69999199999995</v>
      </c>
    </row>
    <row r="1585" spans="2:5" x14ac:dyDescent="0.25">
      <c r="B1585" s="545">
        <v>1834</v>
      </c>
      <c r="C1585" s="553" t="s">
        <v>4027</v>
      </c>
      <c r="D1585" s="669" t="s">
        <v>416</v>
      </c>
      <c r="E1585" s="546">
        <v>746.80000299999995</v>
      </c>
    </row>
    <row r="1586" spans="2:5" x14ac:dyDescent="0.25">
      <c r="B1586" s="545">
        <v>1837</v>
      </c>
      <c r="C1586" s="553" t="s">
        <v>1356</v>
      </c>
      <c r="D1586" s="669" t="s">
        <v>415</v>
      </c>
      <c r="E1586" s="546">
        <v>612.79998799999998</v>
      </c>
    </row>
    <row r="1587" spans="2:5" x14ac:dyDescent="0.25">
      <c r="B1587" s="545">
        <v>1851</v>
      </c>
      <c r="C1587" s="553" t="s">
        <v>6688</v>
      </c>
      <c r="D1587" s="669" t="s">
        <v>412</v>
      </c>
      <c r="E1587" s="546">
        <v>908.94000200000005</v>
      </c>
    </row>
    <row r="1588" spans="2:5" x14ac:dyDescent="0.25">
      <c r="B1588" s="545">
        <v>1852</v>
      </c>
      <c r="C1588" s="553" t="s">
        <v>6687</v>
      </c>
      <c r="D1588" s="669" t="s">
        <v>412</v>
      </c>
      <c r="E1588" s="546">
        <v>851.59997599999997</v>
      </c>
    </row>
    <row r="1589" spans="2:5" x14ac:dyDescent="0.25">
      <c r="B1589" s="545">
        <v>1853</v>
      </c>
      <c r="C1589" s="553" t="s">
        <v>7483</v>
      </c>
      <c r="D1589" s="669" t="s">
        <v>412</v>
      </c>
      <c r="E1589" s="546">
        <v>920.2</v>
      </c>
    </row>
    <row r="1590" spans="2:5" x14ac:dyDescent="0.25">
      <c r="B1590" s="545">
        <v>1854</v>
      </c>
      <c r="C1590" s="553" t="s">
        <v>4225</v>
      </c>
      <c r="D1590" s="669" t="s">
        <v>412</v>
      </c>
      <c r="E1590" s="546">
        <v>885.96001000000001</v>
      </c>
    </row>
    <row r="1591" spans="2:5" x14ac:dyDescent="0.25">
      <c r="B1591" s="545">
        <v>1855</v>
      </c>
      <c r="C1591" s="553" t="s">
        <v>4902</v>
      </c>
      <c r="D1591" s="669" t="s">
        <v>412</v>
      </c>
      <c r="E1591" s="546">
        <v>812.34286099999997</v>
      </c>
    </row>
    <row r="1592" spans="2:5" x14ac:dyDescent="0.25">
      <c r="B1592" s="545">
        <v>1856</v>
      </c>
      <c r="C1592" s="553" t="s">
        <v>4943</v>
      </c>
      <c r="D1592" s="669" t="s">
        <v>412</v>
      </c>
      <c r="E1592" s="546">
        <v>815.883331</v>
      </c>
    </row>
    <row r="1593" spans="2:5" x14ac:dyDescent="0.25">
      <c r="B1593" s="545">
        <v>1857</v>
      </c>
      <c r="C1593" s="553" t="s">
        <v>6567</v>
      </c>
      <c r="D1593" s="669" t="s">
        <v>412</v>
      </c>
      <c r="E1593" s="546">
        <v>834.21999500000004</v>
      </c>
    </row>
    <row r="1594" spans="2:5" x14ac:dyDescent="0.25">
      <c r="B1594" s="545">
        <v>1858</v>
      </c>
      <c r="C1594" s="553" t="s">
        <v>5339</v>
      </c>
      <c r="D1594" s="669" t="s">
        <v>412</v>
      </c>
      <c r="E1594" s="546">
        <v>869.31667100000004</v>
      </c>
    </row>
    <row r="1595" spans="2:5" x14ac:dyDescent="0.25">
      <c r="B1595" s="545">
        <v>1859</v>
      </c>
      <c r="C1595" s="553" t="s">
        <v>6619</v>
      </c>
      <c r="D1595" s="669" t="s">
        <v>412</v>
      </c>
      <c r="E1595" s="546">
        <v>818.13334099999997</v>
      </c>
    </row>
    <row r="1596" spans="2:5" x14ac:dyDescent="0.25">
      <c r="B1596" s="545">
        <v>1860</v>
      </c>
      <c r="C1596" s="553" t="s">
        <v>3592</v>
      </c>
      <c r="D1596" s="669" t="s">
        <v>412</v>
      </c>
      <c r="E1596" s="546">
        <v>720.86666500000001</v>
      </c>
    </row>
    <row r="1597" spans="2:5" x14ac:dyDescent="0.25">
      <c r="B1597" s="545">
        <v>1861</v>
      </c>
      <c r="C1597" s="553" t="s">
        <v>4090</v>
      </c>
      <c r="D1597" s="669" t="s">
        <v>412</v>
      </c>
      <c r="E1597" s="546">
        <v>750.54285500000003</v>
      </c>
    </row>
    <row r="1598" spans="2:5" x14ac:dyDescent="0.25">
      <c r="B1598" s="545">
        <v>1862</v>
      </c>
      <c r="C1598" s="553" t="s">
        <v>3325</v>
      </c>
      <c r="D1598" s="669" t="s">
        <v>412</v>
      </c>
      <c r="E1598" s="546">
        <v>707.31667100000004</v>
      </c>
    </row>
    <row r="1599" spans="2:5" x14ac:dyDescent="0.25">
      <c r="B1599" s="545">
        <v>1863</v>
      </c>
      <c r="C1599" s="553" t="s">
        <v>3452</v>
      </c>
      <c r="D1599" s="669" t="s">
        <v>412</v>
      </c>
      <c r="E1599" s="546">
        <v>713.40002400000003</v>
      </c>
    </row>
    <row r="1600" spans="2:5" x14ac:dyDescent="0.25">
      <c r="B1600" s="545">
        <v>1864</v>
      </c>
      <c r="C1600" s="553" t="s">
        <v>4226</v>
      </c>
      <c r="D1600" s="669" t="s">
        <v>412</v>
      </c>
      <c r="E1600" s="546">
        <v>759.60001199999999</v>
      </c>
    </row>
    <row r="1601" spans="2:5" x14ac:dyDescent="0.25">
      <c r="B1601" s="545">
        <v>1865</v>
      </c>
      <c r="C1601" s="553" t="s">
        <v>2705</v>
      </c>
      <c r="D1601" s="669" t="s">
        <v>412</v>
      </c>
      <c r="E1601" s="546">
        <v>758.21667500000001</v>
      </c>
    </row>
    <row r="1602" spans="2:5" x14ac:dyDescent="0.25">
      <c r="B1602" s="545">
        <v>1866</v>
      </c>
      <c r="C1602" s="553" t="s">
        <v>6962</v>
      </c>
      <c r="D1602" s="669" t="s">
        <v>412</v>
      </c>
      <c r="E1602" s="546">
        <v>755.85998500000005</v>
      </c>
    </row>
    <row r="1603" spans="2:5" x14ac:dyDescent="0.25">
      <c r="B1603" s="545">
        <v>1867</v>
      </c>
      <c r="C1603" s="553" t="s">
        <v>6707</v>
      </c>
      <c r="D1603" s="669" t="s">
        <v>412</v>
      </c>
      <c r="E1603" s="546">
        <v>716.94999700000005</v>
      </c>
    </row>
    <row r="1604" spans="2:5" x14ac:dyDescent="0.25">
      <c r="B1604" s="545">
        <v>1868</v>
      </c>
      <c r="C1604" s="553" t="s">
        <v>3008</v>
      </c>
      <c r="D1604" s="669" t="s">
        <v>412</v>
      </c>
      <c r="E1604" s="546">
        <v>691.15000899999995</v>
      </c>
    </row>
    <row r="1605" spans="2:5" x14ac:dyDescent="0.25">
      <c r="B1605" s="545">
        <v>1869</v>
      </c>
      <c r="C1605" s="553" t="s">
        <v>7519</v>
      </c>
      <c r="D1605" s="669" t="s">
        <v>412</v>
      </c>
      <c r="E1605" s="546">
        <v>653.67500299999995</v>
      </c>
    </row>
    <row r="1606" spans="2:5" x14ac:dyDescent="0.25">
      <c r="B1606" s="545">
        <v>1870</v>
      </c>
      <c r="C1606" s="553" t="s">
        <v>3902</v>
      </c>
      <c r="D1606" s="669" t="s">
        <v>412</v>
      </c>
      <c r="E1606" s="546">
        <v>739.19999199999995</v>
      </c>
    </row>
    <row r="1607" spans="2:5" x14ac:dyDescent="0.25">
      <c r="B1607" s="545">
        <v>1871</v>
      </c>
      <c r="C1607" s="553" t="s">
        <v>6828</v>
      </c>
      <c r="D1607" s="669" t="s">
        <v>412</v>
      </c>
      <c r="E1607" s="546">
        <v>695.69999199999995</v>
      </c>
    </row>
    <row r="1608" spans="2:5" x14ac:dyDescent="0.25">
      <c r="B1608" s="545">
        <v>1872</v>
      </c>
      <c r="C1608" s="553" t="s">
        <v>3866</v>
      </c>
      <c r="D1608" s="669" t="s">
        <v>412</v>
      </c>
      <c r="E1608" s="546">
        <v>736.61999500000002</v>
      </c>
    </row>
    <row r="1609" spans="2:5" x14ac:dyDescent="0.25">
      <c r="B1609" s="545">
        <v>1873</v>
      </c>
      <c r="C1609" s="553" t="s">
        <v>1426</v>
      </c>
      <c r="D1609" s="669" t="s">
        <v>412</v>
      </c>
      <c r="E1609" s="546">
        <v>760.15000899999995</v>
      </c>
    </row>
    <row r="1610" spans="2:5" x14ac:dyDescent="0.25">
      <c r="B1610" s="545">
        <v>1874</v>
      </c>
      <c r="C1610" s="553" t="s">
        <v>6591</v>
      </c>
      <c r="D1610" s="669" t="s">
        <v>412</v>
      </c>
      <c r="E1610" s="546">
        <v>699.78666599999997</v>
      </c>
    </row>
    <row r="1611" spans="2:5" x14ac:dyDescent="0.25">
      <c r="B1611" s="545">
        <v>1875</v>
      </c>
      <c r="C1611" s="553" t="s">
        <v>4173</v>
      </c>
      <c r="D1611" s="669" t="s">
        <v>412</v>
      </c>
      <c r="E1611" s="546">
        <v>755.59997599999997</v>
      </c>
    </row>
    <row r="1612" spans="2:5" x14ac:dyDescent="0.25">
      <c r="B1612" s="545">
        <v>1876</v>
      </c>
      <c r="C1612" s="553" t="s">
        <v>2549</v>
      </c>
      <c r="D1612" s="669" t="s">
        <v>412</v>
      </c>
      <c r="E1612" s="546">
        <v>668.59000200000003</v>
      </c>
    </row>
    <row r="1613" spans="2:5" x14ac:dyDescent="0.25">
      <c r="B1613" s="545">
        <v>1877</v>
      </c>
      <c r="C1613" s="553" t="s">
        <v>2362</v>
      </c>
      <c r="D1613" s="669" t="s">
        <v>412</v>
      </c>
      <c r="E1613" s="546">
        <v>660.30001800000002</v>
      </c>
    </row>
    <row r="1614" spans="2:5" x14ac:dyDescent="0.25">
      <c r="B1614" s="545">
        <v>1878</v>
      </c>
      <c r="C1614" s="553" t="s">
        <v>7052</v>
      </c>
      <c r="D1614" s="669" t="s">
        <v>412</v>
      </c>
      <c r="E1614" s="546">
        <v>666.02000699999996</v>
      </c>
    </row>
    <row r="1615" spans="2:5" x14ac:dyDescent="0.25">
      <c r="B1615" s="545">
        <v>1879</v>
      </c>
      <c r="C1615" s="553" t="s">
        <v>2372</v>
      </c>
      <c r="D1615" s="669" t="s">
        <v>412</v>
      </c>
      <c r="E1615" s="546">
        <v>660.67142200000001</v>
      </c>
    </row>
    <row r="1616" spans="2:5" x14ac:dyDescent="0.25">
      <c r="B1616" s="545">
        <v>1880</v>
      </c>
      <c r="C1616" s="553" t="s">
        <v>7220</v>
      </c>
      <c r="D1616" s="669" t="s">
        <v>412</v>
      </c>
      <c r="E1616" s="546">
        <v>688.11999500000002</v>
      </c>
    </row>
    <row r="1617" spans="2:5" x14ac:dyDescent="0.25">
      <c r="B1617" s="545">
        <v>1881</v>
      </c>
      <c r="C1617" s="553" t="s">
        <v>2395</v>
      </c>
      <c r="D1617" s="669" t="s">
        <v>412</v>
      </c>
      <c r="E1617" s="546">
        <v>661.91333399999996</v>
      </c>
    </row>
    <row r="1618" spans="2:5" x14ac:dyDescent="0.25">
      <c r="B1618" s="545">
        <v>1882</v>
      </c>
      <c r="C1618" s="553" t="s">
        <v>2336</v>
      </c>
      <c r="D1618" s="669" t="s">
        <v>412</v>
      </c>
      <c r="E1618" s="546">
        <v>659.04000199999996</v>
      </c>
    </row>
    <row r="1619" spans="2:5" x14ac:dyDescent="0.25">
      <c r="B1619" s="545">
        <v>1883</v>
      </c>
      <c r="C1619" s="553" t="s">
        <v>2945</v>
      </c>
      <c r="D1619" s="669" t="s">
        <v>412</v>
      </c>
      <c r="E1619" s="546">
        <v>687.54999199999997</v>
      </c>
    </row>
    <row r="1620" spans="2:5" x14ac:dyDescent="0.25">
      <c r="B1620" s="545">
        <v>1884</v>
      </c>
      <c r="C1620" s="553" t="s">
        <v>2981</v>
      </c>
      <c r="D1620" s="669" t="s">
        <v>412</v>
      </c>
      <c r="E1620" s="546">
        <v>689.5</v>
      </c>
    </row>
    <row r="1621" spans="2:5" x14ac:dyDescent="0.25">
      <c r="B1621" s="545">
        <v>1885</v>
      </c>
      <c r="C1621" s="553" t="s">
        <v>2658</v>
      </c>
      <c r="D1621" s="669" t="s">
        <v>412</v>
      </c>
      <c r="E1621" s="546">
        <v>674.19000200000005</v>
      </c>
    </row>
    <row r="1622" spans="2:5" x14ac:dyDescent="0.25">
      <c r="B1622" s="545">
        <v>1886</v>
      </c>
      <c r="C1622" s="553" t="s">
        <v>691</v>
      </c>
      <c r="D1622" s="669" t="s">
        <v>412</v>
      </c>
      <c r="E1622" s="546">
        <v>677.01000399999998</v>
      </c>
    </row>
    <row r="1623" spans="2:5" x14ac:dyDescent="0.25">
      <c r="B1623" s="545">
        <v>1887</v>
      </c>
      <c r="C1623" s="553" t="s">
        <v>412</v>
      </c>
      <c r="D1623" s="669" t="s">
        <v>412</v>
      </c>
      <c r="E1623" s="546">
        <v>646.17999899999995</v>
      </c>
    </row>
    <row r="1624" spans="2:5" x14ac:dyDescent="0.25">
      <c r="B1624" s="545">
        <v>1888</v>
      </c>
      <c r="C1624" s="553" t="s">
        <v>1990</v>
      </c>
      <c r="D1624" s="669" t="s">
        <v>412</v>
      </c>
      <c r="E1624" s="546">
        <v>643.05714599999999</v>
      </c>
    </row>
    <row r="1625" spans="2:5" x14ac:dyDescent="0.25">
      <c r="B1625" s="545">
        <v>1889</v>
      </c>
      <c r="C1625" s="553" t="s">
        <v>1931</v>
      </c>
      <c r="D1625" s="669" t="s">
        <v>412</v>
      </c>
      <c r="E1625" s="546">
        <v>641.29998799999998</v>
      </c>
    </row>
    <row r="1626" spans="2:5" x14ac:dyDescent="0.25">
      <c r="B1626" s="545">
        <v>1890</v>
      </c>
      <c r="C1626" s="553" t="s">
        <v>2064</v>
      </c>
      <c r="D1626" s="669" t="s">
        <v>412</v>
      </c>
      <c r="E1626" s="546">
        <v>646.05713800000001</v>
      </c>
    </row>
    <row r="1627" spans="2:5" x14ac:dyDescent="0.25">
      <c r="B1627" s="545">
        <v>1891</v>
      </c>
      <c r="C1627" s="553" t="s">
        <v>7601</v>
      </c>
      <c r="D1627" s="669" t="s">
        <v>412</v>
      </c>
      <c r="E1627" s="546">
        <v>680.76428199999998</v>
      </c>
    </row>
    <row r="1628" spans="2:5" x14ac:dyDescent="0.25">
      <c r="B1628" s="545">
        <v>1892</v>
      </c>
      <c r="C1628" s="553" t="s">
        <v>6735</v>
      </c>
      <c r="D1628" s="669" t="s">
        <v>412</v>
      </c>
      <c r="E1628" s="546">
        <v>746.46364000000005</v>
      </c>
    </row>
    <row r="1629" spans="2:5" x14ac:dyDescent="0.25">
      <c r="B1629" s="545">
        <v>1893</v>
      </c>
      <c r="C1629" s="553" t="s">
        <v>2699</v>
      </c>
      <c r="D1629" s="669" t="s">
        <v>412</v>
      </c>
      <c r="E1629" s="546">
        <v>675.71112100000005</v>
      </c>
    </row>
    <row r="1630" spans="2:5" x14ac:dyDescent="0.25">
      <c r="B1630" s="545">
        <v>1894</v>
      </c>
      <c r="C1630" s="553" t="s">
        <v>3733</v>
      </c>
      <c r="D1630" s="669" t="s">
        <v>412</v>
      </c>
      <c r="E1630" s="546">
        <v>728.84286099999997</v>
      </c>
    </row>
    <row r="1631" spans="2:5" x14ac:dyDescent="0.25">
      <c r="B1631" s="545">
        <v>1895</v>
      </c>
      <c r="C1631" s="553" t="s">
        <v>1498</v>
      </c>
      <c r="D1631" s="669" t="s">
        <v>412</v>
      </c>
      <c r="E1631" s="546">
        <v>733.79091000000005</v>
      </c>
    </row>
    <row r="1632" spans="2:5" x14ac:dyDescent="0.25">
      <c r="B1632" s="545">
        <v>1896</v>
      </c>
      <c r="C1632" s="553" t="s">
        <v>4003</v>
      </c>
      <c r="D1632" s="669" t="s">
        <v>412</v>
      </c>
      <c r="E1632" s="546">
        <v>744.91666699999996</v>
      </c>
    </row>
    <row r="1633" spans="2:5" x14ac:dyDescent="0.25">
      <c r="B1633" s="545">
        <v>1897</v>
      </c>
      <c r="C1633" s="553" t="s">
        <v>4408</v>
      </c>
      <c r="D1633" s="669" t="s">
        <v>412</v>
      </c>
      <c r="E1633" s="546">
        <v>773.33571500000005</v>
      </c>
    </row>
    <row r="1634" spans="2:5" x14ac:dyDescent="0.25">
      <c r="B1634" s="545">
        <v>1898</v>
      </c>
      <c r="C1634" s="553" t="s">
        <v>4985</v>
      </c>
      <c r="D1634" s="669" t="s">
        <v>412</v>
      </c>
      <c r="E1634" s="546">
        <v>820.67500299999995</v>
      </c>
    </row>
    <row r="1635" spans="2:5" x14ac:dyDescent="0.25">
      <c r="B1635" s="545">
        <v>1899</v>
      </c>
      <c r="C1635" s="553" t="s">
        <v>4852</v>
      </c>
      <c r="D1635" s="669" t="s">
        <v>412</v>
      </c>
      <c r="E1635" s="546">
        <v>859.61999500000002</v>
      </c>
    </row>
    <row r="1636" spans="2:5" x14ac:dyDescent="0.25">
      <c r="B1636" s="545">
        <v>1900</v>
      </c>
      <c r="C1636" s="553" t="s">
        <v>5275</v>
      </c>
      <c r="D1636" s="669" t="s">
        <v>412</v>
      </c>
      <c r="E1636" s="546">
        <v>857.34001499999999</v>
      </c>
    </row>
    <row r="1637" spans="2:5" x14ac:dyDescent="0.25">
      <c r="B1637" s="545">
        <v>1901</v>
      </c>
      <c r="C1637" s="553" t="s">
        <v>6538</v>
      </c>
      <c r="D1637" s="669" t="s">
        <v>412</v>
      </c>
      <c r="E1637" s="546">
        <v>844.771432</v>
      </c>
    </row>
    <row r="1638" spans="2:5" x14ac:dyDescent="0.25">
      <c r="B1638" s="545">
        <v>1902</v>
      </c>
      <c r="C1638" s="553" t="s">
        <v>5375</v>
      </c>
      <c r="D1638" s="669" t="s">
        <v>412</v>
      </c>
      <c r="E1638" s="546">
        <v>874.42499499999997</v>
      </c>
    </row>
    <row r="1639" spans="2:5" x14ac:dyDescent="0.25">
      <c r="B1639" s="545">
        <v>1903</v>
      </c>
      <c r="C1639" s="553" t="s">
        <v>6815</v>
      </c>
      <c r="D1639" s="669" t="s">
        <v>412</v>
      </c>
      <c r="E1639" s="546">
        <v>901.20001200000002</v>
      </c>
    </row>
    <row r="1640" spans="2:5" x14ac:dyDescent="0.25">
      <c r="B1640" s="545">
        <v>1904</v>
      </c>
      <c r="C1640" s="553" t="s">
        <v>7297</v>
      </c>
      <c r="D1640" s="669" t="s">
        <v>412</v>
      </c>
      <c r="E1640" s="546">
        <v>886.28462100000002</v>
      </c>
    </row>
    <row r="1641" spans="2:5" x14ac:dyDescent="0.25">
      <c r="B1641" s="545">
        <v>1905</v>
      </c>
      <c r="C1641" s="553" t="s">
        <v>7626</v>
      </c>
      <c r="D1641" s="669" t="s">
        <v>412</v>
      </c>
      <c r="E1641" s="546">
        <v>866.06154200000003</v>
      </c>
    </row>
    <row r="1642" spans="2:5" x14ac:dyDescent="0.25">
      <c r="B1642" s="545">
        <v>1906</v>
      </c>
      <c r="C1642" s="553" t="s">
        <v>6663</v>
      </c>
      <c r="D1642" s="669" t="s">
        <v>412</v>
      </c>
      <c r="E1642" s="546">
        <v>759.366669</v>
      </c>
    </row>
    <row r="1643" spans="2:5" x14ac:dyDescent="0.25">
      <c r="B1643" s="545">
        <v>1907</v>
      </c>
      <c r="C1643" s="553" t="s">
        <v>1014</v>
      </c>
      <c r="D1643" s="669" t="s">
        <v>412</v>
      </c>
      <c r="E1643" s="546">
        <v>775.26668299999994</v>
      </c>
    </row>
    <row r="1644" spans="2:5" x14ac:dyDescent="0.25">
      <c r="B1644" s="545">
        <v>1908</v>
      </c>
      <c r="C1644" s="553" t="s">
        <v>7361</v>
      </c>
      <c r="D1644" s="669" t="s">
        <v>412</v>
      </c>
      <c r="E1644" s="546">
        <v>786.39999399999999</v>
      </c>
    </row>
    <row r="1645" spans="2:5" x14ac:dyDescent="0.25">
      <c r="B1645" s="545">
        <v>1909</v>
      </c>
      <c r="C1645" s="553" t="s">
        <v>4276</v>
      </c>
      <c r="D1645" s="669" t="s">
        <v>412</v>
      </c>
      <c r="E1645" s="546">
        <v>763.29999299999997</v>
      </c>
    </row>
    <row r="1646" spans="2:5" x14ac:dyDescent="0.25">
      <c r="B1646" s="545">
        <v>1910</v>
      </c>
      <c r="C1646" s="553" t="s">
        <v>7578</v>
      </c>
      <c r="D1646" s="669" t="s">
        <v>412</v>
      </c>
      <c r="E1646" s="546">
        <v>775.90000399999997</v>
      </c>
    </row>
    <row r="1647" spans="2:5" x14ac:dyDescent="0.25">
      <c r="B1647" s="545">
        <v>1911</v>
      </c>
      <c r="C1647" s="553" t="s">
        <v>6758</v>
      </c>
      <c r="D1647" s="669" t="s">
        <v>412</v>
      </c>
      <c r="E1647" s="546">
        <v>775.63334099999997</v>
      </c>
    </row>
    <row r="1648" spans="2:5" x14ac:dyDescent="0.25">
      <c r="B1648" s="545">
        <v>1912</v>
      </c>
      <c r="C1648" s="553" t="s">
        <v>4707</v>
      </c>
      <c r="D1648" s="669" t="s">
        <v>412</v>
      </c>
      <c r="E1648" s="546">
        <v>796.64544699999999</v>
      </c>
    </row>
    <row r="1649" spans="2:5" x14ac:dyDescent="0.25">
      <c r="B1649" s="545">
        <v>1913</v>
      </c>
      <c r="C1649" s="553" t="s">
        <v>7159</v>
      </c>
      <c r="D1649" s="669" t="s">
        <v>412</v>
      </c>
      <c r="E1649" s="546">
        <v>748.7</v>
      </c>
    </row>
    <row r="1650" spans="2:5" x14ac:dyDescent="0.25">
      <c r="B1650" s="545">
        <v>1914</v>
      </c>
      <c r="C1650" s="553" t="s">
        <v>5075</v>
      </c>
      <c r="D1650" s="669" t="s">
        <v>412</v>
      </c>
      <c r="E1650" s="546">
        <v>830.92858000000001</v>
      </c>
    </row>
    <row r="1651" spans="2:5" x14ac:dyDescent="0.25">
      <c r="B1651" s="545">
        <v>1915</v>
      </c>
      <c r="C1651" s="553" t="s">
        <v>7134</v>
      </c>
      <c r="D1651" s="669" t="s">
        <v>412</v>
      </c>
      <c r="E1651" s="546">
        <v>879.15000899999995</v>
      </c>
    </row>
    <row r="1652" spans="2:5" x14ac:dyDescent="0.25">
      <c r="B1652" s="545">
        <v>1916</v>
      </c>
      <c r="C1652" s="553" t="s">
        <v>5034</v>
      </c>
      <c r="D1652" s="669" t="s">
        <v>412</v>
      </c>
      <c r="E1652" s="546">
        <v>826.29999799999996</v>
      </c>
    </row>
    <row r="1653" spans="2:5" x14ac:dyDescent="0.25">
      <c r="B1653" s="545">
        <v>1917</v>
      </c>
      <c r="C1653" s="553" t="s">
        <v>5416</v>
      </c>
      <c r="D1653" s="669" t="s">
        <v>412</v>
      </c>
      <c r="E1653" s="546">
        <v>881.580017</v>
      </c>
    </row>
    <row r="1654" spans="2:5" x14ac:dyDescent="0.25">
      <c r="B1654" s="545">
        <v>1918</v>
      </c>
      <c r="C1654" s="553" t="s">
        <v>7138</v>
      </c>
      <c r="D1654" s="669" t="s">
        <v>412</v>
      </c>
      <c r="E1654" s="546">
        <v>863.92498799999998</v>
      </c>
    </row>
    <row r="1655" spans="2:5" x14ac:dyDescent="0.25">
      <c r="B1655" s="545">
        <v>1919</v>
      </c>
      <c r="C1655" s="553" t="s">
        <v>7347</v>
      </c>
      <c r="D1655" s="669" t="s">
        <v>412</v>
      </c>
      <c r="E1655" s="546">
        <v>866.96665399999995</v>
      </c>
    </row>
    <row r="1656" spans="2:5" x14ac:dyDescent="0.25">
      <c r="B1656" s="545">
        <v>1920</v>
      </c>
      <c r="C1656" s="553" t="s">
        <v>5474</v>
      </c>
      <c r="D1656" s="669" t="s">
        <v>412</v>
      </c>
      <c r="E1656" s="546">
        <v>892.54998799999998</v>
      </c>
    </row>
    <row r="1657" spans="2:5" x14ac:dyDescent="0.25">
      <c r="B1657" s="545">
        <v>1921</v>
      </c>
      <c r="C1657" s="553" t="s">
        <v>5314</v>
      </c>
      <c r="D1657" s="669" t="s">
        <v>412</v>
      </c>
      <c r="E1657" s="546">
        <v>864</v>
      </c>
    </row>
    <row r="1658" spans="2:5" x14ac:dyDescent="0.25">
      <c r="B1658" s="545">
        <v>1922</v>
      </c>
      <c r="C1658" s="553" t="s">
        <v>7071</v>
      </c>
      <c r="D1658" s="669" t="s">
        <v>412</v>
      </c>
      <c r="E1658" s="546">
        <v>896.95001200000002</v>
      </c>
    </row>
    <row r="1659" spans="2:5" x14ac:dyDescent="0.25">
      <c r="B1659" s="545">
        <v>1923</v>
      </c>
      <c r="C1659" s="553" t="s">
        <v>5586</v>
      </c>
      <c r="D1659" s="669" t="s">
        <v>412</v>
      </c>
      <c r="E1659" s="546">
        <v>909.39999399999999</v>
      </c>
    </row>
    <row r="1660" spans="2:5" x14ac:dyDescent="0.25">
      <c r="B1660" s="545">
        <v>1924</v>
      </c>
      <c r="C1660" s="553" t="s">
        <v>7494</v>
      </c>
      <c r="D1660" s="669" t="s">
        <v>412</v>
      </c>
      <c r="E1660" s="546">
        <v>891.04999799999996</v>
      </c>
    </row>
    <row r="1661" spans="2:5" x14ac:dyDescent="0.25">
      <c r="B1661" s="545">
        <v>1925</v>
      </c>
      <c r="C1661" s="553" t="s">
        <v>5494</v>
      </c>
      <c r="D1661" s="669" t="s">
        <v>412</v>
      </c>
      <c r="E1661" s="546">
        <v>894.46666500000003</v>
      </c>
    </row>
    <row r="1662" spans="2:5" x14ac:dyDescent="0.25">
      <c r="B1662" s="545">
        <v>1926</v>
      </c>
      <c r="C1662" s="553" t="s">
        <v>6639</v>
      </c>
      <c r="D1662" s="669" t="s">
        <v>412</v>
      </c>
      <c r="E1662" s="546">
        <v>885.04286400000001</v>
      </c>
    </row>
    <row r="1663" spans="2:5" x14ac:dyDescent="0.25">
      <c r="B1663" s="545">
        <v>1927</v>
      </c>
      <c r="C1663" s="553" t="s">
        <v>5380</v>
      </c>
      <c r="D1663" s="669" t="s">
        <v>412</v>
      </c>
      <c r="E1663" s="546">
        <v>875.19998199999998</v>
      </c>
    </row>
    <row r="1664" spans="2:5" x14ac:dyDescent="0.25">
      <c r="B1664" s="545">
        <v>1928</v>
      </c>
      <c r="C1664" s="553" t="s">
        <v>5536</v>
      </c>
      <c r="D1664" s="669" t="s">
        <v>412</v>
      </c>
      <c r="E1664" s="546">
        <v>901.59997599999997</v>
      </c>
    </row>
    <row r="1665" spans="2:5" x14ac:dyDescent="0.25">
      <c r="B1665" s="545">
        <v>1929</v>
      </c>
      <c r="C1665" s="553" t="s">
        <v>7598</v>
      </c>
      <c r="D1665" s="669" t="s">
        <v>412</v>
      </c>
      <c r="E1665" s="546">
        <v>801.5</v>
      </c>
    </row>
    <row r="1666" spans="2:5" x14ac:dyDescent="0.25">
      <c r="B1666" s="545">
        <v>1930</v>
      </c>
      <c r="C1666" s="553" t="s">
        <v>7567</v>
      </c>
      <c r="D1666" s="669" t="s">
        <v>412</v>
      </c>
      <c r="E1666" s="546">
        <v>810.41999499999997</v>
      </c>
    </row>
    <row r="1667" spans="2:5" x14ac:dyDescent="0.25">
      <c r="B1667" s="545">
        <v>1931</v>
      </c>
      <c r="C1667" s="553" t="s">
        <v>4695</v>
      </c>
      <c r="D1667" s="669" t="s">
        <v>412</v>
      </c>
      <c r="E1667" s="546">
        <v>795.43332899999996</v>
      </c>
    </row>
    <row r="1668" spans="2:5" x14ac:dyDescent="0.25">
      <c r="B1668" s="545">
        <v>1932</v>
      </c>
      <c r="C1668" s="553" t="s">
        <v>848</v>
      </c>
      <c r="D1668" s="669" t="s">
        <v>412</v>
      </c>
      <c r="E1668" s="546">
        <v>801.21818399999995</v>
      </c>
    </row>
    <row r="1669" spans="2:5" x14ac:dyDescent="0.25">
      <c r="B1669" s="545">
        <v>1933</v>
      </c>
      <c r="C1669" s="553" t="s">
        <v>6966</v>
      </c>
      <c r="D1669" s="669" t="s">
        <v>412</v>
      </c>
      <c r="E1669" s="546">
        <v>844.96667500000001</v>
      </c>
    </row>
    <row r="1670" spans="2:5" x14ac:dyDescent="0.25">
      <c r="B1670" s="545">
        <v>1934</v>
      </c>
      <c r="C1670" s="553" t="s">
        <v>7131</v>
      </c>
      <c r="D1670" s="669" t="s">
        <v>412</v>
      </c>
      <c r="E1670" s="546">
        <v>783.92498799999998</v>
      </c>
    </row>
    <row r="1671" spans="2:5" x14ac:dyDescent="0.25">
      <c r="B1671" s="545">
        <v>1935</v>
      </c>
      <c r="C1671" s="553" t="s">
        <v>4309</v>
      </c>
      <c r="D1671" s="669" t="s">
        <v>412</v>
      </c>
      <c r="E1671" s="546">
        <v>765.30000800000005</v>
      </c>
    </row>
    <row r="1672" spans="2:5" x14ac:dyDescent="0.25">
      <c r="B1672" s="545">
        <v>1936</v>
      </c>
      <c r="C1672" s="553" t="s">
        <v>825</v>
      </c>
      <c r="D1672" s="669" t="s">
        <v>412</v>
      </c>
      <c r="E1672" s="546">
        <v>835.06250799999998</v>
      </c>
    </row>
    <row r="1673" spans="2:5" x14ac:dyDescent="0.25">
      <c r="B1673" s="545">
        <v>1937</v>
      </c>
      <c r="C1673" s="553" t="s">
        <v>7162</v>
      </c>
      <c r="D1673" s="669" t="s">
        <v>412</v>
      </c>
      <c r="E1673" s="546">
        <v>811.23500100000001</v>
      </c>
    </row>
    <row r="1674" spans="2:5" x14ac:dyDescent="0.25">
      <c r="B1674" s="545">
        <v>1938</v>
      </c>
      <c r="C1674" s="553" t="s">
        <v>7155</v>
      </c>
      <c r="D1674" s="669" t="s">
        <v>412</v>
      </c>
      <c r="E1674" s="546">
        <v>774.06667100000004</v>
      </c>
    </row>
    <row r="1675" spans="2:5" x14ac:dyDescent="0.25">
      <c r="B1675" s="545">
        <v>1939</v>
      </c>
      <c r="C1675" s="553" t="s">
        <v>4515</v>
      </c>
      <c r="D1675" s="669" t="s">
        <v>412</v>
      </c>
      <c r="E1675" s="546">
        <v>780.76999499999999</v>
      </c>
    </row>
    <row r="1676" spans="2:5" x14ac:dyDescent="0.25">
      <c r="B1676" s="545">
        <v>1940</v>
      </c>
      <c r="C1676" s="553" t="s">
        <v>5295</v>
      </c>
      <c r="D1676" s="669" t="s">
        <v>412</v>
      </c>
      <c r="E1676" s="546">
        <v>860.85000600000001</v>
      </c>
    </row>
    <row r="1677" spans="2:5" x14ac:dyDescent="0.25">
      <c r="B1677" s="545">
        <v>1941</v>
      </c>
      <c r="C1677" s="553" t="s">
        <v>5011</v>
      </c>
      <c r="D1677" s="669" t="s">
        <v>412</v>
      </c>
      <c r="E1677" s="546">
        <v>823.93500100000006</v>
      </c>
    </row>
    <row r="1678" spans="2:5" x14ac:dyDescent="0.25">
      <c r="B1678" s="545">
        <v>1942</v>
      </c>
      <c r="C1678" s="553" t="s">
        <v>5266</v>
      </c>
      <c r="D1678" s="669" t="s">
        <v>412</v>
      </c>
      <c r="E1678" s="546">
        <v>856.27500899999995</v>
      </c>
    </row>
    <row r="1679" spans="2:5" x14ac:dyDescent="0.25">
      <c r="B1679" s="545">
        <v>1943</v>
      </c>
      <c r="C1679" s="553" t="s">
        <v>5341</v>
      </c>
      <c r="D1679" s="669" t="s">
        <v>412</v>
      </c>
      <c r="E1679" s="546">
        <v>869.36998900000003</v>
      </c>
    </row>
    <row r="1680" spans="2:5" x14ac:dyDescent="0.25">
      <c r="B1680" s="545">
        <v>1944</v>
      </c>
      <c r="C1680" s="553" t="s">
        <v>4952</v>
      </c>
      <c r="D1680" s="669" t="s">
        <v>412</v>
      </c>
      <c r="E1680" s="546">
        <v>816.67142999999999</v>
      </c>
    </row>
    <row r="1681" spans="2:5" x14ac:dyDescent="0.25">
      <c r="B1681" s="545">
        <v>1945</v>
      </c>
      <c r="C1681" s="553" t="s">
        <v>6747</v>
      </c>
      <c r="D1681" s="669" t="s">
        <v>412</v>
      </c>
      <c r="E1681" s="546">
        <v>845.71250199999997</v>
      </c>
    </row>
    <row r="1682" spans="2:5" x14ac:dyDescent="0.25">
      <c r="B1682" s="545">
        <v>1946</v>
      </c>
      <c r="C1682" s="553" t="s">
        <v>4668</v>
      </c>
      <c r="D1682" s="669" t="s">
        <v>412</v>
      </c>
      <c r="E1682" s="546">
        <v>793.64999399999999</v>
      </c>
    </row>
    <row r="1683" spans="2:5" x14ac:dyDescent="0.25">
      <c r="B1683" s="545">
        <v>1947</v>
      </c>
      <c r="C1683" s="553" t="s">
        <v>5153</v>
      </c>
      <c r="D1683" s="669" t="s">
        <v>412</v>
      </c>
      <c r="E1683" s="546">
        <v>839.16666699999996</v>
      </c>
    </row>
    <row r="1684" spans="2:5" x14ac:dyDescent="0.25">
      <c r="B1684" s="545">
        <v>1948</v>
      </c>
      <c r="C1684" s="553" t="s">
        <v>5000</v>
      </c>
      <c r="D1684" s="669" t="s">
        <v>412</v>
      </c>
      <c r="E1684" s="546">
        <v>823.03333199999997</v>
      </c>
    </row>
    <row r="1685" spans="2:5" x14ac:dyDescent="0.25">
      <c r="B1685" s="545">
        <v>1949</v>
      </c>
      <c r="C1685" s="553" t="s">
        <v>4478</v>
      </c>
      <c r="D1685" s="669" t="s">
        <v>412</v>
      </c>
      <c r="E1685" s="546">
        <v>778.58333300000004</v>
      </c>
    </row>
    <row r="1686" spans="2:5" x14ac:dyDescent="0.25">
      <c r="B1686" s="545">
        <v>1950</v>
      </c>
      <c r="C1686" s="553" t="s">
        <v>4809</v>
      </c>
      <c r="D1686" s="669" t="s">
        <v>412</v>
      </c>
      <c r="E1686" s="546">
        <v>804.09999300000004</v>
      </c>
    </row>
    <row r="1687" spans="2:5" x14ac:dyDescent="0.25">
      <c r="B1687" s="545">
        <v>1951</v>
      </c>
      <c r="C1687" s="553" t="s">
        <v>4393</v>
      </c>
      <c r="D1687" s="669" t="s">
        <v>412</v>
      </c>
      <c r="E1687" s="546">
        <v>771.83635400000003</v>
      </c>
    </row>
    <row r="1688" spans="2:5" x14ac:dyDescent="0.25">
      <c r="B1688" s="545">
        <v>1952</v>
      </c>
      <c r="C1688" s="553" t="s">
        <v>6604</v>
      </c>
      <c r="D1688" s="669" t="s">
        <v>412</v>
      </c>
      <c r="E1688" s="546">
        <v>751.19998799999996</v>
      </c>
    </row>
    <row r="1689" spans="2:5" x14ac:dyDescent="0.25">
      <c r="B1689" s="545">
        <v>1953</v>
      </c>
      <c r="C1689" s="553" t="s">
        <v>1588</v>
      </c>
      <c r="D1689" s="669" t="s">
        <v>412</v>
      </c>
      <c r="E1689" s="546">
        <v>743.66668700000002</v>
      </c>
    </row>
    <row r="1690" spans="2:5" x14ac:dyDescent="0.25">
      <c r="B1690" s="545">
        <v>1954</v>
      </c>
      <c r="C1690" s="553" t="s">
        <v>4191</v>
      </c>
      <c r="D1690" s="669" t="s">
        <v>412</v>
      </c>
      <c r="E1690" s="546">
        <v>756.93330900000001</v>
      </c>
    </row>
    <row r="1691" spans="2:5" x14ac:dyDescent="0.25">
      <c r="B1691" s="545">
        <v>1955</v>
      </c>
      <c r="C1691" s="553" t="s">
        <v>3619</v>
      </c>
      <c r="D1691" s="669" t="s">
        <v>412</v>
      </c>
      <c r="E1691" s="546">
        <v>722.88888899999995</v>
      </c>
    </row>
    <row r="1692" spans="2:5" x14ac:dyDescent="0.25">
      <c r="B1692" s="545">
        <v>1956</v>
      </c>
      <c r="C1692" s="553" t="s">
        <v>4338</v>
      </c>
      <c r="D1692" s="669" t="s">
        <v>412</v>
      </c>
      <c r="E1692" s="546">
        <v>767.30713800000001</v>
      </c>
    </row>
    <row r="1693" spans="2:5" x14ac:dyDescent="0.25">
      <c r="B1693" s="545">
        <v>1957</v>
      </c>
      <c r="C1693" s="553" t="s">
        <v>3013</v>
      </c>
      <c r="D1693" s="669" t="s">
        <v>412</v>
      </c>
      <c r="E1693" s="546">
        <v>691.46000400000003</v>
      </c>
    </row>
    <row r="1694" spans="2:5" x14ac:dyDescent="0.25">
      <c r="B1694" s="545">
        <v>1958</v>
      </c>
      <c r="C1694" s="553" t="s">
        <v>3270</v>
      </c>
      <c r="D1694" s="669" t="s">
        <v>412</v>
      </c>
      <c r="E1694" s="546">
        <v>704.06000400000005</v>
      </c>
    </row>
    <row r="1695" spans="2:5" x14ac:dyDescent="0.25">
      <c r="B1695" s="545">
        <v>1959</v>
      </c>
      <c r="C1695" s="553" t="s">
        <v>3062</v>
      </c>
      <c r="D1695" s="669" t="s">
        <v>412</v>
      </c>
      <c r="E1695" s="546">
        <v>694.14999399999999</v>
      </c>
    </row>
    <row r="1696" spans="2:5" x14ac:dyDescent="0.25">
      <c r="B1696" s="545">
        <v>1960</v>
      </c>
      <c r="C1696" s="553" t="s">
        <v>3296</v>
      </c>
      <c r="D1696" s="669" t="s">
        <v>412</v>
      </c>
      <c r="E1696" s="546">
        <v>705.57999299999994</v>
      </c>
    </row>
    <row r="1697" spans="2:5" x14ac:dyDescent="0.25">
      <c r="B1697" s="545">
        <v>1961</v>
      </c>
      <c r="C1697" s="553" t="s">
        <v>6736</v>
      </c>
      <c r="D1697" s="669" t="s">
        <v>412</v>
      </c>
      <c r="E1697" s="546">
        <v>717.77500199999997</v>
      </c>
    </row>
    <row r="1698" spans="2:5" x14ac:dyDescent="0.25">
      <c r="B1698" s="545">
        <v>1962</v>
      </c>
      <c r="C1698" s="553" t="s">
        <v>4996</v>
      </c>
      <c r="D1698" s="669" t="s">
        <v>412</v>
      </c>
      <c r="E1698" s="546">
        <v>822.66666699999996</v>
      </c>
    </row>
    <row r="1699" spans="2:5" x14ac:dyDescent="0.25">
      <c r="B1699" s="545">
        <v>1963</v>
      </c>
      <c r="C1699" s="553" t="s">
        <v>2338</v>
      </c>
      <c r="D1699" s="669" t="s">
        <v>412</v>
      </c>
      <c r="E1699" s="546">
        <v>659.13332100000002</v>
      </c>
    </row>
    <row r="1700" spans="2:5" x14ac:dyDescent="0.25">
      <c r="B1700" s="545">
        <v>1964</v>
      </c>
      <c r="C1700" s="553" t="s">
        <v>6528</v>
      </c>
      <c r="D1700" s="669" t="s">
        <v>412</v>
      </c>
      <c r="E1700" s="546">
        <v>695</v>
      </c>
    </row>
    <row r="1701" spans="2:5" x14ac:dyDescent="0.25">
      <c r="B1701" s="545">
        <v>1965</v>
      </c>
      <c r="C1701" s="553" t="s">
        <v>2625</v>
      </c>
      <c r="D1701" s="669" t="s">
        <v>412</v>
      </c>
      <c r="E1701" s="546">
        <v>672.61764700000003</v>
      </c>
    </row>
    <row r="1702" spans="2:5" x14ac:dyDescent="0.25">
      <c r="B1702" s="545">
        <v>1966</v>
      </c>
      <c r="C1702" s="553" t="s">
        <v>4397</v>
      </c>
      <c r="D1702" s="669" t="s">
        <v>412</v>
      </c>
      <c r="E1702" s="546">
        <v>772.01249700000005</v>
      </c>
    </row>
    <row r="1703" spans="2:5" x14ac:dyDescent="0.25">
      <c r="B1703" s="545">
        <v>1967</v>
      </c>
      <c r="C1703" s="553" t="s">
        <v>2572</v>
      </c>
      <c r="D1703" s="669" t="s">
        <v>412</v>
      </c>
      <c r="E1703" s="546">
        <v>683.47142699999995</v>
      </c>
    </row>
    <row r="1704" spans="2:5" x14ac:dyDescent="0.25">
      <c r="B1704" s="545">
        <v>1968</v>
      </c>
      <c r="C1704" s="553" t="s">
        <v>2759</v>
      </c>
      <c r="D1704" s="669" t="s">
        <v>412</v>
      </c>
      <c r="E1704" s="546">
        <v>678.70001200000002</v>
      </c>
    </row>
    <row r="1705" spans="2:5" x14ac:dyDescent="0.25">
      <c r="B1705" s="545">
        <v>1969</v>
      </c>
      <c r="C1705" s="553" t="s">
        <v>3353</v>
      </c>
      <c r="D1705" s="669" t="s">
        <v>412</v>
      </c>
      <c r="E1705" s="546">
        <v>708.73333700000001</v>
      </c>
    </row>
    <row r="1706" spans="2:5" x14ac:dyDescent="0.25">
      <c r="B1706" s="545">
        <v>1970</v>
      </c>
      <c r="C1706" s="553" t="s">
        <v>2710</v>
      </c>
      <c r="D1706" s="669" t="s">
        <v>412</v>
      </c>
      <c r="E1706" s="546">
        <v>676.18823199999997</v>
      </c>
    </row>
    <row r="1707" spans="2:5" x14ac:dyDescent="0.25">
      <c r="B1707" s="545">
        <v>1971</v>
      </c>
      <c r="C1707" s="553" t="s">
        <v>2801</v>
      </c>
      <c r="D1707" s="669" t="s">
        <v>412</v>
      </c>
      <c r="E1707" s="546">
        <v>681.10000300000002</v>
      </c>
    </row>
    <row r="1708" spans="2:5" x14ac:dyDescent="0.25">
      <c r="B1708" s="545">
        <v>1972</v>
      </c>
      <c r="C1708" s="553" t="s">
        <v>6724</v>
      </c>
      <c r="D1708" s="669" t="s">
        <v>412</v>
      </c>
      <c r="E1708" s="546">
        <v>711.63334099999997</v>
      </c>
    </row>
    <row r="1709" spans="2:5" x14ac:dyDescent="0.25">
      <c r="B1709" s="545">
        <v>1973</v>
      </c>
      <c r="C1709" s="553" t="s">
        <v>2935</v>
      </c>
      <c r="D1709" s="669" t="s">
        <v>412</v>
      </c>
      <c r="E1709" s="546">
        <v>687.29000499999995</v>
      </c>
    </row>
    <row r="1710" spans="2:5" x14ac:dyDescent="0.25">
      <c r="B1710" s="545">
        <v>1974</v>
      </c>
      <c r="C1710" s="553" t="s">
        <v>2612</v>
      </c>
      <c r="D1710" s="669" t="s">
        <v>412</v>
      </c>
      <c r="E1710" s="546">
        <v>671.43333900000005</v>
      </c>
    </row>
    <row r="1711" spans="2:5" x14ac:dyDescent="0.25">
      <c r="B1711" s="545">
        <v>1975</v>
      </c>
      <c r="C1711" s="553" t="s">
        <v>6643</v>
      </c>
      <c r="D1711" s="669" t="s">
        <v>412</v>
      </c>
      <c r="E1711" s="546">
        <v>654.19999700000005</v>
      </c>
    </row>
    <row r="1712" spans="2:5" x14ac:dyDescent="0.25">
      <c r="B1712" s="545">
        <v>1976</v>
      </c>
      <c r="C1712" s="553" t="s">
        <v>2281</v>
      </c>
      <c r="D1712" s="669" t="s">
        <v>412</v>
      </c>
      <c r="E1712" s="546">
        <v>656.5</v>
      </c>
    </row>
    <row r="1713" spans="2:5" x14ac:dyDescent="0.25">
      <c r="B1713" s="545">
        <v>1977</v>
      </c>
      <c r="C1713" s="553" t="s">
        <v>2772</v>
      </c>
      <c r="D1713" s="669" t="s">
        <v>412</v>
      </c>
      <c r="E1713" s="546">
        <v>679.36666500000001</v>
      </c>
    </row>
    <row r="1714" spans="2:5" x14ac:dyDescent="0.25">
      <c r="B1714" s="545">
        <v>1978</v>
      </c>
      <c r="C1714" s="553" t="s">
        <v>2974</v>
      </c>
      <c r="D1714" s="669" t="s">
        <v>412</v>
      </c>
      <c r="E1714" s="546">
        <v>689.00769500000001</v>
      </c>
    </row>
    <row r="1715" spans="2:5" x14ac:dyDescent="0.25">
      <c r="B1715" s="545">
        <v>1979</v>
      </c>
      <c r="C1715" s="553" t="s">
        <v>2954</v>
      </c>
      <c r="D1715" s="669" t="s">
        <v>412</v>
      </c>
      <c r="E1715" s="546">
        <v>688.06001000000003</v>
      </c>
    </row>
    <row r="1716" spans="2:5" x14ac:dyDescent="0.25">
      <c r="B1716" s="545">
        <v>1980</v>
      </c>
      <c r="C1716" s="553" t="s">
        <v>2896</v>
      </c>
      <c r="D1716" s="669" t="s">
        <v>412</v>
      </c>
      <c r="E1716" s="546">
        <v>685.77499399999999</v>
      </c>
    </row>
    <row r="1717" spans="2:5" x14ac:dyDescent="0.25">
      <c r="B1717" s="545">
        <v>1981</v>
      </c>
      <c r="C1717" s="553" t="s">
        <v>3243</v>
      </c>
      <c r="D1717" s="669" t="s">
        <v>412</v>
      </c>
      <c r="E1717" s="546">
        <v>703.17498799999998</v>
      </c>
    </row>
    <row r="1718" spans="2:5" x14ac:dyDescent="0.25">
      <c r="B1718" s="545">
        <v>1982</v>
      </c>
      <c r="C1718" s="553" t="s">
        <v>7113</v>
      </c>
      <c r="D1718" s="669" t="s">
        <v>412</v>
      </c>
      <c r="E1718" s="546">
        <v>691.46667500000001</v>
      </c>
    </row>
    <row r="1719" spans="2:5" x14ac:dyDescent="0.25">
      <c r="B1719" s="545">
        <v>1983</v>
      </c>
      <c r="C1719" s="553" t="s">
        <v>2431</v>
      </c>
      <c r="D1719" s="669" t="s">
        <v>412</v>
      </c>
      <c r="E1719" s="546">
        <v>663.625</v>
      </c>
    </row>
    <row r="1720" spans="2:5" x14ac:dyDescent="0.25">
      <c r="B1720" s="545">
        <v>1984</v>
      </c>
      <c r="C1720" s="553" t="s">
        <v>5594</v>
      </c>
      <c r="D1720" s="669" t="s">
        <v>412</v>
      </c>
      <c r="E1720" s="546">
        <v>910.60001199999999</v>
      </c>
    </row>
    <row r="1721" spans="2:5" x14ac:dyDescent="0.25">
      <c r="B1721" s="545">
        <v>1985</v>
      </c>
      <c r="C1721" s="553" t="s">
        <v>6793</v>
      </c>
      <c r="D1721" s="669" t="s">
        <v>412</v>
      </c>
      <c r="E1721" s="546">
        <v>887.54499499999997</v>
      </c>
    </row>
    <row r="1722" spans="2:5" x14ac:dyDescent="0.25">
      <c r="B1722" s="545">
        <v>1986</v>
      </c>
      <c r="C1722" s="553" t="s">
        <v>5401</v>
      </c>
      <c r="D1722" s="669" t="s">
        <v>412</v>
      </c>
      <c r="E1722" s="546">
        <v>879.48333200000002</v>
      </c>
    </row>
    <row r="1723" spans="2:5" x14ac:dyDescent="0.25">
      <c r="B1723" s="545">
        <v>2001</v>
      </c>
      <c r="C1723" s="553" t="s">
        <v>6597</v>
      </c>
      <c r="D1723" s="669" t="s">
        <v>417</v>
      </c>
      <c r="E1723" s="546">
        <v>701.76153599999998</v>
      </c>
    </row>
    <row r="1724" spans="2:5" x14ac:dyDescent="0.25">
      <c r="B1724" s="545">
        <v>2002</v>
      </c>
      <c r="C1724" s="553" t="s">
        <v>1269</v>
      </c>
      <c r="D1724" s="669" t="s">
        <v>417</v>
      </c>
      <c r="E1724" s="546">
        <v>675.71110699999997</v>
      </c>
    </row>
    <row r="1725" spans="2:5" x14ac:dyDescent="0.25">
      <c r="B1725" s="545">
        <v>2003</v>
      </c>
      <c r="C1725" s="553" t="s">
        <v>3093</v>
      </c>
      <c r="D1725" s="669" t="s">
        <v>417</v>
      </c>
      <c r="E1725" s="546">
        <v>695.59997599999997</v>
      </c>
    </row>
    <row r="1726" spans="2:5" x14ac:dyDescent="0.25">
      <c r="B1726" s="545">
        <v>2004</v>
      </c>
      <c r="C1726" s="553" t="s">
        <v>3068</v>
      </c>
      <c r="D1726" s="669" t="s">
        <v>417</v>
      </c>
      <c r="E1726" s="546">
        <v>694.32857000000001</v>
      </c>
    </row>
    <row r="1727" spans="2:5" x14ac:dyDescent="0.25">
      <c r="B1727" s="545">
        <v>2005</v>
      </c>
      <c r="C1727" s="553" t="s">
        <v>7466</v>
      </c>
      <c r="D1727" s="669" t="s">
        <v>417</v>
      </c>
      <c r="E1727" s="546">
        <v>681.33333300000004</v>
      </c>
    </row>
    <row r="1728" spans="2:5" x14ac:dyDescent="0.25">
      <c r="B1728" s="545">
        <v>2006</v>
      </c>
      <c r="C1728" s="553" t="s">
        <v>2683</v>
      </c>
      <c r="D1728" s="669" t="s">
        <v>417</v>
      </c>
      <c r="E1728" s="546">
        <v>675.22000700000001</v>
      </c>
    </row>
    <row r="1729" spans="2:5" x14ac:dyDescent="0.25">
      <c r="B1729" s="545">
        <v>2007</v>
      </c>
      <c r="C1729" s="553" t="s">
        <v>7200</v>
      </c>
      <c r="D1729" s="669" t="s">
        <v>417</v>
      </c>
      <c r="E1729" s="546">
        <v>708.35000600000001</v>
      </c>
    </row>
    <row r="1730" spans="2:5" x14ac:dyDescent="0.25">
      <c r="B1730" s="545">
        <v>2008</v>
      </c>
      <c r="C1730" s="553" t="s">
        <v>2377</v>
      </c>
      <c r="D1730" s="669" t="s">
        <v>417</v>
      </c>
      <c r="E1730" s="546">
        <v>660.81667100000004</v>
      </c>
    </row>
    <row r="1731" spans="2:5" x14ac:dyDescent="0.25">
      <c r="B1731" s="545">
        <v>2009</v>
      </c>
      <c r="C1731" s="553" t="s">
        <v>7124</v>
      </c>
      <c r="D1731" s="669" t="s">
        <v>417</v>
      </c>
      <c r="E1731" s="546">
        <v>704.32499700000005</v>
      </c>
    </row>
    <row r="1732" spans="2:5" x14ac:dyDescent="0.25">
      <c r="B1732" s="545">
        <v>2010</v>
      </c>
      <c r="C1732" s="553" t="s">
        <v>2883</v>
      </c>
      <c r="D1732" s="669" t="s">
        <v>417</v>
      </c>
      <c r="E1732" s="546">
        <v>685.40002400000003</v>
      </c>
    </row>
    <row r="1733" spans="2:5" x14ac:dyDescent="0.25">
      <c r="B1733" s="545">
        <v>2011</v>
      </c>
      <c r="C1733" s="553" t="s">
        <v>3622</v>
      </c>
      <c r="D1733" s="669" t="s">
        <v>417</v>
      </c>
      <c r="E1733" s="546">
        <v>723.30001800000002</v>
      </c>
    </row>
    <row r="1734" spans="2:5" x14ac:dyDescent="0.25">
      <c r="B1734" s="545">
        <v>2012</v>
      </c>
      <c r="C1734" s="553" t="s">
        <v>7297</v>
      </c>
      <c r="D1734" s="669" t="s">
        <v>417</v>
      </c>
      <c r="E1734" s="546">
        <v>683.40000399999997</v>
      </c>
    </row>
    <row r="1735" spans="2:5" x14ac:dyDescent="0.25">
      <c r="B1735" s="545">
        <v>2013</v>
      </c>
      <c r="C1735" s="553" t="s">
        <v>7561</v>
      </c>
      <c r="D1735" s="669" t="s">
        <v>417</v>
      </c>
      <c r="E1735" s="546">
        <v>665.45715299999995</v>
      </c>
    </row>
    <row r="1736" spans="2:5" x14ac:dyDescent="0.25">
      <c r="B1736" s="545">
        <v>2014</v>
      </c>
      <c r="C1736" s="553" t="s">
        <v>3746</v>
      </c>
      <c r="D1736" s="669" t="s">
        <v>417</v>
      </c>
      <c r="E1736" s="546">
        <v>729.52499399999999</v>
      </c>
    </row>
    <row r="1737" spans="2:5" x14ac:dyDescent="0.25">
      <c r="B1737" s="545">
        <v>2015</v>
      </c>
      <c r="C1737" s="553" t="s">
        <v>3607</v>
      </c>
      <c r="D1737" s="669" t="s">
        <v>417</v>
      </c>
      <c r="E1737" s="546">
        <v>721.77500899999995</v>
      </c>
    </row>
    <row r="1738" spans="2:5" x14ac:dyDescent="0.25">
      <c r="B1738" s="545">
        <v>2016</v>
      </c>
      <c r="C1738" s="553" t="s">
        <v>1498</v>
      </c>
      <c r="D1738" s="669" t="s">
        <v>417</v>
      </c>
      <c r="E1738" s="546">
        <v>620.10000600000001</v>
      </c>
    </row>
    <row r="1739" spans="2:5" x14ac:dyDescent="0.25">
      <c r="B1739" s="545">
        <v>2017</v>
      </c>
      <c r="C1739" s="553" t="s">
        <v>3893</v>
      </c>
      <c r="D1739" s="669" t="s">
        <v>417</v>
      </c>
      <c r="E1739" s="546">
        <v>738.20001200000002</v>
      </c>
    </row>
    <row r="1740" spans="2:5" x14ac:dyDescent="0.25">
      <c r="B1740" s="545">
        <v>2018</v>
      </c>
      <c r="C1740" s="553" t="s">
        <v>3625</v>
      </c>
      <c r="D1740" s="669" t="s">
        <v>417</v>
      </c>
      <c r="E1740" s="546">
        <v>723.36665900000003</v>
      </c>
    </row>
    <row r="1741" spans="2:5" x14ac:dyDescent="0.25">
      <c r="B1741" s="545">
        <v>2019</v>
      </c>
      <c r="C1741" s="553" t="s">
        <v>6652</v>
      </c>
      <c r="D1741" s="669" t="s">
        <v>417</v>
      </c>
      <c r="E1741" s="546">
        <v>717.22500600000001</v>
      </c>
    </row>
    <row r="1742" spans="2:5" x14ac:dyDescent="0.25">
      <c r="B1742" s="545">
        <v>2020</v>
      </c>
      <c r="C1742" s="553" t="s">
        <v>4677</v>
      </c>
      <c r="D1742" s="669" t="s">
        <v>417</v>
      </c>
      <c r="E1742" s="546">
        <v>794.26667299999997</v>
      </c>
    </row>
    <row r="1743" spans="2:5" x14ac:dyDescent="0.25">
      <c r="B1743" s="545">
        <v>2021</v>
      </c>
      <c r="C1743" s="553" t="s">
        <v>3825</v>
      </c>
      <c r="D1743" s="669" t="s">
        <v>417</v>
      </c>
      <c r="E1743" s="546">
        <v>734.14000199999998</v>
      </c>
    </row>
    <row r="1744" spans="2:5" x14ac:dyDescent="0.25">
      <c r="B1744" s="545">
        <v>2022</v>
      </c>
      <c r="C1744" s="553" t="s">
        <v>7346</v>
      </c>
      <c r="D1744" s="669" t="s">
        <v>417</v>
      </c>
      <c r="E1744" s="546">
        <v>729.07500500000003</v>
      </c>
    </row>
    <row r="1745" spans="2:5" x14ac:dyDescent="0.25">
      <c r="B1745" s="545">
        <v>2023</v>
      </c>
      <c r="C1745" s="553" t="s">
        <v>7348</v>
      </c>
      <c r="D1745" s="669" t="s">
        <v>417</v>
      </c>
      <c r="E1745" s="546">
        <v>807.17500299999995</v>
      </c>
    </row>
    <row r="1746" spans="2:5" x14ac:dyDescent="0.25">
      <c r="B1746" s="545">
        <v>2024</v>
      </c>
      <c r="C1746" s="553" t="s">
        <v>7156</v>
      </c>
      <c r="D1746" s="669" t="s">
        <v>417</v>
      </c>
      <c r="E1746" s="546">
        <v>777.66665999999998</v>
      </c>
    </row>
    <row r="1747" spans="2:5" x14ac:dyDescent="0.25">
      <c r="B1747" s="545">
        <v>2025</v>
      </c>
      <c r="C1747" s="553" t="s">
        <v>6971</v>
      </c>
      <c r="D1747" s="669" t="s">
        <v>417</v>
      </c>
      <c r="E1747" s="546">
        <v>848.88000499999998</v>
      </c>
    </row>
    <row r="1748" spans="2:5" x14ac:dyDescent="0.25">
      <c r="B1748" s="545">
        <v>2027</v>
      </c>
      <c r="C1748" s="553" t="s">
        <v>2423</v>
      </c>
      <c r="D1748" s="669" t="s">
        <v>417</v>
      </c>
      <c r="E1748" s="546">
        <v>663.26316399999996</v>
      </c>
    </row>
    <row r="1749" spans="2:5" x14ac:dyDescent="0.25">
      <c r="B1749" s="545">
        <v>2028</v>
      </c>
      <c r="C1749" s="553" t="s">
        <v>1665</v>
      </c>
      <c r="D1749" s="669" t="s">
        <v>417</v>
      </c>
      <c r="E1749" s="546">
        <v>630.50666100000001</v>
      </c>
    </row>
    <row r="1750" spans="2:5" x14ac:dyDescent="0.25">
      <c r="B1750" s="545">
        <v>2029</v>
      </c>
      <c r="C1750" s="553" t="s">
        <v>1895</v>
      </c>
      <c r="D1750" s="669" t="s">
        <v>417</v>
      </c>
      <c r="E1750" s="546">
        <v>639.64998800000001</v>
      </c>
    </row>
    <row r="1751" spans="2:5" x14ac:dyDescent="0.25">
      <c r="B1751" s="545">
        <v>2030</v>
      </c>
      <c r="C1751" s="553" t="s">
        <v>7592</v>
      </c>
      <c r="D1751" s="669" t="s">
        <v>417</v>
      </c>
      <c r="E1751" s="546">
        <v>916.15000899999995</v>
      </c>
    </row>
    <row r="1752" spans="2:5" x14ac:dyDescent="0.25">
      <c r="B1752" s="545">
        <v>2031</v>
      </c>
      <c r="C1752" s="553" t="s">
        <v>6925</v>
      </c>
      <c r="D1752" s="669" t="s">
        <v>417</v>
      </c>
      <c r="E1752" s="546">
        <v>715.52856399999996</v>
      </c>
    </row>
    <row r="1753" spans="2:5" x14ac:dyDescent="0.25">
      <c r="B1753" s="545">
        <v>2032</v>
      </c>
      <c r="C1753" s="553" t="s">
        <v>3244</v>
      </c>
      <c r="D1753" s="669" t="s">
        <v>417</v>
      </c>
      <c r="E1753" s="546">
        <v>703.17776800000001</v>
      </c>
    </row>
    <row r="1754" spans="2:5" x14ac:dyDescent="0.25">
      <c r="B1754" s="545">
        <v>2033</v>
      </c>
      <c r="C1754" s="553" t="s">
        <v>2736</v>
      </c>
      <c r="D1754" s="669" t="s">
        <v>417</v>
      </c>
      <c r="E1754" s="546">
        <v>677.50000399999999</v>
      </c>
    </row>
    <row r="1755" spans="2:5" x14ac:dyDescent="0.25">
      <c r="B1755" s="545">
        <v>2034</v>
      </c>
      <c r="C1755" s="553" t="s">
        <v>3737</v>
      </c>
      <c r="D1755" s="669" t="s">
        <v>417</v>
      </c>
      <c r="E1755" s="546">
        <v>729.04375800000003</v>
      </c>
    </row>
    <row r="1756" spans="2:5" x14ac:dyDescent="0.25">
      <c r="B1756" s="545">
        <v>2035</v>
      </c>
      <c r="C1756" s="553" t="s">
        <v>2017</v>
      </c>
      <c r="D1756" s="669" t="s">
        <v>417</v>
      </c>
      <c r="E1756" s="546">
        <v>643.95001200000002</v>
      </c>
    </row>
    <row r="1757" spans="2:5" x14ac:dyDescent="0.25">
      <c r="B1757" s="545">
        <v>2036</v>
      </c>
      <c r="C1757" s="553" t="s">
        <v>6561</v>
      </c>
      <c r="D1757" s="669" t="s">
        <v>417</v>
      </c>
      <c r="E1757" s="546">
        <v>662.20001200000002</v>
      </c>
    </row>
    <row r="1758" spans="2:5" x14ac:dyDescent="0.25">
      <c r="B1758" s="545">
        <v>2037</v>
      </c>
      <c r="C1758" s="553" t="s">
        <v>1842</v>
      </c>
      <c r="D1758" s="669" t="s">
        <v>417</v>
      </c>
      <c r="E1758" s="546">
        <v>637.40002400000003</v>
      </c>
    </row>
    <row r="1759" spans="2:5" x14ac:dyDescent="0.25">
      <c r="B1759" s="545">
        <v>2038</v>
      </c>
      <c r="C1759" s="553" t="s">
        <v>6994</v>
      </c>
      <c r="D1759" s="669" t="s">
        <v>417</v>
      </c>
      <c r="E1759" s="546">
        <v>673.19166099999995</v>
      </c>
    </row>
    <row r="1760" spans="2:5" x14ac:dyDescent="0.25">
      <c r="B1760" s="545">
        <v>2039</v>
      </c>
      <c r="C1760" s="553" t="s">
        <v>1715</v>
      </c>
      <c r="D1760" s="669" t="s">
        <v>417</v>
      </c>
      <c r="E1760" s="546">
        <v>632.86665900000003</v>
      </c>
    </row>
    <row r="1761" spans="2:5" x14ac:dyDescent="0.25">
      <c r="B1761" s="545">
        <v>2040</v>
      </c>
      <c r="C1761" s="553" t="s">
        <v>1335</v>
      </c>
      <c r="D1761" s="669" t="s">
        <v>417</v>
      </c>
      <c r="E1761" s="546">
        <v>611.79998799999998</v>
      </c>
    </row>
    <row r="1762" spans="2:5" x14ac:dyDescent="0.25">
      <c r="B1762" s="545">
        <v>2041</v>
      </c>
      <c r="C1762" s="553" t="s">
        <v>780</v>
      </c>
      <c r="D1762" s="669" t="s">
        <v>417</v>
      </c>
      <c r="E1762" s="546">
        <v>563.70001200000002</v>
      </c>
    </row>
    <row r="1763" spans="2:5" x14ac:dyDescent="0.25">
      <c r="B1763" s="545">
        <v>2042</v>
      </c>
      <c r="C1763" s="553" t="s">
        <v>778</v>
      </c>
      <c r="D1763" s="669" t="s">
        <v>417</v>
      </c>
      <c r="E1763" s="546">
        <v>563.42501800000002</v>
      </c>
    </row>
    <row r="1764" spans="2:5" x14ac:dyDescent="0.25">
      <c r="B1764" s="545">
        <v>2043</v>
      </c>
      <c r="C1764" s="553" t="s">
        <v>1830</v>
      </c>
      <c r="D1764" s="669" t="s">
        <v>417</v>
      </c>
      <c r="E1764" s="546">
        <v>637.06666099999995</v>
      </c>
    </row>
    <row r="1765" spans="2:5" x14ac:dyDescent="0.25">
      <c r="B1765" s="545">
        <v>2044</v>
      </c>
      <c r="C1765" s="553" t="s">
        <v>2730</v>
      </c>
      <c r="D1765" s="669" t="s">
        <v>417</v>
      </c>
      <c r="E1765" s="546">
        <v>677.32000700000003</v>
      </c>
    </row>
    <row r="1766" spans="2:5" x14ac:dyDescent="0.25">
      <c r="B1766" s="545">
        <v>2045</v>
      </c>
      <c r="C1766" s="553" t="s">
        <v>2104</v>
      </c>
      <c r="D1766" s="669" t="s">
        <v>417</v>
      </c>
      <c r="E1766" s="546">
        <v>648.50588500000003</v>
      </c>
    </row>
    <row r="1767" spans="2:5" x14ac:dyDescent="0.25">
      <c r="B1767" s="545">
        <v>2046</v>
      </c>
      <c r="C1767" s="553" t="s">
        <v>6752</v>
      </c>
      <c r="D1767" s="669" t="s">
        <v>417</v>
      </c>
      <c r="E1767" s="546">
        <v>912.01304000000005</v>
      </c>
    </row>
    <row r="1768" spans="2:5" x14ac:dyDescent="0.25">
      <c r="B1768" s="545">
        <v>2047</v>
      </c>
      <c r="C1768" s="553" t="s">
        <v>5690</v>
      </c>
      <c r="D1768" s="669" t="s">
        <v>417</v>
      </c>
      <c r="E1768" s="546">
        <v>935.71111399999995</v>
      </c>
    </row>
    <row r="1769" spans="2:5" x14ac:dyDescent="0.25">
      <c r="B1769" s="545">
        <v>2048</v>
      </c>
      <c r="C1769" s="553" t="s">
        <v>5545</v>
      </c>
      <c r="D1769" s="669" t="s">
        <v>417</v>
      </c>
      <c r="E1769" s="546">
        <v>902.66000399999996</v>
      </c>
    </row>
    <row r="1770" spans="2:5" x14ac:dyDescent="0.25">
      <c r="B1770" s="545">
        <v>2049</v>
      </c>
      <c r="C1770" s="553" t="s">
        <v>7283</v>
      </c>
      <c r="D1770" s="669" t="s">
        <v>417</v>
      </c>
      <c r="E1770" s="546">
        <v>775.49998800000003</v>
      </c>
    </row>
    <row r="1771" spans="2:5" x14ac:dyDescent="0.25">
      <c r="B1771" s="545">
        <v>2050</v>
      </c>
      <c r="C1771" s="553" t="s">
        <v>6572</v>
      </c>
      <c r="D1771" s="669" t="s">
        <v>417</v>
      </c>
      <c r="E1771" s="546">
        <v>840.59997599999997</v>
      </c>
    </row>
    <row r="1772" spans="2:5" x14ac:dyDescent="0.25">
      <c r="B1772" s="545">
        <v>2051</v>
      </c>
      <c r="C1772" s="553" t="s">
        <v>6678</v>
      </c>
      <c r="D1772" s="669" t="s">
        <v>417</v>
      </c>
      <c r="E1772" s="546">
        <v>787.49998000000005</v>
      </c>
    </row>
    <row r="1773" spans="2:5" x14ac:dyDescent="0.25">
      <c r="B1773" s="545">
        <v>2052</v>
      </c>
      <c r="C1773" s="553" t="s">
        <v>6929</v>
      </c>
      <c r="D1773" s="669" t="s">
        <v>417</v>
      </c>
      <c r="E1773" s="546">
        <v>809.85833200000002</v>
      </c>
    </row>
    <row r="1774" spans="2:5" x14ac:dyDescent="0.25">
      <c r="B1774" s="545">
        <v>2053</v>
      </c>
      <c r="C1774" s="553" t="s">
        <v>2959</v>
      </c>
      <c r="D1774" s="669" t="s">
        <v>417</v>
      </c>
      <c r="E1774" s="546">
        <v>688.32857000000001</v>
      </c>
    </row>
    <row r="1775" spans="2:5" x14ac:dyDescent="0.25">
      <c r="B1775" s="545">
        <v>2054</v>
      </c>
      <c r="C1775" s="553" t="s">
        <v>3215</v>
      </c>
      <c r="D1775" s="669" t="s">
        <v>417</v>
      </c>
      <c r="E1775" s="546">
        <v>701.82999299999994</v>
      </c>
    </row>
    <row r="1776" spans="2:5" x14ac:dyDescent="0.25">
      <c r="B1776" s="545">
        <v>2055</v>
      </c>
      <c r="C1776" s="553" t="s">
        <v>2317</v>
      </c>
      <c r="D1776" s="669" t="s">
        <v>417</v>
      </c>
      <c r="E1776" s="546">
        <v>658.13334099999997</v>
      </c>
    </row>
    <row r="1777" spans="2:5" x14ac:dyDescent="0.25">
      <c r="B1777" s="545">
        <v>2056</v>
      </c>
      <c r="C1777" s="553" t="s">
        <v>7593</v>
      </c>
      <c r="D1777" s="669" t="s">
        <v>417</v>
      </c>
      <c r="E1777" s="546">
        <v>1069.392857</v>
      </c>
    </row>
    <row r="1778" spans="2:5" x14ac:dyDescent="0.25">
      <c r="B1778" s="545">
        <v>2057</v>
      </c>
      <c r="C1778" s="553" t="s">
        <v>7163</v>
      </c>
      <c r="D1778" s="669" t="s">
        <v>417</v>
      </c>
      <c r="E1778" s="546">
        <v>1031.5500179999999</v>
      </c>
    </row>
    <row r="1779" spans="2:5" x14ac:dyDescent="0.25">
      <c r="B1779" s="545">
        <v>2058</v>
      </c>
      <c r="C1779" s="553" t="s">
        <v>5958</v>
      </c>
      <c r="D1779" s="669" t="s">
        <v>417</v>
      </c>
      <c r="E1779" s="546">
        <v>1031.355564</v>
      </c>
    </row>
    <row r="1780" spans="2:5" x14ac:dyDescent="0.25">
      <c r="B1780" s="545">
        <v>2059</v>
      </c>
      <c r="C1780" s="553" t="s">
        <v>7237</v>
      </c>
      <c r="D1780" s="669" t="s">
        <v>417</v>
      </c>
      <c r="E1780" s="546">
        <v>1067.500041</v>
      </c>
    </row>
    <row r="1781" spans="2:5" x14ac:dyDescent="0.25">
      <c r="B1781" s="545">
        <v>2060</v>
      </c>
      <c r="C1781" s="553" t="s">
        <v>7533</v>
      </c>
      <c r="D1781" s="669" t="s">
        <v>417</v>
      </c>
      <c r="E1781" s="546">
        <v>959.17332799999997</v>
      </c>
    </row>
    <row r="1782" spans="2:5" x14ac:dyDescent="0.25">
      <c r="B1782" s="545">
        <v>2061</v>
      </c>
      <c r="C1782" s="553" t="s">
        <v>7532</v>
      </c>
      <c r="D1782" s="669" t="s">
        <v>417</v>
      </c>
      <c r="E1782" s="546">
        <v>909.53636600000004</v>
      </c>
    </row>
    <row r="1783" spans="2:5" x14ac:dyDescent="0.25">
      <c r="B1783" s="545">
        <v>2062</v>
      </c>
      <c r="C1783" s="553" t="s">
        <v>5648</v>
      </c>
      <c r="D1783" s="669" t="s">
        <v>417</v>
      </c>
      <c r="E1783" s="546">
        <v>924.75</v>
      </c>
    </row>
    <row r="1784" spans="2:5" x14ac:dyDescent="0.25">
      <c r="B1784" s="545">
        <v>2063</v>
      </c>
      <c r="C1784" s="553" t="s">
        <v>7233</v>
      </c>
      <c r="D1784" s="669" t="s">
        <v>417</v>
      </c>
      <c r="E1784" s="546">
        <v>848.64443000000006</v>
      </c>
    </row>
    <row r="1785" spans="2:5" x14ac:dyDescent="0.25">
      <c r="B1785" s="545">
        <v>2064</v>
      </c>
      <c r="C1785" s="553" t="s">
        <v>5660</v>
      </c>
      <c r="D1785" s="669" t="s">
        <v>417</v>
      </c>
      <c r="E1785" s="546">
        <v>927.52500899999995</v>
      </c>
    </row>
    <row r="1786" spans="2:5" x14ac:dyDescent="0.25">
      <c r="B1786" s="545">
        <v>2065</v>
      </c>
      <c r="C1786" s="553" t="s">
        <v>4179</v>
      </c>
      <c r="D1786" s="669" t="s">
        <v>417</v>
      </c>
      <c r="E1786" s="546">
        <v>755.88748899999996</v>
      </c>
    </row>
    <row r="1787" spans="2:5" x14ac:dyDescent="0.25">
      <c r="B1787" s="545">
        <v>2066</v>
      </c>
      <c r="C1787" s="553" t="s">
        <v>3965</v>
      </c>
      <c r="D1787" s="669" t="s">
        <v>417</v>
      </c>
      <c r="E1787" s="546">
        <v>785.67500299999995</v>
      </c>
    </row>
    <row r="1788" spans="2:5" x14ac:dyDescent="0.25">
      <c r="B1788" s="545">
        <v>2067</v>
      </c>
      <c r="C1788" s="553" t="s">
        <v>5233</v>
      </c>
      <c r="D1788" s="669" t="s">
        <v>417</v>
      </c>
      <c r="E1788" s="546">
        <v>851.18000500000005</v>
      </c>
    </row>
    <row r="1789" spans="2:5" x14ac:dyDescent="0.25">
      <c r="B1789" s="545">
        <v>2068</v>
      </c>
      <c r="C1789" s="553" t="s">
        <v>4619</v>
      </c>
      <c r="D1789" s="669" t="s">
        <v>417</v>
      </c>
      <c r="E1789" s="546">
        <v>789.43572099999994</v>
      </c>
    </row>
    <row r="1790" spans="2:5" x14ac:dyDescent="0.25">
      <c r="B1790" s="545">
        <v>2069</v>
      </c>
      <c r="C1790" s="553" t="s">
        <v>3190</v>
      </c>
      <c r="D1790" s="669" t="s">
        <v>417</v>
      </c>
      <c r="E1790" s="546">
        <v>740.10000400000001</v>
      </c>
    </row>
    <row r="1791" spans="2:5" x14ac:dyDescent="0.25">
      <c r="B1791" s="545">
        <v>2070</v>
      </c>
      <c r="C1791" s="553" t="s">
        <v>3895</v>
      </c>
      <c r="D1791" s="669" t="s">
        <v>417</v>
      </c>
      <c r="E1791" s="546">
        <v>738.411112</v>
      </c>
    </row>
    <row r="1792" spans="2:5" x14ac:dyDescent="0.25">
      <c r="B1792" s="545">
        <v>2071</v>
      </c>
      <c r="C1792" s="553" t="s">
        <v>7439</v>
      </c>
      <c r="D1792" s="669" t="s">
        <v>417</v>
      </c>
      <c r="E1792" s="546">
        <v>818.50001999999995</v>
      </c>
    </row>
    <row r="1793" spans="2:5" x14ac:dyDescent="0.25">
      <c r="B1793" s="545">
        <v>2072</v>
      </c>
      <c r="C1793" s="553" t="s">
        <v>2405</v>
      </c>
      <c r="D1793" s="669" t="s">
        <v>417</v>
      </c>
      <c r="E1793" s="546">
        <v>662.59997599999997</v>
      </c>
    </row>
    <row r="1794" spans="2:5" x14ac:dyDescent="0.25">
      <c r="B1794" s="545">
        <v>2073</v>
      </c>
      <c r="C1794" s="553" t="s">
        <v>2204</v>
      </c>
      <c r="D1794" s="669" t="s">
        <v>417</v>
      </c>
      <c r="E1794" s="546">
        <v>653</v>
      </c>
    </row>
    <row r="1795" spans="2:5" x14ac:dyDescent="0.25">
      <c r="B1795" s="545">
        <v>2074</v>
      </c>
      <c r="C1795" s="553" t="s">
        <v>1254</v>
      </c>
      <c r="D1795" s="669" t="s">
        <v>417</v>
      </c>
      <c r="E1795" s="546">
        <v>606.73333700000001</v>
      </c>
    </row>
    <row r="1796" spans="2:5" x14ac:dyDescent="0.25">
      <c r="B1796" s="545">
        <v>2075</v>
      </c>
      <c r="C1796" s="553" t="s">
        <v>7387</v>
      </c>
      <c r="D1796" s="669" t="s">
        <v>417</v>
      </c>
      <c r="E1796" s="546">
        <v>673.38334099999997</v>
      </c>
    </row>
    <row r="1797" spans="2:5" x14ac:dyDescent="0.25">
      <c r="B1797" s="545">
        <v>2076</v>
      </c>
      <c r="C1797" s="553" t="s">
        <v>2359</v>
      </c>
      <c r="D1797" s="669" t="s">
        <v>417</v>
      </c>
      <c r="E1797" s="546">
        <v>660.26249700000005</v>
      </c>
    </row>
    <row r="1798" spans="2:5" x14ac:dyDescent="0.25">
      <c r="B1798" s="545">
        <v>2077</v>
      </c>
      <c r="C1798" s="553" t="s">
        <v>7468</v>
      </c>
      <c r="D1798" s="669" t="s">
        <v>417</v>
      </c>
      <c r="E1798" s="546">
        <v>668.54999499999997</v>
      </c>
    </row>
    <row r="1799" spans="2:5" x14ac:dyDescent="0.25">
      <c r="B1799" s="545">
        <v>2078</v>
      </c>
      <c r="C1799" s="553" t="s">
        <v>3756</v>
      </c>
      <c r="D1799" s="669" t="s">
        <v>417</v>
      </c>
      <c r="E1799" s="546">
        <v>730.240002</v>
      </c>
    </row>
    <row r="1800" spans="2:5" x14ac:dyDescent="0.25">
      <c r="B1800" s="545">
        <v>2079</v>
      </c>
      <c r="C1800" s="553" t="s">
        <v>7513</v>
      </c>
      <c r="D1800" s="669" t="s">
        <v>417</v>
      </c>
      <c r="E1800" s="546">
        <v>715.13334099999997</v>
      </c>
    </row>
    <row r="1801" spans="2:5" x14ac:dyDescent="0.25">
      <c r="B1801" s="545">
        <v>2080</v>
      </c>
      <c r="C1801" s="553" t="s">
        <v>3069</v>
      </c>
      <c r="D1801" s="669" t="s">
        <v>417</v>
      </c>
      <c r="E1801" s="546">
        <v>694.36667899999998</v>
      </c>
    </row>
    <row r="1802" spans="2:5" x14ac:dyDescent="0.25">
      <c r="B1802" s="545">
        <v>2081</v>
      </c>
      <c r="C1802" s="553" t="s">
        <v>2948</v>
      </c>
      <c r="D1802" s="669" t="s">
        <v>417</v>
      </c>
      <c r="E1802" s="546">
        <v>742.19999199999995</v>
      </c>
    </row>
    <row r="1803" spans="2:5" x14ac:dyDescent="0.25">
      <c r="B1803" s="545">
        <v>2082</v>
      </c>
      <c r="C1803" s="553" t="s">
        <v>3915</v>
      </c>
      <c r="D1803" s="669" t="s">
        <v>417</v>
      </c>
      <c r="E1803" s="546">
        <v>739.90002400000003</v>
      </c>
    </row>
    <row r="1804" spans="2:5" x14ac:dyDescent="0.25">
      <c r="B1804" s="545">
        <v>2083</v>
      </c>
      <c r="C1804" s="553" t="s">
        <v>3751</v>
      </c>
      <c r="D1804" s="669" t="s">
        <v>417</v>
      </c>
      <c r="E1804" s="546">
        <v>729.70000300000004</v>
      </c>
    </row>
    <row r="1805" spans="2:5" x14ac:dyDescent="0.25">
      <c r="B1805" s="545">
        <v>2084</v>
      </c>
      <c r="C1805" s="553" t="s">
        <v>7605</v>
      </c>
      <c r="D1805" s="669" t="s">
        <v>417</v>
      </c>
      <c r="E1805" s="546">
        <v>732.177775</v>
      </c>
    </row>
    <row r="1806" spans="2:5" x14ac:dyDescent="0.25">
      <c r="B1806" s="545">
        <v>2085</v>
      </c>
      <c r="C1806" s="553" t="s">
        <v>7606</v>
      </c>
      <c r="D1806" s="669" t="s">
        <v>417</v>
      </c>
      <c r="E1806" s="546">
        <v>691.40002400000003</v>
      </c>
    </row>
    <row r="1807" spans="2:5" x14ac:dyDescent="0.25">
      <c r="B1807" s="545">
        <v>2087</v>
      </c>
      <c r="C1807" s="553" t="s">
        <v>6969</v>
      </c>
      <c r="D1807" s="669" t="s">
        <v>417</v>
      </c>
      <c r="E1807" s="546">
        <v>769.5</v>
      </c>
    </row>
    <row r="1808" spans="2:5" x14ac:dyDescent="0.25">
      <c r="B1808" s="545">
        <v>2088</v>
      </c>
      <c r="C1808" s="553" t="s">
        <v>6651</v>
      </c>
      <c r="D1808" s="669" t="s">
        <v>417</v>
      </c>
      <c r="E1808" s="546">
        <v>714.57499700000005</v>
      </c>
    </row>
    <row r="1809" spans="2:5" x14ac:dyDescent="0.25">
      <c r="B1809" s="545">
        <v>2096</v>
      </c>
      <c r="C1809" s="553" t="s">
        <v>2550</v>
      </c>
      <c r="D1809" s="669" t="s">
        <v>417</v>
      </c>
      <c r="E1809" s="546">
        <v>668.59997599999997</v>
      </c>
    </row>
    <row r="1810" spans="2:5" x14ac:dyDescent="0.25">
      <c r="B1810" s="545">
        <v>2101</v>
      </c>
      <c r="C1810" s="553" t="s">
        <v>2471</v>
      </c>
      <c r="D1810" s="669" t="s">
        <v>441</v>
      </c>
      <c r="E1810" s="546">
        <v>664.80000800000005</v>
      </c>
    </row>
    <row r="1811" spans="2:5" x14ac:dyDescent="0.25">
      <c r="B1811" s="545">
        <v>2102</v>
      </c>
      <c r="C1811" s="553" t="s">
        <v>1666</v>
      </c>
      <c r="D1811" s="669" t="s">
        <v>441</v>
      </c>
      <c r="E1811" s="546">
        <v>630.55000299999995</v>
      </c>
    </row>
    <row r="1812" spans="2:5" x14ac:dyDescent="0.25">
      <c r="B1812" s="545">
        <v>2103</v>
      </c>
      <c r="C1812" s="553" t="s">
        <v>1647</v>
      </c>
      <c r="D1812" s="669" t="s">
        <v>409</v>
      </c>
      <c r="E1812" s="546">
        <v>628.99998500000004</v>
      </c>
    </row>
    <row r="1813" spans="2:5" x14ac:dyDescent="0.25">
      <c r="B1813" s="545">
        <v>2104</v>
      </c>
      <c r="C1813" s="553" t="s">
        <v>3063</v>
      </c>
      <c r="D1813" s="669" t="s">
        <v>441</v>
      </c>
      <c r="E1813" s="546">
        <v>694.14999399999999</v>
      </c>
    </row>
    <row r="1814" spans="2:5" x14ac:dyDescent="0.25">
      <c r="B1814" s="545">
        <v>2105</v>
      </c>
      <c r="C1814" s="553" t="s">
        <v>1399</v>
      </c>
      <c r="D1814" s="669" t="s">
        <v>409</v>
      </c>
      <c r="E1814" s="546">
        <v>615.03332499999999</v>
      </c>
    </row>
    <row r="1815" spans="2:5" x14ac:dyDescent="0.25">
      <c r="B1815" s="545">
        <v>2106</v>
      </c>
      <c r="C1815" s="553" t="s">
        <v>1614</v>
      </c>
      <c r="D1815" s="669" t="s">
        <v>409</v>
      </c>
      <c r="E1815" s="546">
        <v>627.20000600000003</v>
      </c>
    </row>
    <row r="1816" spans="2:5" x14ac:dyDescent="0.25">
      <c r="B1816" s="545">
        <v>2107</v>
      </c>
      <c r="C1816" s="553" t="s">
        <v>1988</v>
      </c>
      <c r="D1816" s="669" t="s">
        <v>409</v>
      </c>
      <c r="E1816" s="546">
        <v>643.02500899999995</v>
      </c>
    </row>
    <row r="1817" spans="2:5" x14ac:dyDescent="0.25">
      <c r="B1817" s="545">
        <v>2108</v>
      </c>
      <c r="C1817" s="553" t="s">
        <v>1954</v>
      </c>
      <c r="D1817" s="669" t="s">
        <v>409</v>
      </c>
      <c r="E1817" s="546">
        <v>641.9375</v>
      </c>
    </row>
    <row r="1818" spans="2:5" x14ac:dyDescent="0.25">
      <c r="B1818" s="545">
        <v>2109</v>
      </c>
      <c r="C1818" s="553" t="s">
        <v>409</v>
      </c>
      <c r="D1818" s="669" t="s">
        <v>409</v>
      </c>
      <c r="E1818" s="546">
        <v>616.475864</v>
      </c>
    </row>
    <row r="1819" spans="2:5" x14ac:dyDescent="0.25">
      <c r="B1819" s="545">
        <v>2110</v>
      </c>
      <c r="C1819" s="553" t="s">
        <v>1535</v>
      </c>
      <c r="D1819" s="669" t="s">
        <v>409</v>
      </c>
      <c r="E1819" s="546">
        <v>622.54545499999995</v>
      </c>
    </row>
    <row r="1820" spans="2:5" x14ac:dyDescent="0.25">
      <c r="B1820" s="545">
        <v>2111</v>
      </c>
      <c r="C1820" s="553" t="s">
        <v>1501</v>
      </c>
      <c r="D1820" s="669" t="s">
        <v>409</v>
      </c>
      <c r="E1820" s="546">
        <v>620.63332600000001</v>
      </c>
    </row>
    <row r="1821" spans="2:5" x14ac:dyDescent="0.25">
      <c r="B1821" s="545">
        <v>2112</v>
      </c>
      <c r="C1821" s="553" t="s">
        <v>1921</v>
      </c>
      <c r="D1821" s="669" t="s">
        <v>409</v>
      </c>
      <c r="E1821" s="546">
        <v>641</v>
      </c>
    </row>
    <row r="1822" spans="2:5" x14ac:dyDescent="0.25">
      <c r="B1822" s="545">
        <v>2113</v>
      </c>
      <c r="C1822" s="553" t="s">
        <v>933</v>
      </c>
      <c r="D1822" s="669" t="s">
        <v>441</v>
      </c>
      <c r="E1822" s="546">
        <v>640.91666699999996</v>
      </c>
    </row>
    <row r="1823" spans="2:5" x14ac:dyDescent="0.25">
      <c r="B1823" s="545">
        <v>2114</v>
      </c>
      <c r="C1823" s="553" t="s">
        <v>1624</v>
      </c>
      <c r="D1823" s="669" t="s">
        <v>441</v>
      </c>
      <c r="E1823" s="546">
        <v>627.76248899999996</v>
      </c>
    </row>
    <row r="1824" spans="2:5" x14ac:dyDescent="0.25">
      <c r="B1824" s="545">
        <v>2115</v>
      </c>
      <c r="C1824" s="553" t="s">
        <v>1711</v>
      </c>
      <c r="D1824" s="669" t="s">
        <v>409</v>
      </c>
      <c r="E1824" s="546">
        <v>632.66665999999998</v>
      </c>
    </row>
    <row r="1825" spans="2:5" x14ac:dyDescent="0.25">
      <c r="B1825" s="545">
        <v>2116</v>
      </c>
      <c r="C1825" s="553" t="s">
        <v>4356</v>
      </c>
      <c r="D1825" s="669" t="s">
        <v>409</v>
      </c>
      <c r="E1825" s="546">
        <v>768.49999100000002</v>
      </c>
    </row>
    <row r="1826" spans="2:5" x14ac:dyDescent="0.25">
      <c r="B1826" s="545">
        <v>2117</v>
      </c>
      <c r="C1826" s="553" t="s">
        <v>2997</v>
      </c>
      <c r="D1826" s="669" t="s">
        <v>441</v>
      </c>
      <c r="E1826" s="546">
        <v>690.60001599999998</v>
      </c>
    </row>
    <row r="1827" spans="2:5" x14ac:dyDescent="0.25">
      <c r="B1827" s="545">
        <v>2118</v>
      </c>
      <c r="C1827" s="553" t="s">
        <v>3468</v>
      </c>
      <c r="D1827" s="669" t="s">
        <v>441</v>
      </c>
      <c r="E1827" s="546">
        <v>714.20999800000004</v>
      </c>
    </row>
    <row r="1828" spans="2:5" x14ac:dyDescent="0.25">
      <c r="B1828" s="545">
        <v>2119</v>
      </c>
      <c r="C1828" s="553" t="s">
        <v>6582</v>
      </c>
      <c r="D1828" s="669" t="s">
        <v>409</v>
      </c>
      <c r="E1828" s="546">
        <v>613.88750500000003</v>
      </c>
    </row>
    <row r="1829" spans="2:5" x14ac:dyDescent="0.25">
      <c r="B1829" s="545">
        <v>2120</v>
      </c>
      <c r="C1829" s="553" t="s">
        <v>6589</v>
      </c>
      <c r="D1829" s="669" t="s">
        <v>441</v>
      </c>
      <c r="E1829" s="546">
        <v>605.38572499999998</v>
      </c>
    </row>
    <row r="1830" spans="2:5" x14ac:dyDescent="0.25">
      <c r="B1830" s="545">
        <v>2121</v>
      </c>
      <c r="C1830" s="553" t="s">
        <v>2179</v>
      </c>
      <c r="D1830" s="669" t="s">
        <v>409</v>
      </c>
      <c r="E1830" s="546">
        <v>652.14000199999998</v>
      </c>
    </row>
    <row r="1831" spans="2:5" x14ac:dyDescent="0.25">
      <c r="B1831" s="545">
        <v>2122</v>
      </c>
      <c r="C1831" s="553" t="s">
        <v>1076</v>
      </c>
      <c r="D1831" s="669" t="s">
        <v>409</v>
      </c>
      <c r="E1831" s="546">
        <v>821.34001499999999</v>
      </c>
    </row>
    <row r="1832" spans="2:5" x14ac:dyDescent="0.25">
      <c r="B1832" s="545">
        <v>2123</v>
      </c>
      <c r="C1832" s="553" t="s">
        <v>807</v>
      </c>
      <c r="D1832" s="669" t="s">
        <v>409</v>
      </c>
      <c r="E1832" s="546">
        <v>723.78235199999995</v>
      </c>
    </row>
    <row r="1833" spans="2:5" x14ac:dyDescent="0.25">
      <c r="B1833" s="545">
        <v>2124</v>
      </c>
      <c r="C1833" s="553" t="s">
        <v>1588</v>
      </c>
      <c r="D1833" s="669" t="s">
        <v>409</v>
      </c>
      <c r="E1833" s="546">
        <v>625.70001200000002</v>
      </c>
    </row>
    <row r="1834" spans="2:5" x14ac:dyDescent="0.25">
      <c r="B1834" s="545">
        <v>2125</v>
      </c>
      <c r="C1834" s="553" t="s">
        <v>1568</v>
      </c>
      <c r="D1834" s="669" t="s">
        <v>409</v>
      </c>
      <c r="E1834" s="546">
        <v>624.63124500000004</v>
      </c>
    </row>
    <row r="1835" spans="2:5" x14ac:dyDescent="0.25">
      <c r="B1835" s="545">
        <v>2126</v>
      </c>
      <c r="C1835" s="553" t="s">
        <v>1806</v>
      </c>
      <c r="D1835" s="669" t="s">
        <v>409</v>
      </c>
      <c r="E1835" s="546">
        <v>636.32000700000003</v>
      </c>
    </row>
    <row r="1836" spans="2:5" x14ac:dyDescent="0.25">
      <c r="B1836" s="545">
        <v>2127</v>
      </c>
      <c r="C1836" s="553" t="s">
        <v>2097</v>
      </c>
      <c r="D1836" s="669" t="s">
        <v>409</v>
      </c>
      <c r="E1836" s="546">
        <v>805.89999399999999</v>
      </c>
    </row>
    <row r="1837" spans="2:5" x14ac:dyDescent="0.25">
      <c r="B1837" s="545">
        <v>2128</v>
      </c>
      <c r="C1837" s="553" t="s">
        <v>2899</v>
      </c>
      <c r="D1837" s="669" t="s">
        <v>409</v>
      </c>
      <c r="E1837" s="546">
        <v>685.89999399999999</v>
      </c>
    </row>
    <row r="1838" spans="2:5" x14ac:dyDescent="0.25">
      <c r="B1838" s="545">
        <v>2129</v>
      </c>
      <c r="C1838" s="553" t="s">
        <v>4047</v>
      </c>
      <c r="D1838" s="669" t="s">
        <v>409</v>
      </c>
      <c r="E1838" s="546">
        <v>747.9</v>
      </c>
    </row>
    <row r="1839" spans="2:5" x14ac:dyDescent="0.25">
      <c r="B1839" s="545">
        <v>2130</v>
      </c>
      <c r="C1839" s="553" t="s">
        <v>2294</v>
      </c>
      <c r="D1839" s="669" t="s">
        <v>409</v>
      </c>
      <c r="E1839" s="546">
        <v>657.03571399999998</v>
      </c>
    </row>
    <row r="1840" spans="2:5" x14ac:dyDescent="0.25">
      <c r="B1840" s="545">
        <v>2131</v>
      </c>
      <c r="C1840" s="553" t="s">
        <v>938</v>
      </c>
      <c r="D1840" s="669" t="s">
        <v>409</v>
      </c>
      <c r="E1840" s="546">
        <v>583.25</v>
      </c>
    </row>
    <row r="1841" spans="2:5" x14ac:dyDescent="0.25">
      <c r="B1841" s="545">
        <v>2132</v>
      </c>
      <c r="C1841" s="553" t="s">
        <v>2509</v>
      </c>
      <c r="D1841" s="669" t="s">
        <v>409</v>
      </c>
      <c r="E1841" s="546">
        <v>666.02856399999996</v>
      </c>
    </row>
    <row r="1842" spans="2:5" x14ac:dyDescent="0.25">
      <c r="B1842" s="545">
        <v>2133</v>
      </c>
      <c r="C1842" s="553" t="s">
        <v>1831</v>
      </c>
      <c r="D1842" s="669" t="s">
        <v>409</v>
      </c>
      <c r="E1842" s="546">
        <v>637.09997599999997</v>
      </c>
    </row>
    <row r="1843" spans="2:5" x14ac:dyDescent="0.25">
      <c r="B1843" s="545">
        <v>2134</v>
      </c>
      <c r="C1843" s="553" t="s">
        <v>2847</v>
      </c>
      <c r="D1843" s="669" t="s">
        <v>409</v>
      </c>
      <c r="E1843" s="546">
        <v>683.85999800000002</v>
      </c>
    </row>
    <row r="1844" spans="2:5" x14ac:dyDescent="0.25">
      <c r="B1844" s="545">
        <v>2135</v>
      </c>
      <c r="C1844" s="553" t="s">
        <v>2114</v>
      </c>
      <c r="D1844" s="669" t="s">
        <v>409</v>
      </c>
      <c r="E1844" s="546">
        <v>649.20001200000002</v>
      </c>
    </row>
    <row r="1845" spans="2:5" x14ac:dyDescent="0.25">
      <c r="B1845" s="545">
        <v>2136</v>
      </c>
      <c r="C1845" s="553" t="s">
        <v>2143</v>
      </c>
      <c r="D1845" s="669" t="s">
        <v>409</v>
      </c>
      <c r="E1845" s="546">
        <v>650.54998799999998</v>
      </c>
    </row>
    <row r="1846" spans="2:5" x14ac:dyDescent="0.25">
      <c r="B1846" s="545">
        <v>2137</v>
      </c>
      <c r="C1846" s="553" t="s">
        <v>1785</v>
      </c>
      <c r="D1846" s="669" t="s">
        <v>441</v>
      </c>
      <c r="E1846" s="546">
        <v>635.5</v>
      </c>
    </row>
    <row r="1847" spans="2:5" x14ac:dyDescent="0.25">
      <c r="B1847" s="545">
        <v>2138</v>
      </c>
      <c r="C1847" s="553" t="s">
        <v>1871</v>
      </c>
      <c r="D1847" s="669" t="s">
        <v>441</v>
      </c>
      <c r="E1847" s="546">
        <v>638.74284999999998</v>
      </c>
    </row>
    <row r="1848" spans="2:5" x14ac:dyDescent="0.25">
      <c r="B1848" s="545">
        <v>2139</v>
      </c>
      <c r="C1848" s="553" t="s">
        <v>6653</v>
      </c>
      <c r="D1848" s="669" t="s">
        <v>409</v>
      </c>
      <c r="E1848" s="546">
        <v>595.09997599999997</v>
      </c>
    </row>
    <row r="1849" spans="2:5" x14ac:dyDescent="0.25">
      <c r="B1849" s="545">
        <v>2140</v>
      </c>
      <c r="C1849" s="553" t="s">
        <v>6665</v>
      </c>
      <c r="D1849" s="669" t="s">
        <v>409</v>
      </c>
      <c r="E1849" s="546">
        <v>768.55000299999995</v>
      </c>
    </row>
    <row r="1850" spans="2:5" x14ac:dyDescent="0.25">
      <c r="B1850" s="545">
        <v>2141</v>
      </c>
      <c r="C1850" s="553" t="s">
        <v>3018</v>
      </c>
      <c r="D1850" s="669" t="s">
        <v>409</v>
      </c>
      <c r="E1850" s="546">
        <v>691.70001200000002</v>
      </c>
    </row>
    <row r="1851" spans="2:5" x14ac:dyDescent="0.25">
      <c r="B1851" s="545">
        <v>2142</v>
      </c>
      <c r="C1851" s="553" t="s">
        <v>2729</v>
      </c>
      <c r="D1851" s="669" t="s">
        <v>409</v>
      </c>
      <c r="E1851" s="546">
        <v>677.30000800000005</v>
      </c>
    </row>
    <row r="1852" spans="2:5" x14ac:dyDescent="0.25">
      <c r="B1852" s="545">
        <v>2143</v>
      </c>
      <c r="C1852" s="553" t="s">
        <v>1686</v>
      </c>
      <c r="D1852" s="669" t="s">
        <v>409</v>
      </c>
      <c r="E1852" s="546">
        <v>631.64999399999999</v>
      </c>
    </row>
    <row r="1853" spans="2:5" x14ac:dyDescent="0.25">
      <c r="B1853" s="545">
        <v>2144</v>
      </c>
      <c r="C1853" s="553" t="s">
        <v>6686</v>
      </c>
      <c r="D1853" s="669" t="s">
        <v>441</v>
      </c>
      <c r="E1853" s="546">
        <v>613.06664999999998</v>
      </c>
    </row>
    <row r="1854" spans="2:5" x14ac:dyDescent="0.25">
      <c r="B1854" s="545">
        <v>2145</v>
      </c>
      <c r="C1854" s="553" t="s">
        <v>1078</v>
      </c>
      <c r="D1854" s="669" t="s">
        <v>441</v>
      </c>
      <c r="E1854" s="546">
        <v>596.04999499999997</v>
      </c>
    </row>
    <row r="1855" spans="2:5" x14ac:dyDescent="0.25">
      <c r="B1855" s="545">
        <v>2146</v>
      </c>
      <c r="C1855" s="553" t="s">
        <v>1178</v>
      </c>
      <c r="D1855" s="669" t="s">
        <v>409</v>
      </c>
      <c r="E1855" s="546">
        <v>602.883331</v>
      </c>
    </row>
    <row r="1856" spans="2:5" x14ac:dyDescent="0.25">
      <c r="B1856" s="545">
        <v>2147</v>
      </c>
      <c r="C1856" s="553" t="s">
        <v>3781</v>
      </c>
      <c r="D1856" s="669" t="s">
        <v>409</v>
      </c>
      <c r="E1856" s="546">
        <v>731.74054000000001</v>
      </c>
    </row>
    <row r="1857" spans="2:5" x14ac:dyDescent="0.25">
      <c r="B1857" s="545">
        <v>2148</v>
      </c>
      <c r="C1857" s="553" t="s">
        <v>885</v>
      </c>
      <c r="D1857" s="669" t="s">
        <v>441</v>
      </c>
      <c r="E1857" s="546">
        <v>653.30000299999995</v>
      </c>
    </row>
    <row r="1858" spans="2:5" x14ac:dyDescent="0.25">
      <c r="B1858" s="545">
        <v>2149</v>
      </c>
      <c r="C1858" s="553" t="s">
        <v>2018</v>
      </c>
      <c r="D1858" s="669" t="s">
        <v>409</v>
      </c>
      <c r="E1858" s="546">
        <v>643.95001200000002</v>
      </c>
    </row>
    <row r="1859" spans="2:5" x14ac:dyDescent="0.25">
      <c r="B1859" s="545">
        <v>2150</v>
      </c>
      <c r="C1859" s="553" t="s">
        <v>2528</v>
      </c>
      <c r="D1859" s="669" t="s">
        <v>409</v>
      </c>
      <c r="E1859" s="546">
        <v>667.63332100000002</v>
      </c>
    </row>
    <row r="1860" spans="2:5" x14ac:dyDescent="0.25">
      <c r="B1860" s="545">
        <v>2151</v>
      </c>
      <c r="C1860" s="553" t="s">
        <v>1155</v>
      </c>
      <c r="D1860" s="669" t="s">
        <v>441</v>
      </c>
      <c r="E1860" s="546">
        <v>612.59999600000003</v>
      </c>
    </row>
    <row r="1861" spans="2:5" x14ac:dyDescent="0.25">
      <c r="B1861" s="545">
        <v>2152</v>
      </c>
      <c r="C1861" s="553" t="s">
        <v>3927</v>
      </c>
      <c r="D1861" s="669" t="s">
        <v>409</v>
      </c>
      <c r="E1861" s="546">
        <v>740.37999300000001</v>
      </c>
    </row>
    <row r="1862" spans="2:5" x14ac:dyDescent="0.25">
      <c r="B1862" s="545">
        <v>2153</v>
      </c>
      <c r="C1862" s="553" t="s">
        <v>1377</v>
      </c>
      <c r="D1862" s="669" t="s">
        <v>409</v>
      </c>
      <c r="E1862" s="546">
        <v>613.99285899999995</v>
      </c>
    </row>
    <row r="1863" spans="2:5" x14ac:dyDescent="0.25">
      <c r="B1863" s="545">
        <v>2154</v>
      </c>
      <c r="C1863" s="553" t="s">
        <v>883</v>
      </c>
      <c r="D1863" s="669" t="s">
        <v>409</v>
      </c>
      <c r="E1863" s="546">
        <v>621.60001599999998</v>
      </c>
    </row>
    <row r="1864" spans="2:5" x14ac:dyDescent="0.25">
      <c r="B1864" s="545">
        <v>2155</v>
      </c>
      <c r="C1864" s="553" t="s">
        <v>1724</v>
      </c>
      <c r="D1864" s="669" t="s">
        <v>409</v>
      </c>
      <c r="E1864" s="546">
        <v>633.32501200000002</v>
      </c>
    </row>
    <row r="1865" spans="2:5" x14ac:dyDescent="0.25">
      <c r="B1865" s="545">
        <v>2156</v>
      </c>
      <c r="C1865" s="553" t="s">
        <v>1748</v>
      </c>
      <c r="D1865" s="669" t="s">
        <v>441</v>
      </c>
      <c r="E1865" s="546">
        <v>634.02000099999998</v>
      </c>
    </row>
    <row r="1866" spans="2:5" x14ac:dyDescent="0.25">
      <c r="B1866" s="545">
        <v>2157</v>
      </c>
      <c r="C1866" s="553" t="s">
        <v>1295</v>
      </c>
      <c r="D1866" s="669" t="s">
        <v>441</v>
      </c>
      <c r="E1866" s="546">
        <v>609.4</v>
      </c>
    </row>
    <row r="1867" spans="2:5" x14ac:dyDescent="0.25">
      <c r="B1867" s="545">
        <v>2158</v>
      </c>
      <c r="C1867" s="553" t="s">
        <v>1228</v>
      </c>
      <c r="D1867" s="669" t="s">
        <v>441</v>
      </c>
      <c r="E1867" s="546">
        <v>605.39998800000001</v>
      </c>
    </row>
    <row r="1868" spans="2:5" x14ac:dyDescent="0.25">
      <c r="B1868" s="545">
        <v>2159</v>
      </c>
      <c r="C1868" s="553" t="s">
        <v>4736</v>
      </c>
      <c r="D1868" s="669" t="s">
        <v>409</v>
      </c>
      <c r="E1868" s="546">
        <v>799.23333700000001</v>
      </c>
    </row>
    <row r="1869" spans="2:5" x14ac:dyDescent="0.25">
      <c r="B1869" s="545">
        <v>2160</v>
      </c>
      <c r="C1869" s="553" t="s">
        <v>1595</v>
      </c>
      <c r="D1869" s="669" t="s">
        <v>409</v>
      </c>
      <c r="E1869" s="546">
        <v>626.163635</v>
      </c>
    </row>
    <row r="1870" spans="2:5" x14ac:dyDescent="0.25">
      <c r="B1870" s="545">
        <v>2161</v>
      </c>
      <c r="C1870" s="553" t="s">
        <v>2253</v>
      </c>
      <c r="D1870" s="669" t="s">
        <v>409</v>
      </c>
      <c r="E1870" s="546">
        <v>655.44000200000005</v>
      </c>
    </row>
    <row r="1871" spans="2:5" x14ac:dyDescent="0.25">
      <c r="B1871" s="545">
        <v>2162</v>
      </c>
      <c r="C1871" s="553" t="s">
        <v>1628</v>
      </c>
      <c r="D1871" s="669" t="s">
        <v>409</v>
      </c>
      <c r="E1871" s="546">
        <v>627.89998400000002</v>
      </c>
    </row>
    <row r="1872" spans="2:5" x14ac:dyDescent="0.25">
      <c r="B1872" s="545">
        <v>2163</v>
      </c>
      <c r="C1872" s="553" t="s">
        <v>4560</v>
      </c>
      <c r="D1872" s="669" t="s">
        <v>409</v>
      </c>
      <c r="E1872" s="546">
        <v>784.74444600000004</v>
      </c>
    </row>
    <row r="1873" spans="2:5" x14ac:dyDescent="0.25">
      <c r="B1873" s="545">
        <v>2164</v>
      </c>
      <c r="C1873" s="553" t="s">
        <v>2183</v>
      </c>
      <c r="D1873" s="669" t="s">
        <v>409</v>
      </c>
      <c r="E1873" s="546">
        <v>652.27999299999999</v>
      </c>
    </row>
    <row r="1874" spans="2:5" x14ac:dyDescent="0.25">
      <c r="B1874" s="545">
        <v>2165</v>
      </c>
      <c r="C1874" s="553" t="s">
        <v>1865</v>
      </c>
      <c r="D1874" s="669" t="s">
        <v>409</v>
      </c>
      <c r="E1874" s="546">
        <v>638.58333300000004</v>
      </c>
    </row>
    <row r="1875" spans="2:5" x14ac:dyDescent="0.25">
      <c r="B1875" s="545">
        <v>2166</v>
      </c>
      <c r="C1875" s="553" t="s">
        <v>2342</v>
      </c>
      <c r="D1875" s="669" t="s">
        <v>441</v>
      </c>
      <c r="E1875" s="546">
        <v>659.20001200000002</v>
      </c>
    </row>
    <row r="1876" spans="2:5" x14ac:dyDescent="0.25">
      <c r="B1876" s="545">
        <v>2167</v>
      </c>
      <c r="C1876" s="553" t="s">
        <v>1443</v>
      </c>
      <c r="D1876" s="669" t="s">
        <v>441</v>
      </c>
      <c r="E1876" s="546">
        <v>617.3125</v>
      </c>
    </row>
    <row r="1877" spans="2:5" x14ac:dyDescent="0.25">
      <c r="B1877" s="545">
        <v>2168</v>
      </c>
      <c r="C1877" s="553" t="s">
        <v>6835</v>
      </c>
      <c r="D1877" s="669" t="s">
        <v>409</v>
      </c>
      <c r="E1877" s="546">
        <v>766.57501200000002</v>
      </c>
    </row>
    <row r="1878" spans="2:5" x14ac:dyDescent="0.25">
      <c r="B1878" s="545">
        <v>2169</v>
      </c>
      <c r="C1878" s="553" t="s">
        <v>1359</v>
      </c>
      <c r="D1878" s="669" t="s">
        <v>409</v>
      </c>
      <c r="E1878" s="546">
        <v>613.03332499999999</v>
      </c>
    </row>
    <row r="1879" spans="2:5" x14ac:dyDescent="0.25">
      <c r="B1879" s="545">
        <v>2170</v>
      </c>
      <c r="C1879" s="553" t="s">
        <v>6864</v>
      </c>
      <c r="D1879" s="669" t="s">
        <v>409</v>
      </c>
      <c r="E1879" s="546">
        <v>700.21999500000004</v>
      </c>
    </row>
    <row r="1880" spans="2:5" x14ac:dyDescent="0.25">
      <c r="B1880" s="545">
        <v>2171</v>
      </c>
      <c r="C1880" s="553" t="s">
        <v>6885</v>
      </c>
      <c r="D1880" s="669" t="s">
        <v>409</v>
      </c>
      <c r="E1880" s="546">
        <v>748.85000600000001</v>
      </c>
    </row>
    <row r="1881" spans="2:5" x14ac:dyDescent="0.25">
      <c r="B1881" s="545">
        <v>2172</v>
      </c>
      <c r="C1881" s="553" t="s">
        <v>2513</v>
      </c>
      <c r="D1881" s="669" t="s">
        <v>409</v>
      </c>
      <c r="E1881" s="546">
        <v>666.5</v>
      </c>
    </row>
    <row r="1882" spans="2:5" x14ac:dyDescent="0.25">
      <c r="B1882" s="545">
        <v>2173</v>
      </c>
      <c r="C1882" s="553" t="s">
        <v>1950</v>
      </c>
      <c r="D1882" s="669" t="s">
        <v>409</v>
      </c>
      <c r="E1882" s="546">
        <v>641.72500600000001</v>
      </c>
    </row>
    <row r="1883" spans="2:5" x14ac:dyDescent="0.25">
      <c r="B1883" s="545">
        <v>2174</v>
      </c>
      <c r="C1883" s="553" t="s">
        <v>6944</v>
      </c>
      <c r="D1883" s="669" t="s">
        <v>441</v>
      </c>
      <c r="E1883" s="546">
        <v>629.14445000000001</v>
      </c>
    </row>
    <row r="1884" spans="2:5" x14ac:dyDescent="0.25">
      <c r="B1884" s="545">
        <v>2175</v>
      </c>
      <c r="C1884" s="553" t="s">
        <v>1325</v>
      </c>
      <c r="D1884" s="669" t="s">
        <v>409</v>
      </c>
      <c r="E1884" s="546">
        <v>611.10000600000001</v>
      </c>
    </row>
    <row r="1885" spans="2:5" x14ac:dyDescent="0.25">
      <c r="B1885" s="545">
        <v>2176</v>
      </c>
      <c r="C1885" s="553" t="s">
        <v>1140</v>
      </c>
      <c r="D1885" s="669" t="s">
        <v>409</v>
      </c>
      <c r="E1885" s="546">
        <v>709.41999499999997</v>
      </c>
    </row>
    <row r="1886" spans="2:5" x14ac:dyDescent="0.25">
      <c r="B1886" s="545">
        <v>2177</v>
      </c>
      <c r="C1886" s="553" t="s">
        <v>2173</v>
      </c>
      <c r="D1886" s="669" t="s">
        <v>441</v>
      </c>
      <c r="E1886" s="546">
        <v>651.90000399999997</v>
      </c>
    </row>
    <row r="1887" spans="2:5" x14ac:dyDescent="0.25">
      <c r="B1887" s="545">
        <v>2178</v>
      </c>
      <c r="C1887" s="553" t="s">
        <v>2346</v>
      </c>
      <c r="D1887" s="669" t="s">
        <v>409</v>
      </c>
      <c r="E1887" s="546">
        <v>659.40000399999997</v>
      </c>
    </row>
    <row r="1888" spans="2:5" x14ac:dyDescent="0.25">
      <c r="B1888" s="545">
        <v>2179</v>
      </c>
      <c r="C1888" s="553" t="s">
        <v>1145</v>
      </c>
      <c r="D1888" s="669" t="s">
        <v>409</v>
      </c>
      <c r="E1888" s="546">
        <v>600.49285499999996</v>
      </c>
    </row>
    <row r="1889" spans="2:5" x14ac:dyDescent="0.25">
      <c r="B1889" s="545">
        <v>2180</v>
      </c>
      <c r="C1889" s="553" t="s">
        <v>2193</v>
      </c>
      <c r="D1889" s="669" t="s">
        <v>409</v>
      </c>
      <c r="E1889" s="546">
        <v>652.63334099999997</v>
      </c>
    </row>
    <row r="1890" spans="2:5" x14ac:dyDescent="0.25">
      <c r="B1890" s="545">
        <v>2181</v>
      </c>
      <c r="C1890" s="553" t="s">
        <v>6980</v>
      </c>
      <c r="D1890" s="669" t="s">
        <v>441</v>
      </c>
      <c r="E1890" s="546">
        <v>677.30000500000006</v>
      </c>
    </row>
    <row r="1891" spans="2:5" x14ac:dyDescent="0.25">
      <c r="B1891" s="545">
        <v>2182</v>
      </c>
      <c r="C1891" s="553" t="s">
        <v>6981</v>
      </c>
      <c r="D1891" s="669" t="s">
        <v>441</v>
      </c>
      <c r="E1891" s="546">
        <v>687.31429600000001</v>
      </c>
    </row>
    <row r="1892" spans="2:5" x14ac:dyDescent="0.25">
      <c r="B1892" s="545">
        <v>2183</v>
      </c>
      <c r="C1892" s="553" t="s">
        <v>2107</v>
      </c>
      <c r="D1892" s="669" t="s">
        <v>441</v>
      </c>
      <c r="E1892" s="546">
        <v>648.79998799999998</v>
      </c>
    </row>
    <row r="1893" spans="2:5" x14ac:dyDescent="0.25">
      <c r="B1893" s="545">
        <v>2184</v>
      </c>
      <c r="C1893" s="553" t="s">
        <v>1672</v>
      </c>
      <c r="D1893" s="669" t="s">
        <v>409</v>
      </c>
      <c r="E1893" s="546">
        <v>630.76428699999997</v>
      </c>
    </row>
    <row r="1894" spans="2:5" x14ac:dyDescent="0.25">
      <c r="B1894" s="545">
        <v>2185</v>
      </c>
      <c r="C1894" s="553" t="s">
        <v>5391</v>
      </c>
      <c r="D1894" s="669" t="s">
        <v>409</v>
      </c>
      <c r="E1894" s="546">
        <v>876.85000600000001</v>
      </c>
    </row>
    <row r="1895" spans="2:5" x14ac:dyDescent="0.25">
      <c r="B1895" s="545">
        <v>2186</v>
      </c>
      <c r="C1895" s="553" t="s">
        <v>1326</v>
      </c>
      <c r="D1895" s="669" t="s">
        <v>409</v>
      </c>
      <c r="E1895" s="546">
        <v>611.14210600000001</v>
      </c>
    </row>
    <row r="1896" spans="2:5" x14ac:dyDescent="0.25">
      <c r="B1896" s="545">
        <v>2187</v>
      </c>
      <c r="C1896" s="553" t="s">
        <v>5251</v>
      </c>
      <c r="D1896" s="669" t="s">
        <v>409</v>
      </c>
      <c r="E1896" s="546">
        <v>853.77999299999999</v>
      </c>
    </row>
    <row r="1897" spans="2:5" x14ac:dyDescent="0.25">
      <c r="B1897" s="545">
        <v>2188</v>
      </c>
      <c r="C1897" s="553" t="s">
        <v>1555</v>
      </c>
      <c r="D1897" s="669" t="s">
        <v>441</v>
      </c>
      <c r="E1897" s="546">
        <v>623.97500600000001</v>
      </c>
    </row>
    <row r="1898" spans="2:5" x14ac:dyDescent="0.25">
      <c r="B1898" s="545">
        <v>2189</v>
      </c>
      <c r="C1898" s="553" t="s">
        <v>1728</v>
      </c>
      <c r="D1898" s="669" t="s">
        <v>409</v>
      </c>
      <c r="E1898" s="546">
        <v>633.52222400000005</v>
      </c>
    </row>
    <row r="1899" spans="2:5" x14ac:dyDescent="0.25">
      <c r="B1899" s="545">
        <v>2190</v>
      </c>
      <c r="C1899" s="553" t="s">
        <v>1423</v>
      </c>
      <c r="D1899" s="669" t="s">
        <v>409</v>
      </c>
      <c r="E1899" s="546">
        <v>616.49999400000002</v>
      </c>
    </row>
    <row r="1900" spans="2:5" x14ac:dyDescent="0.25">
      <c r="B1900" s="545">
        <v>2191</v>
      </c>
      <c r="C1900" s="553" t="s">
        <v>6998</v>
      </c>
      <c r="D1900" s="669" t="s">
        <v>409</v>
      </c>
      <c r="E1900" s="546">
        <v>629.16666699999996</v>
      </c>
    </row>
    <row r="1901" spans="2:5" x14ac:dyDescent="0.25">
      <c r="B1901" s="545">
        <v>2192</v>
      </c>
      <c r="C1901" s="553" t="s">
        <v>6999</v>
      </c>
      <c r="D1901" s="669" t="s">
        <v>409</v>
      </c>
      <c r="E1901" s="546">
        <v>623.81999499999995</v>
      </c>
    </row>
    <row r="1902" spans="2:5" x14ac:dyDescent="0.25">
      <c r="B1902" s="545">
        <v>2193</v>
      </c>
      <c r="C1902" s="553" t="s">
        <v>7012</v>
      </c>
      <c r="D1902" s="669" t="s">
        <v>409</v>
      </c>
      <c r="E1902" s="546">
        <v>783.61429299999998</v>
      </c>
    </row>
    <row r="1903" spans="2:5" x14ac:dyDescent="0.25">
      <c r="B1903" s="545">
        <v>2194</v>
      </c>
      <c r="C1903" s="553" t="s">
        <v>7011</v>
      </c>
      <c r="D1903" s="669" t="s">
        <v>409</v>
      </c>
      <c r="E1903" s="546">
        <v>663.71667500000001</v>
      </c>
    </row>
    <row r="1904" spans="2:5" x14ac:dyDescent="0.25">
      <c r="B1904" s="545">
        <v>2195</v>
      </c>
      <c r="C1904" s="553" t="s">
        <v>7016</v>
      </c>
      <c r="D1904" s="669" t="s">
        <v>409</v>
      </c>
      <c r="E1904" s="546">
        <v>801.22499800000003</v>
      </c>
    </row>
    <row r="1905" spans="2:5" x14ac:dyDescent="0.25">
      <c r="B1905" s="545">
        <v>2196</v>
      </c>
      <c r="C1905" s="553" t="s">
        <v>4876</v>
      </c>
      <c r="D1905" s="669" t="s">
        <v>409</v>
      </c>
      <c r="E1905" s="546">
        <v>809.5</v>
      </c>
    </row>
    <row r="1906" spans="2:5" x14ac:dyDescent="0.25">
      <c r="B1906" s="545">
        <v>2197</v>
      </c>
      <c r="C1906" s="553" t="s">
        <v>3354</v>
      </c>
      <c r="D1906" s="669" t="s">
        <v>441</v>
      </c>
      <c r="E1906" s="546">
        <v>708.75</v>
      </c>
    </row>
    <row r="1907" spans="2:5" x14ac:dyDescent="0.25">
      <c r="B1907" s="545">
        <v>2198</v>
      </c>
      <c r="C1907" s="553" t="s">
        <v>980</v>
      </c>
      <c r="D1907" s="669" t="s">
        <v>441</v>
      </c>
      <c r="E1907" s="546">
        <v>586.96667500000001</v>
      </c>
    </row>
    <row r="1908" spans="2:5" x14ac:dyDescent="0.25">
      <c r="B1908" s="545">
        <v>2199</v>
      </c>
      <c r="C1908" s="553" t="s">
        <v>5511</v>
      </c>
      <c r="D1908" s="669" t="s">
        <v>409</v>
      </c>
      <c r="E1908" s="546">
        <v>896.83333300000004</v>
      </c>
    </row>
    <row r="1909" spans="2:5" x14ac:dyDescent="0.25">
      <c r="B1909" s="545">
        <v>2200</v>
      </c>
      <c r="C1909" s="553" t="s">
        <v>1212</v>
      </c>
      <c r="D1909" s="669" t="s">
        <v>409</v>
      </c>
      <c r="E1909" s="546">
        <v>604.51110800000004</v>
      </c>
    </row>
    <row r="1910" spans="2:5" x14ac:dyDescent="0.25">
      <c r="B1910" s="545">
        <v>2201</v>
      </c>
      <c r="C1910" s="553" t="s">
        <v>2657</v>
      </c>
      <c r="D1910" s="669" t="s">
        <v>409</v>
      </c>
      <c r="E1910" s="546">
        <v>717.07499700000005</v>
      </c>
    </row>
    <row r="1911" spans="2:5" x14ac:dyDescent="0.25">
      <c r="B1911" s="545">
        <v>2202</v>
      </c>
      <c r="C1911" s="553" t="s">
        <v>2189</v>
      </c>
      <c r="D1911" s="669" t="s">
        <v>409</v>
      </c>
      <c r="E1911" s="546">
        <v>652.39999399999999</v>
      </c>
    </row>
    <row r="1912" spans="2:5" x14ac:dyDescent="0.25">
      <c r="B1912" s="545">
        <v>2203</v>
      </c>
      <c r="C1912" s="553" t="s">
        <v>7037</v>
      </c>
      <c r="D1912" s="669" t="s">
        <v>409</v>
      </c>
      <c r="E1912" s="546">
        <v>803.26666299999999</v>
      </c>
    </row>
    <row r="1913" spans="2:5" x14ac:dyDescent="0.25">
      <c r="B1913" s="545">
        <v>2204</v>
      </c>
      <c r="C1913" s="553" t="s">
        <v>7099</v>
      </c>
      <c r="D1913" s="669" t="s">
        <v>409</v>
      </c>
      <c r="E1913" s="546">
        <v>646.38888899999995</v>
      </c>
    </row>
    <row r="1914" spans="2:5" x14ac:dyDescent="0.25">
      <c r="B1914" s="545">
        <v>2205</v>
      </c>
      <c r="C1914" s="553" t="s">
        <v>1968</v>
      </c>
      <c r="D1914" s="669" t="s">
        <v>409</v>
      </c>
      <c r="E1914" s="546">
        <v>642.32498199999998</v>
      </c>
    </row>
    <row r="1915" spans="2:5" x14ac:dyDescent="0.25">
      <c r="B1915" s="545">
        <v>2206</v>
      </c>
      <c r="C1915" s="553" t="s">
        <v>941</v>
      </c>
      <c r="D1915" s="669" t="s">
        <v>441</v>
      </c>
      <c r="E1915" s="546">
        <v>583.54000199999996</v>
      </c>
    </row>
    <row r="1916" spans="2:5" x14ac:dyDescent="0.25">
      <c r="B1916" s="545">
        <v>2207</v>
      </c>
      <c r="C1916" s="553" t="s">
        <v>2755</v>
      </c>
      <c r="D1916" s="669" t="s">
        <v>409</v>
      </c>
      <c r="E1916" s="546">
        <v>678.53333499999997</v>
      </c>
    </row>
    <row r="1917" spans="2:5" x14ac:dyDescent="0.25">
      <c r="B1917" s="545">
        <v>2208</v>
      </c>
      <c r="C1917" s="553" t="s">
        <v>1503</v>
      </c>
      <c r="D1917" s="669" t="s">
        <v>409</v>
      </c>
      <c r="E1917" s="546">
        <v>620.740002</v>
      </c>
    </row>
    <row r="1918" spans="2:5" x14ac:dyDescent="0.25">
      <c r="B1918" s="545">
        <v>2209</v>
      </c>
      <c r="C1918" s="553" t="s">
        <v>2043</v>
      </c>
      <c r="D1918" s="669" t="s">
        <v>409</v>
      </c>
      <c r="E1918" s="546">
        <v>645.11250299999995</v>
      </c>
    </row>
    <row r="1919" spans="2:5" x14ac:dyDescent="0.25">
      <c r="B1919" s="545">
        <v>2210</v>
      </c>
      <c r="C1919" s="553" t="s">
        <v>2004</v>
      </c>
      <c r="D1919" s="669" t="s">
        <v>409</v>
      </c>
      <c r="E1919" s="546">
        <v>643.4</v>
      </c>
    </row>
    <row r="1920" spans="2:5" x14ac:dyDescent="0.25">
      <c r="B1920" s="545">
        <v>2211</v>
      </c>
      <c r="C1920" s="553" t="s">
        <v>1382</v>
      </c>
      <c r="D1920" s="669" t="s">
        <v>409</v>
      </c>
      <c r="E1920" s="546">
        <v>614.09997599999997</v>
      </c>
    </row>
    <row r="1921" spans="2:5" x14ac:dyDescent="0.25">
      <c r="B1921" s="545">
        <v>2212</v>
      </c>
      <c r="C1921" s="553" t="s">
        <v>2538</v>
      </c>
      <c r="D1921" s="669" t="s">
        <v>441</v>
      </c>
      <c r="E1921" s="546">
        <v>668.05555600000002</v>
      </c>
    </row>
    <row r="1922" spans="2:5" x14ac:dyDescent="0.25">
      <c r="B1922" s="545">
        <v>2213</v>
      </c>
      <c r="C1922" s="553" t="s">
        <v>698</v>
      </c>
      <c r="D1922" s="669" t="s">
        <v>409</v>
      </c>
      <c r="E1922" s="546">
        <v>839.05001800000002</v>
      </c>
    </row>
    <row r="1923" spans="2:5" x14ac:dyDescent="0.25">
      <c r="B1923" s="545">
        <v>2214</v>
      </c>
      <c r="C1923" s="553" t="s">
        <v>1737</v>
      </c>
      <c r="D1923" s="669" t="s">
        <v>441</v>
      </c>
      <c r="E1923" s="546">
        <v>633.69998199999998</v>
      </c>
    </row>
    <row r="1924" spans="2:5" x14ac:dyDescent="0.25">
      <c r="B1924" s="545">
        <v>2215</v>
      </c>
      <c r="C1924" s="553" t="s">
        <v>2634</v>
      </c>
      <c r="D1924" s="669" t="s">
        <v>409</v>
      </c>
      <c r="E1924" s="546">
        <v>673.17500299999995</v>
      </c>
    </row>
    <row r="1925" spans="2:5" x14ac:dyDescent="0.25">
      <c r="B1925" s="545">
        <v>2216</v>
      </c>
      <c r="C1925" s="553" t="s">
        <v>2922</v>
      </c>
      <c r="D1925" s="669" t="s">
        <v>409</v>
      </c>
      <c r="E1925" s="546">
        <v>686.61998300000005</v>
      </c>
    </row>
    <row r="1926" spans="2:5" x14ac:dyDescent="0.25">
      <c r="B1926" s="545">
        <v>2217</v>
      </c>
      <c r="C1926" s="553" t="s">
        <v>4103</v>
      </c>
      <c r="D1926" s="669" t="s">
        <v>409</v>
      </c>
      <c r="E1926" s="546">
        <v>751</v>
      </c>
    </row>
    <row r="1927" spans="2:5" x14ac:dyDescent="0.25">
      <c r="B1927" s="545">
        <v>2218</v>
      </c>
      <c r="C1927" s="553" t="s">
        <v>847</v>
      </c>
      <c r="D1927" s="669" t="s">
        <v>441</v>
      </c>
      <c r="E1927" s="546">
        <v>574.55000299999995</v>
      </c>
    </row>
    <row r="1928" spans="2:5" x14ac:dyDescent="0.25">
      <c r="B1928" s="545">
        <v>2219</v>
      </c>
      <c r="C1928" s="553" t="s">
        <v>1505</v>
      </c>
      <c r="D1928" s="669" t="s">
        <v>441</v>
      </c>
      <c r="E1928" s="546">
        <v>620.80001800000002</v>
      </c>
    </row>
    <row r="1929" spans="2:5" x14ac:dyDescent="0.25">
      <c r="B1929" s="545">
        <v>2220</v>
      </c>
      <c r="C1929" s="553" t="s">
        <v>4245</v>
      </c>
      <c r="D1929" s="669" t="s">
        <v>409</v>
      </c>
      <c r="E1929" s="546">
        <v>760.65713100000005</v>
      </c>
    </row>
    <row r="1930" spans="2:5" x14ac:dyDescent="0.25">
      <c r="B1930" s="545">
        <v>2221</v>
      </c>
      <c r="C1930" s="553" t="s">
        <v>7145</v>
      </c>
      <c r="D1930" s="669" t="s">
        <v>409</v>
      </c>
      <c r="E1930" s="546">
        <v>709.69999499999994</v>
      </c>
    </row>
    <row r="1931" spans="2:5" x14ac:dyDescent="0.25">
      <c r="B1931" s="545">
        <v>2222</v>
      </c>
      <c r="C1931" s="553" t="s">
        <v>1046</v>
      </c>
      <c r="D1931" s="669" t="s">
        <v>441</v>
      </c>
      <c r="E1931" s="546">
        <v>593.64999399999999</v>
      </c>
    </row>
    <row r="1932" spans="2:5" x14ac:dyDescent="0.25">
      <c r="B1932" s="545">
        <v>2223</v>
      </c>
      <c r="C1932" s="553" t="s">
        <v>1851</v>
      </c>
      <c r="D1932" s="669" t="s">
        <v>441</v>
      </c>
      <c r="E1932" s="546">
        <v>637.76666299999999</v>
      </c>
    </row>
    <row r="1933" spans="2:5" x14ac:dyDescent="0.25">
      <c r="B1933" s="545">
        <v>2224</v>
      </c>
      <c r="C1933" s="553" t="s">
        <v>1273</v>
      </c>
      <c r="D1933" s="669" t="s">
        <v>409</v>
      </c>
      <c r="E1933" s="546">
        <v>607.87999300000001</v>
      </c>
    </row>
    <row r="1934" spans="2:5" x14ac:dyDescent="0.25">
      <c r="B1934" s="545">
        <v>2225</v>
      </c>
      <c r="C1934" s="553" t="s">
        <v>2056</v>
      </c>
      <c r="D1934" s="669" t="s">
        <v>409</v>
      </c>
      <c r="E1934" s="546">
        <v>645.69999700000005</v>
      </c>
    </row>
    <row r="1935" spans="2:5" x14ac:dyDescent="0.25">
      <c r="B1935" s="545">
        <v>2226</v>
      </c>
      <c r="C1935" s="553" t="s">
        <v>1352</v>
      </c>
      <c r="D1935" s="669" t="s">
        <v>409</v>
      </c>
      <c r="E1935" s="546">
        <v>729.56667100000004</v>
      </c>
    </row>
    <row r="1936" spans="2:5" x14ac:dyDescent="0.25">
      <c r="B1936" s="545">
        <v>2227</v>
      </c>
      <c r="C1936" s="553" t="s">
        <v>1388</v>
      </c>
      <c r="D1936" s="669" t="s">
        <v>409</v>
      </c>
      <c r="E1936" s="546">
        <v>614.60001199999999</v>
      </c>
    </row>
    <row r="1937" spans="2:5" x14ac:dyDescent="0.25">
      <c r="B1937" s="545">
        <v>2228</v>
      </c>
      <c r="C1937" s="553" t="s">
        <v>912</v>
      </c>
      <c r="D1937" s="669" t="s">
        <v>441</v>
      </c>
      <c r="E1937" s="546">
        <v>580.71666500000003</v>
      </c>
    </row>
    <row r="1938" spans="2:5" x14ac:dyDescent="0.25">
      <c r="B1938" s="545">
        <v>2229</v>
      </c>
      <c r="C1938" s="553" t="s">
        <v>1346</v>
      </c>
      <c r="D1938" s="669" t="s">
        <v>409</v>
      </c>
      <c r="E1938" s="546">
        <v>639.15715699999998</v>
      </c>
    </row>
    <row r="1939" spans="2:5" x14ac:dyDescent="0.25">
      <c r="B1939" s="545">
        <v>2230</v>
      </c>
      <c r="C1939" s="553" t="s">
        <v>2819</v>
      </c>
      <c r="D1939" s="669" t="s">
        <v>409</v>
      </c>
      <c r="E1939" s="546">
        <v>682</v>
      </c>
    </row>
    <row r="1940" spans="2:5" x14ac:dyDescent="0.25">
      <c r="B1940" s="545">
        <v>2231</v>
      </c>
      <c r="C1940" s="553" t="s">
        <v>7178</v>
      </c>
      <c r="D1940" s="669" t="s">
        <v>409</v>
      </c>
      <c r="E1940" s="546">
        <v>643.10000300000002</v>
      </c>
    </row>
    <row r="1941" spans="2:5" x14ac:dyDescent="0.25">
      <c r="B1941" s="545">
        <v>2232</v>
      </c>
      <c r="C1941" s="553" t="s">
        <v>7182</v>
      </c>
      <c r="D1941" s="669" t="s">
        <v>409</v>
      </c>
      <c r="E1941" s="546">
        <v>643.06665499999997</v>
      </c>
    </row>
    <row r="1942" spans="2:5" x14ac:dyDescent="0.25">
      <c r="B1942" s="545">
        <v>2233</v>
      </c>
      <c r="C1942" s="553" t="s">
        <v>7203</v>
      </c>
      <c r="D1942" s="669" t="s">
        <v>409</v>
      </c>
      <c r="E1942" s="546">
        <v>637.16001000000006</v>
      </c>
    </row>
    <row r="1943" spans="2:5" x14ac:dyDescent="0.25">
      <c r="B1943" s="545">
        <v>2234</v>
      </c>
      <c r="C1943" s="553" t="s">
        <v>7232</v>
      </c>
      <c r="D1943" s="669" t="s">
        <v>409</v>
      </c>
      <c r="E1943" s="546">
        <v>628.13333499999999</v>
      </c>
    </row>
    <row r="1944" spans="2:5" x14ac:dyDescent="0.25">
      <c r="B1944" s="545">
        <v>2235</v>
      </c>
      <c r="C1944" s="553" t="s">
        <v>2387</v>
      </c>
      <c r="D1944" s="669" t="s">
        <v>409</v>
      </c>
      <c r="E1944" s="546">
        <v>661.5</v>
      </c>
    </row>
    <row r="1945" spans="2:5" x14ac:dyDescent="0.25">
      <c r="B1945" s="545">
        <v>2236</v>
      </c>
      <c r="C1945" s="553" t="s">
        <v>7238</v>
      </c>
      <c r="D1945" s="669" t="s">
        <v>409</v>
      </c>
      <c r="E1945" s="546">
        <v>805.23999000000003</v>
      </c>
    </row>
    <row r="1946" spans="2:5" x14ac:dyDescent="0.25">
      <c r="B1946" s="545">
        <v>2237</v>
      </c>
      <c r="C1946" s="553" t="s">
        <v>4038</v>
      </c>
      <c r="D1946" s="669" t="s">
        <v>409</v>
      </c>
      <c r="E1946" s="546">
        <v>747.29998799999998</v>
      </c>
    </row>
    <row r="1947" spans="2:5" x14ac:dyDescent="0.25">
      <c r="B1947" s="545">
        <v>2238</v>
      </c>
      <c r="C1947" s="553" t="s">
        <v>848</v>
      </c>
      <c r="D1947" s="669" t="s">
        <v>409</v>
      </c>
      <c r="E1947" s="546">
        <v>835.96665399999995</v>
      </c>
    </row>
    <row r="1948" spans="2:5" x14ac:dyDescent="0.25">
      <c r="B1948" s="545">
        <v>2239</v>
      </c>
      <c r="C1948" s="553" t="s">
        <v>2572</v>
      </c>
      <c r="D1948" s="669" t="s">
        <v>409</v>
      </c>
      <c r="E1948" s="546">
        <v>669.2</v>
      </c>
    </row>
    <row r="1949" spans="2:5" x14ac:dyDescent="0.25">
      <c r="B1949" s="545">
        <v>2240</v>
      </c>
      <c r="C1949" s="553" t="s">
        <v>2243</v>
      </c>
      <c r="D1949" s="669" t="s">
        <v>441</v>
      </c>
      <c r="E1949" s="546">
        <v>654.89999399999999</v>
      </c>
    </row>
    <row r="1950" spans="2:5" x14ac:dyDescent="0.25">
      <c r="B1950" s="545">
        <v>2241</v>
      </c>
      <c r="C1950" s="553" t="s">
        <v>1367</v>
      </c>
      <c r="D1950" s="669" t="s">
        <v>409</v>
      </c>
      <c r="E1950" s="546">
        <v>613.69090700000004</v>
      </c>
    </row>
    <row r="1951" spans="2:5" x14ac:dyDescent="0.25">
      <c r="B1951" s="545">
        <v>2242</v>
      </c>
      <c r="C1951" s="553" t="s">
        <v>1444</v>
      </c>
      <c r="D1951" s="669" t="s">
        <v>409</v>
      </c>
      <c r="E1951" s="546">
        <v>617.32858699999997</v>
      </c>
    </row>
    <row r="1952" spans="2:5" x14ac:dyDescent="0.25">
      <c r="B1952" s="545">
        <v>2243</v>
      </c>
      <c r="C1952" s="553" t="s">
        <v>7274</v>
      </c>
      <c r="D1952" s="669" t="s">
        <v>409</v>
      </c>
      <c r="E1952" s="546">
        <v>627.45000600000003</v>
      </c>
    </row>
    <row r="1953" spans="2:5" x14ac:dyDescent="0.25">
      <c r="B1953" s="545">
        <v>2244</v>
      </c>
      <c r="C1953" s="553" t="s">
        <v>5053</v>
      </c>
      <c r="D1953" s="669" t="s">
        <v>409</v>
      </c>
      <c r="E1953" s="546">
        <v>828.60000200000002</v>
      </c>
    </row>
    <row r="1954" spans="2:5" x14ac:dyDescent="0.25">
      <c r="B1954" s="545">
        <v>2245</v>
      </c>
      <c r="C1954" s="553" t="s">
        <v>1890</v>
      </c>
      <c r="D1954" s="669" t="s">
        <v>409</v>
      </c>
      <c r="E1954" s="546">
        <v>639.52499399999999</v>
      </c>
    </row>
    <row r="1955" spans="2:5" x14ac:dyDescent="0.25">
      <c r="B1955" s="545">
        <v>2246</v>
      </c>
      <c r="C1955" s="553" t="s">
        <v>1085</v>
      </c>
      <c r="D1955" s="669" t="s">
        <v>441</v>
      </c>
      <c r="E1955" s="546">
        <v>596.33331299999998</v>
      </c>
    </row>
    <row r="1956" spans="2:5" x14ac:dyDescent="0.25">
      <c r="B1956" s="545">
        <v>2247</v>
      </c>
      <c r="C1956" s="553" t="s">
        <v>5302</v>
      </c>
      <c r="D1956" s="669" t="s">
        <v>409</v>
      </c>
      <c r="E1956" s="546">
        <v>862.27499399999999</v>
      </c>
    </row>
    <row r="1957" spans="2:5" x14ac:dyDescent="0.25">
      <c r="B1957" s="545">
        <v>2248</v>
      </c>
      <c r="C1957" s="553" t="s">
        <v>700</v>
      </c>
      <c r="D1957" s="669" t="s">
        <v>409</v>
      </c>
      <c r="E1957" s="546">
        <v>607.88000499999998</v>
      </c>
    </row>
    <row r="1958" spans="2:5" x14ac:dyDescent="0.25">
      <c r="B1958" s="545">
        <v>2249</v>
      </c>
      <c r="C1958" s="553" t="s">
        <v>2184</v>
      </c>
      <c r="D1958" s="669" t="s">
        <v>409</v>
      </c>
      <c r="E1958" s="546">
        <v>652.29998799999998</v>
      </c>
    </row>
    <row r="1959" spans="2:5" x14ac:dyDescent="0.25">
      <c r="B1959" s="545">
        <v>2250</v>
      </c>
      <c r="C1959" s="553" t="s">
        <v>1664</v>
      </c>
      <c r="D1959" s="669" t="s">
        <v>409</v>
      </c>
      <c r="E1959" s="546">
        <v>630.45999099999995</v>
      </c>
    </row>
    <row r="1960" spans="2:5" x14ac:dyDescent="0.25">
      <c r="B1960" s="545">
        <v>2251</v>
      </c>
      <c r="C1960" s="553" t="s">
        <v>2985</v>
      </c>
      <c r="D1960" s="669" t="s">
        <v>409</v>
      </c>
      <c r="E1960" s="546">
        <v>689.81428700000004</v>
      </c>
    </row>
    <row r="1961" spans="2:5" x14ac:dyDescent="0.25">
      <c r="B1961" s="545">
        <v>2252</v>
      </c>
      <c r="C1961" s="553" t="s">
        <v>1072</v>
      </c>
      <c r="D1961" s="669" t="s">
        <v>441</v>
      </c>
      <c r="E1961" s="546">
        <v>595.64999399999999</v>
      </c>
    </row>
    <row r="1962" spans="2:5" x14ac:dyDescent="0.25">
      <c r="B1962" s="545">
        <v>2253</v>
      </c>
      <c r="C1962" s="553" t="s">
        <v>1146</v>
      </c>
      <c r="D1962" s="669" t="s">
        <v>441</v>
      </c>
      <c r="E1962" s="546">
        <v>600.52499399999999</v>
      </c>
    </row>
    <row r="1963" spans="2:5" x14ac:dyDescent="0.25">
      <c r="B1963" s="545">
        <v>2254</v>
      </c>
      <c r="C1963" s="553" t="s">
        <v>7318</v>
      </c>
      <c r="D1963" s="669" t="s">
        <v>409</v>
      </c>
      <c r="E1963" s="546">
        <v>654.45001200000002</v>
      </c>
    </row>
    <row r="1964" spans="2:5" x14ac:dyDescent="0.25">
      <c r="B1964" s="545">
        <v>2255</v>
      </c>
      <c r="C1964" s="553" t="s">
        <v>1066</v>
      </c>
      <c r="D1964" s="669" t="s">
        <v>409</v>
      </c>
      <c r="E1964" s="546">
        <v>595.15455199999997</v>
      </c>
    </row>
    <row r="1965" spans="2:5" x14ac:dyDescent="0.25">
      <c r="B1965" s="545">
        <v>2256</v>
      </c>
      <c r="C1965" s="553" t="s">
        <v>2089</v>
      </c>
      <c r="D1965" s="669" t="s">
        <v>409</v>
      </c>
      <c r="E1965" s="546">
        <v>803.19166600000005</v>
      </c>
    </row>
    <row r="1966" spans="2:5" x14ac:dyDescent="0.25">
      <c r="B1966" s="545">
        <v>2257</v>
      </c>
      <c r="C1966" s="553" t="s">
        <v>2586</v>
      </c>
      <c r="D1966" s="669" t="s">
        <v>409</v>
      </c>
      <c r="E1966" s="546">
        <v>669.95001200000002</v>
      </c>
    </row>
    <row r="1967" spans="2:5" x14ac:dyDescent="0.25">
      <c r="B1967" s="545">
        <v>2258</v>
      </c>
      <c r="C1967" s="553" t="s">
        <v>1971</v>
      </c>
      <c r="D1967" s="669" t="s">
        <v>409</v>
      </c>
      <c r="E1967" s="546">
        <v>642.38000499999998</v>
      </c>
    </row>
    <row r="1968" spans="2:5" x14ac:dyDescent="0.25">
      <c r="B1968" s="545">
        <v>2259</v>
      </c>
      <c r="C1968" s="553" t="s">
        <v>2255</v>
      </c>
      <c r="D1968" s="669" t="s">
        <v>441</v>
      </c>
      <c r="E1968" s="546">
        <v>655.52499399999999</v>
      </c>
    </row>
    <row r="1969" spans="2:5" x14ac:dyDescent="0.25">
      <c r="B1969" s="545">
        <v>2260</v>
      </c>
      <c r="C1969" s="553" t="s">
        <v>1331</v>
      </c>
      <c r="D1969" s="669" t="s">
        <v>409</v>
      </c>
      <c r="E1969" s="546">
        <v>611.35454200000004</v>
      </c>
    </row>
    <row r="1970" spans="2:5" x14ac:dyDescent="0.25">
      <c r="B1970" s="545">
        <v>2261</v>
      </c>
      <c r="C1970" s="553" t="s">
        <v>1601</v>
      </c>
      <c r="D1970" s="669" t="s">
        <v>441</v>
      </c>
      <c r="E1970" s="546">
        <v>626.51428199999998</v>
      </c>
    </row>
    <row r="1971" spans="2:5" x14ac:dyDescent="0.25">
      <c r="B1971" s="545">
        <v>2262</v>
      </c>
      <c r="C1971" s="553" t="s">
        <v>1948</v>
      </c>
      <c r="D1971" s="669" t="s">
        <v>409</v>
      </c>
      <c r="E1971" s="546">
        <v>641.68001700000002</v>
      </c>
    </row>
    <row r="1972" spans="2:5" x14ac:dyDescent="0.25">
      <c r="B1972" s="545">
        <v>2263</v>
      </c>
      <c r="C1972" s="553" t="s">
        <v>1627</v>
      </c>
      <c r="D1972" s="669" t="s">
        <v>409</v>
      </c>
      <c r="E1972" s="546">
        <v>627.85000600000001</v>
      </c>
    </row>
    <row r="1973" spans="2:5" x14ac:dyDescent="0.25">
      <c r="B1973" s="545">
        <v>2264</v>
      </c>
      <c r="C1973" s="553" t="s">
        <v>1922</v>
      </c>
      <c r="D1973" s="669" t="s">
        <v>409</v>
      </c>
      <c r="E1973" s="546">
        <v>641.01666299999999</v>
      </c>
    </row>
    <row r="1974" spans="2:5" x14ac:dyDescent="0.25">
      <c r="B1974" s="545">
        <v>2265</v>
      </c>
      <c r="C1974" s="553" t="s">
        <v>1420</v>
      </c>
      <c r="D1974" s="669" t="s">
        <v>441</v>
      </c>
      <c r="E1974" s="546">
        <v>616.44000200000005</v>
      </c>
    </row>
    <row r="1975" spans="2:5" x14ac:dyDescent="0.25">
      <c r="B1975" s="545">
        <v>2266</v>
      </c>
      <c r="C1975" s="553" t="s">
        <v>2574</v>
      </c>
      <c r="D1975" s="669" t="s">
        <v>441</v>
      </c>
      <c r="E1975" s="546">
        <v>669.30001800000002</v>
      </c>
    </row>
    <row r="1976" spans="2:5" x14ac:dyDescent="0.25">
      <c r="B1976" s="545">
        <v>2267</v>
      </c>
      <c r="C1976" s="553" t="s">
        <v>826</v>
      </c>
      <c r="D1976" s="669" t="s">
        <v>409</v>
      </c>
      <c r="E1976" s="546">
        <v>648.389996</v>
      </c>
    </row>
    <row r="1977" spans="2:5" x14ac:dyDescent="0.25">
      <c r="B1977" s="545">
        <v>2268</v>
      </c>
      <c r="C1977" s="553" t="s">
        <v>1966</v>
      </c>
      <c r="D1977" s="669" t="s">
        <v>409</v>
      </c>
      <c r="E1977" s="546">
        <v>642.20001200000002</v>
      </c>
    </row>
    <row r="1978" spans="2:5" x14ac:dyDescent="0.25">
      <c r="B1978" s="545">
        <v>2269</v>
      </c>
      <c r="C1978" s="553" t="s">
        <v>1544</v>
      </c>
      <c r="D1978" s="669" t="s">
        <v>441</v>
      </c>
      <c r="E1978" s="546">
        <v>623.29998799999998</v>
      </c>
    </row>
    <row r="1979" spans="2:5" x14ac:dyDescent="0.25">
      <c r="B1979" s="545">
        <v>2270</v>
      </c>
      <c r="C1979" s="553" t="s">
        <v>7354</v>
      </c>
      <c r="D1979" s="669" t="s">
        <v>409</v>
      </c>
      <c r="E1979" s="546">
        <v>623.32000700000003</v>
      </c>
    </row>
    <row r="1980" spans="2:5" x14ac:dyDescent="0.25">
      <c r="B1980" s="545">
        <v>2271</v>
      </c>
      <c r="C1980" s="553" t="s">
        <v>3480</v>
      </c>
      <c r="D1980" s="669" t="s">
        <v>409</v>
      </c>
      <c r="E1980" s="546">
        <v>715.01999499999999</v>
      </c>
    </row>
    <row r="1981" spans="2:5" x14ac:dyDescent="0.25">
      <c r="B1981" s="545">
        <v>2272</v>
      </c>
      <c r="C1981" s="553" t="s">
        <v>7379</v>
      </c>
      <c r="D1981" s="669" t="s">
        <v>409</v>
      </c>
      <c r="E1981" s="546">
        <v>616.93335000000002</v>
      </c>
    </row>
    <row r="1982" spans="2:5" x14ac:dyDescent="0.25">
      <c r="B1982" s="545">
        <v>2273</v>
      </c>
      <c r="C1982" s="553" t="s">
        <v>2045</v>
      </c>
      <c r="D1982" s="669" t="s">
        <v>409</v>
      </c>
      <c r="E1982" s="546">
        <v>645.20000300000004</v>
      </c>
    </row>
    <row r="1983" spans="2:5" x14ac:dyDescent="0.25">
      <c r="B1983" s="545">
        <v>2274</v>
      </c>
      <c r="C1983" s="553" t="s">
        <v>2030</v>
      </c>
      <c r="D1983" s="669" t="s">
        <v>441</v>
      </c>
      <c r="E1983" s="546">
        <v>644.25</v>
      </c>
    </row>
    <row r="1984" spans="2:5" x14ac:dyDescent="0.25">
      <c r="B1984" s="545">
        <v>2275</v>
      </c>
      <c r="C1984" s="553" t="s">
        <v>1181</v>
      </c>
      <c r="D1984" s="669" t="s">
        <v>409</v>
      </c>
      <c r="E1984" s="546">
        <v>603.10000200000002</v>
      </c>
    </row>
    <row r="1985" spans="2:5" x14ac:dyDescent="0.25">
      <c r="B1985" s="545">
        <v>2276</v>
      </c>
      <c r="C1985" s="553" t="s">
        <v>1470</v>
      </c>
      <c r="D1985" s="669" t="s">
        <v>409</v>
      </c>
      <c r="E1985" s="546">
        <v>618.75</v>
      </c>
    </row>
    <row r="1986" spans="2:5" x14ac:dyDescent="0.25">
      <c r="B1986" s="545">
        <v>2277</v>
      </c>
      <c r="C1986" s="553" t="s">
        <v>2522</v>
      </c>
      <c r="D1986" s="669" t="s">
        <v>409</v>
      </c>
      <c r="E1986" s="546">
        <v>666.90000399999997</v>
      </c>
    </row>
    <row r="1987" spans="2:5" x14ac:dyDescent="0.25">
      <c r="B1987" s="545">
        <v>2278</v>
      </c>
      <c r="C1987" s="553" t="s">
        <v>2814</v>
      </c>
      <c r="D1987" s="669" t="s">
        <v>409</v>
      </c>
      <c r="E1987" s="546">
        <v>681.84997599999997</v>
      </c>
    </row>
    <row r="1988" spans="2:5" x14ac:dyDescent="0.25">
      <c r="B1988" s="545">
        <v>2279</v>
      </c>
      <c r="C1988" s="553" t="s">
        <v>4130</v>
      </c>
      <c r="D1988" s="669" t="s">
        <v>409</v>
      </c>
      <c r="E1988" s="546">
        <v>752.44286199999999</v>
      </c>
    </row>
    <row r="1989" spans="2:5" x14ac:dyDescent="0.25">
      <c r="B1989" s="545">
        <v>2280</v>
      </c>
      <c r="C1989" s="553" t="s">
        <v>6611</v>
      </c>
      <c r="D1989" s="669" t="s">
        <v>409</v>
      </c>
      <c r="E1989" s="546">
        <v>622.01667299999997</v>
      </c>
    </row>
    <row r="1990" spans="2:5" x14ac:dyDescent="0.25">
      <c r="B1990" s="545">
        <v>2281</v>
      </c>
      <c r="C1990" s="553" t="s">
        <v>6511</v>
      </c>
      <c r="D1990" s="669" t="s">
        <v>409</v>
      </c>
      <c r="E1990" s="546">
        <v>658.29999499999997</v>
      </c>
    </row>
    <row r="1991" spans="2:5" x14ac:dyDescent="0.25">
      <c r="B1991" s="545">
        <v>2282</v>
      </c>
      <c r="C1991" s="553" t="s">
        <v>6928</v>
      </c>
      <c r="D1991" s="669" t="s">
        <v>409</v>
      </c>
      <c r="E1991" s="546">
        <v>639.61764700000003</v>
      </c>
    </row>
    <row r="1992" spans="2:5" x14ac:dyDescent="0.25">
      <c r="B1992" s="545">
        <v>2283</v>
      </c>
      <c r="C1992" s="553" t="s">
        <v>2226</v>
      </c>
      <c r="D1992" s="669" t="s">
        <v>409</v>
      </c>
      <c r="E1992" s="546">
        <v>654.20001200000002</v>
      </c>
    </row>
    <row r="1993" spans="2:5" x14ac:dyDescent="0.25">
      <c r="B1993" s="545">
        <v>2284</v>
      </c>
      <c r="C1993" s="553" t="s">
        <v>2026</v>
      </c>
      <c r="D1993" s="669" t="s">
        <v>409</v>
      </c>
      <c r="E1993" s="546">
        <v>644.14999399999999</v>
      </c>
    </row>
    <row r="1994" spans="2:5" x14ac:dyDescent="0.25">
      <c r="B1994" s="545">
        <v>2285</v>
      </c>
      <c r="C1994" s="553" t="s">
        <v>2454</v>
      </c>
      <c r="D1994" s="669" t="s">
        <v>409</v>
      </c>
      <c r="E1994" s="546">
        <v>664.25</v>
      </c>
    </row>
    <row r="1995" spans="2:5" x14ac:dyDescent="0.25">
      <c r="B1995" s="545">
        <v>2286</v>
      </c>
      <c r="C1995" s="553" t="s">
        <v>1440</v>
      </c>
      <c r="D1995" s="669" t="s">
        <v>441</v>
      </c>
      <c r="E1995" s="546">
        <v>617.19999199999995</v>
      </c>
    </row>
    <row r="1996" spans="2:5" x14ac:dyDescent="0.25">
      <c r="B1996" s="545">
        <v>2287</v>
      </c>
      <c r="C1996" s="553" t="s">
        <v>7469</v>
      </c>
      <c r="D1996" s="669" t="s">
        <v>409</v>
      </c>
      <c r="E1996" s="546">
        <v>633.22500600000001</v>
      </c>
    </row>
    <row r="1997" spans="2:5" x14ac:dyDescent="0.25">
      <c r="B1997" s="545">
        <v>2288</v>
      </c>
      <c r="C1997" s="553" t="s">
        <v>4988</v>
      </c>
      <c r="D1997" s="669" t="s">
        <v>409</v>
      </c>
      <c r="E1997" s="546">
        <v>821.09999400000004</v>
      </c>
    </row>
    <row r="1998" spans="2:5" x14ac:dyDescent="0.25">
      <c r="B1998" s="545">
        <v>2289</v>
      </c>
      <c r="C1998" s="553" t="s">
        <v>3696</v>
      </c>
      <c r="D1998" s="669" t="s">
        <v>409</v>
      </c>
      <c r="E1998" s="546">
        <v>726.93332899999996</v>
      </c>
    </row>
    <row r="1999" spans="2:5" x14ac:dyDescent="0.25">
      <c r="B1999" s="545">
        <v>2290</v>
      </c>
      <c r="C1999" s="553" t="s">
        <v>2569</v>
      </c>
      <c r="D1999" s="669" t="s">
        <v>409</v>
      </c>
      <c r="E1999" s="546">
        <v>746.74999200000002</v>
      </c>
    </row>
    <row r="2000" spans="2:5" x14ac:dyDescent="0.25">
      <c r="B2000" s="545">
        <v>2291</v>
      </c>
      <c r="C2000" s="553" t="s">
        <v>1153</v>
      </c>
      <c r="D2000" s="669" t="s">
        <v>409</v>
      </c>
      <c r="E2000" s="546">
        <v>601.24286800000004</v>
      </c>
    </row>
    <row r="2001" spans="2:5" x14ac:dyDescent="0.25">
      <c r="B2001" s="545">
        <v>2292</v>
      </c>
      <c r="C2001" s="553" t="s">
        <v>1827</v>
      </c>
      <c r="D2001" s="669" t="s">
        <v>409</v>
      </c>
      <c r="E2001" s="546">
        <v>636.94000200000005</v>
      </c>
    </row>
    <row r="2002" spans="2:5" x14ac:dyDescent="0.25">
      <c r="B2002" s="545">
        <v>2293</v>
      </c>
      <c r="C2002" s="553" t="s">
        <v>1822</v>
      </c>
      <c r="D2002" s="669" t="s">
        <v>409</v>
      </c>
      <c r="E2002" s="546">
        <v>636.79999699999996</v>
      </c>
    </row>
    <row r="2003" spans="2:5" x14ac:dyDescent="0.25">
      <c r="B2003" s="545">
        <v>2294</v>
      </c>
      <c r="C2003" s="553" t="s">
        <v>2869</v>
      </c>
      <c r="D2003" s="669" t="s">
        <v>409</v>
      </c>
      <c r="E2003" s="546">
        <v>774.20833300000004</v>
      </c>
    </row>
    <row r="2004" spans="2:5" x14ac:dyDescent="0.25">
      <c r="B2004" s="545">
        <v>2295</v>
      </c>
      <c r="C2004" s="553" t="s">
        <v>1765</v>
      </c>
      <c r="D2004" s="669" t="s">
        <v>409</v>
      </c>
      <c r="E2004" s="546">
        <v>634.70001200000002</v>
      </c>
    </row>
    <row r="2005" spans="2:5" x14ac:dyDescent="0.25">
      <c r="B2005" s="545">
        <v>2296</v>
      </c>
      <c r="C2005" s="553" t="s">
        <v>1323</v>
      </c>
      <c r="D2005" s="669" t="s">
        <v>409</v>
      </c>
      <c r="E2005" s="546">
        <v>611.03333899999996</v>
      </c>
    </row>
    <row r="2006" spans="2:5" x14ac:dyDescent="0.25">
      <c r="B2006" s="545">
        <v>2297</v>
      </c>
      <c r="C2006" s="553" t="s">
        <v>2541</v>
      </c>
      <c r="D2006" s="669" t="s">
        <v>409</v>
      </c>
      <c r="E2006" s="546">
        <v>668.15001400000006</v>
      </c>
    </row>
    <row r="2007" spans="2:5" x14ac:dyDescent="0.25">
      <c r="B2007" s="545">
        <v>2298</v>
      </c>
      <c r="C2007" s="553" t="s">
        <v>7495</v>
      </c>
      <c r="D2007" s="669" t="s">
        <v>409</v>
      </c>
      <c r="E2007" s="546">
        <v>614.30000800000005</v>
      </c>
    </row>
    <row r="2008" spans="2:5" x14ac:dyDescent="0.25">
      <c r="B2008" s="545">
        <v>2299</v>
      </c>
      <c r="C2008" s="553" t="s">
        <v>1451</v>
      </c>
      <c r="D2008" s="669" t="s">
        <v>409</v>
      </c>
      <c r="E2008" s="546">
        <v>617.75454400000001</v>
      </c>
    </row>
    <row r="2009" spans="2:5" x14ac:dyDescent="0.25">
      <c r="B2009" s="545">
        <v>2300</v>
      </c>
      <c r="C2009" s="553" t="s">
        <v>7501</v>
      </c>
      <c r="D2009" s="669" t="s">
        <v>409</v>
      </c>
      <c r="E2009" s="546">
        <v>682.89999399999999</v>
      </c>
    </row>
    <row r="2010" spans="2:5" x14ac:dyDescent="0.25">
      <c r="B2010" s="545">
        <v>2301</v>
      </c>
      <c r="C2010" s="553" t="s">
        <v>7502</v>
      </c>
      <c r="D2010" s="669" t="s">
        <v>409</v>
      </c>
      <c r="E2010" s="546">
        <v>851.68333900000005</v>
      </c>
    </row>
    <row r="2011" spans="2:5" x14ac:dyDescent="0.25">
      <c r="B2011" s="545">
        <v>2302</v>
      </c>
      <c r="C2011" s="553" t="s">
        <v>5318</v>
      </c>
      <c r="D2011" s="669" t="s">
        <v>409</v>
      </c>
      <c r="E2011" s="546">
        <v>865.42498799999998</v>
      </c>
    </row>
    <row r="2012" spans="2:5" x14ac:dyDescent="0.25">
      <c r="B2012" s="545">
        <v>2303</v>
      </c>
      <c r="C2012" s="553" t="s">
        <v>7516</v>
      </c>
      <c r="D2012" s="669" t="s">
        <v>409</v>
      </c>
      <c r="E2012" s="546">
        <v>623.870001</v>
      </c>
    </row>
    <row r="2013" spans="2:5" x14ac:dyDescent="0.25">
      <c r="B2013" s="545">
        <v>2304</v>
      </c>
      <c r="C2013" s="553" t="s">
        <v>4901</v>
      </c>
      <c r="D2013" s="669" t="s">
        <v>409</v>
      </c>
      <c r="E2013" s="546">
        <v>812.29999699999996</v>
      </c>
    </row>
    <row r="2014" spans="2:5" x14ac:dyDescent="0.25">
      <c r="B2014" s="545">
        <v>2305</v>
      </c>
      <c r="C2014" s="553" t="s">
        <v>7520</v>
      </c>
      <c r="D2014" s="669" t="s">
        <v>409</v>
      </c>
      <c r="E2014" s="546">
        <v>810.78000499999996</v>
      </c>
    </row>
    <row r="2015" spans="2:5" x14ac:dyDescent="0.25">
      <c r="B2015" s="545">
        <v>2306</v>
      </c>
      <c r="C2015" s="553" t="s">
        <v>7521</v>
      </c>
      <c r="D2015" s="669" t="s">
        <v>409</v>
      </c>
      <c r="E2015" s="546">
        <v>846.92498799999998</v>
      </c>
    </row>
    <row r="2016" spans="2:5" x14ac:dyDescent="0.25">
      <c r="B2016" s="545">
        <v>2307</v>
      </c>
      <c r="C2016" s="553" t="s">
        <v>1923</v>
      </c>
      <c r="D2016" s="669" t="s">
        <v>409</v>
      </c>
      <c r="E2016" s="546">
        <v>641.02499399999999</v>
      </c>
    </row>
    <row r="2017" spans="2:5" x14ac:dyDescent="0.25">
      <c r="B2017" s="545">
        <v>2308</v>
      </c>
      <c r="C2017" s="553" t="s">
        <v>5162</v>
      </c>
      <c r="D2017" s="669" t="s">
        <v>409</v>
      </c>
      <c r="E2017" s="546">
        <v>853.90001199999995</v>
      </c>
    </row>
    <row r="2018" spans="2:5" x14ac:dyDescent="0.25">
      <c r="B2018" s="545">
        <v>2309</v>
      </c>
      <c r="C2018" s="553" t="s">
        <v>1216</v>
      </c>
      <c r="D2018" s="669" t="s">
        <v>441</v>
      </c>
      <c r="E2018" s="546">
        <v>604.94999700000005</v>
      </c>
    </row>
    <row r="2019" spans="2:5" x14ac:dyDescent="0.25">
      <c r="B2019" s="545">
        <v>2310</v>
      </c>
      <c r="C2019" s="553" t="s">
        <v>1860</v>
      </c>
      <c r="D2019" s="669" t="s">
        <v>409</v>
      </c>
      <c r="E2019" s="546">
        <v>638.36000999999999</v>
      </c>
    </row>
    <row r="2020" spans="2:5" x14ac:dyDescent="0.25">
      <c r="B2020" s="545">
        <v>2311</v>
      </c>
      <c r="C2020" s="553" t="s">
        <v>4353</v>
      </c>
      <c r="D2020" s="669" t="s">
        <v>409</v>
      </c>
      <c r="E2020" s="546">
        <v>768.35000600000001</v>
      </c>
    </row>
    <row r="2021" spans="2:5" x14ac:dyDescent="0.25">
      <c r="B2021" s="545">
        <v>2312</v>
      </c>
      <c r="C2021" s="553" t="s">
        <v>1528</v>
      </c>
      <c r="D2021" s="669" t="s">
        <v>409</v>
      </c>
      <c r="E2021" s="546">
        <v>621.92500299999995</v>
      </c>
    </row>
    <row r="2022" spans="2:5" x14ac:dyDescent="0.25">
      <c r="B2022" s="545">
        <v>2313</v>
      </c>
      <c r="C2022" s="553" t="s">
        <v>1576</v>
      </c>
      <c r="D2022" s="669" t="s">
        <v>409</v>
      </c>
      <c r="E2022" s="546">
        <v>625.05714599999999</v>
      </c>
    </row>
    <row r="2023" spans="2:5" x14ac:dyDescent="0.25">
      <c r="B2023" s="545">
        <v>2314</v>
      </c>
      <c r="C2023" s="553" t="s">
        <v>7541</v>
      </c>
      <c r="D2023" s="669" t="s">
        <v>409</v>
      </c>
      <c r="E2023" s="546">
        <v>658.19998199999998</v>
      </c>
    </row>
    <row r="2024" spans="2:5" x14ac:dyDescent="0.25">
      <c r="B2024" s="545">
        <v>2315</v>
      </c>
      <c r="C2024" s="553" t="s">
        <v>1341</v>
      </c>
      <c r="D2024" s="669" t="s">
        <v>409</v>
      </c>
      <c r="E2024" s="546">
        <v>612.0625</v>
      </c>
    </row>
    <row r="2025" spans="2:5" x14ac:dyDescent="0.25">
      <c r="B2025" s="545">
        <v>2316</v>
      </c>
      <c r="C2025" s="553" t="s">
        <v>1195</v>
      </c>
      <c r="D2025" s="669" t="s">
        <v>409</v>
      </c>
      <c r="E2025" s="546">
        <v>603.55000299999995</v>
      </c>
    </row>
    <row r="2026" spans="2:5" x14ac:dyDescent="0.25">
      <c r="B2026" s="545">
        <v>2317</v>
      </c>
      <c r="C2026" s="553" t="s">
        <v>1816</v>
      </c>
      <c r="D2026" s="669" t="s">
        <v>409</v>
      </c>
      <c r="E2026" s="546">
        <v>636.69999199999995</v>
      </c>
    </row>
    <row r="2027" spans="2:5" x14ac:dyDescent="0.25">
      <c r="B2027" s="545">
        <v>2318</v>
      </c>
      <c r="C2027" s="553" t="s">
        <v>1320</v>
      </c>
      <c r="D2027" s="669" t="s">
        <v>441</v>
      </c>
      <c r="E2027" s="546">
        <v>610.74998500000004</v>
      </c>
    </row>
    <row r="2028" spans="2:5" x14ac:dyDescent="0.25">
      <c r="B2028" s="545">
        <v>2319</v>
      </c>
      <c r="C2028" s="553" t="s">
        <v>951</v>
      </c>
      <c r="D2028" s="669" t="s">
        <v>409</v>
      </c>
      <c r="E2028" s="546">
        <v>613.03333499999997</v>
      </c>
    </row>
    <row r="2029" spans="2:5" x14ac:dyDescent="0.25">
      <c r="B2029" s="545">
        <v>2320</v>
      </c>
      <c r="C2029" s="553" t="s">
        <v>1556</v>
      </c>
      <c r="D2029" s="669" t="s">
        <v>409</v>
      </c>
      <c r="E2029" s="546">
        <v>624.09999100000005</v>
      </c>
    </row>
    <row r="2030" spans="2:5" x14ac:dyDescent="0.25">
      <c r="B2030" s="545">
        <v>2321</v>
      </c>
      <c r="C2030" s="553" t="s">
        <v>1322</v>
      </c>
      <c r="D2030" s="669" t="s">
        <v>441</v>
      </c>
      <c r="E2030" s="546">
        <v>610.875</v>
      </c>
    </row>
    <row r="2031" spans="2:5" x14ac:dyDescent="0.25">
      <c r="B2031" s="545">
        <v>2322</v>
      </c>
      <c r="C2031" s="553" t="s">
        <v>2435</v>
      </c>
      <c r="D2031" s="669" t="s">
        <v>409</v>
      </c>
      <c r="E2031" s="546">
        <v>663.75713699999994</v>
      </c>
    </row>
    <row r="2032" spans="2:5" x14ac:dyDescent="0.25">
      <c r="B2032" s="545">
        <v>2323</v>
      </c>
      <c r="C2032" s="553" t="s">
        <v>2757</v>
      </c>
      <c r="D2032" s="669" t="s">
        <v>409</v>
      </c>
      <c r="E2032" s="546">
        <v>678.66667700000005</v>
      </c>
    </row>
    <row r="2033" spans="2:5" x14ac:dyDescent="0.25">
      <c r="B2033" s="545">
        <v>2324</v>
      </c>
      <c r="C2033" s="553" t="s">
        <v>1481</v>
      </c>
      <c r="D2033" s="669" t="s">
        <v>409</v>
      </c>
      <c r="E2033" s="546">
        <v>619.13750500000003</v>
      </c>
    </row>
    <row r="2034" spans="2:5" x14ac:dyDescent="0.25">
      <c r="B2034" s="545">
        <v>2325</v>
      </c>
      <c r="C2034" s="553" t="s">
        <v>1298</v>
      </c>
      <c r="D2034" s="669" t="s">
        <v>441</v>
      </c>
      <c r="E2034" s="546">
        <v>609.59999600000003</v>
      </c>
    </row>
    <row r="2035" spans="2:5" x14ac:dyDescent="0.25">
      <c r="B2035" s="545">
        <v>2326</v>
      </c>
      <c r="C2035" s="553" t="s">
        <v>4477</v>
      </c>
      <c r="D2035" s="669" t="s">
        <v>409</v>
      </c>
      <c r="E2035" s="546">
        <v>778.56666099999995</v>
      </c>
    </row>
    <row r="2036" spans="2:5" x14ac:dyDescent="0.25">
      <c r="B2036" s="545">
        <v>2327</v>
      </c>
      <c r="C2036" s="553" t="s">
        <v>1563</v>
      </c>
      <c r="D2036" s="669" t="s">
        <v>409</v>
      </c>
      <c r="E2036" s="546">
        <v>624.385716</v>
      </c>
    </row>
    <row r="2037" spans="2:5" x14ac:dyDescent="0.25">
      <c r="B2037" s="545">
        <v>2328</v>
      </c>
      <c r="C2037" s="553" t="s">
        <v>2059</v>
      </c>
      <c r="D2037" s="669" t="s">
        <v>441</v>
      </c>
      <c r="E2037" s="546">
        <v>645.90002400000003</v>
      </c>
    </row>
    <row r="2038" spans="2:5" x14ac:dyDescent="0.25">
      <c r="B2038" s="545">
        <v>2329</v>
      </c>
      <c r="C2038" s="553" t="s">
        <v>1911</v>
      </c>
      <c r="D2038" s="669" t="s">
        <v>409</v>
      </c>
      <c r="E2038" s="546">
        <v>640.46250199999997</v>
      </c>
    </row>
    <row r="2039" spans="2:5" x14ac:dyDescent="0.25">
      <c r="B2039" s="545">
        <v>2330</v>
      </c>
      <c r="C2039" s="553" t="s">
        <v>1804</v>
      </c>
      <c r="D2039" s="669" t="s">
        <v>441</v>
      </c>
      <c r="E2039" s="546">
        <v>636.21999500000004</v>
      </c>
    </row>
    <row r="2040" spans="2:5" x14ac:dyDescent="0.25">
      <c r="B2040" s="545">
        <v>2331</v>
      </c>
      <c r="C2040" s="553" t="s">
        <v>4277</v>
      </c>
      <c r="D2040" s="669" t="s">
        <v>409</v>
      </c>
      <c r="E2040" s="546">
        <v>763.29999899999996</v>
      </c>
    </row>
    <row r="2041" spans="2:5" x14ac:dyDescent="0.25">
      <c r="B2041" s="545">
        <v>2332</v>
      </c>
      <c r="C2041" s="553" t="s">
        <v>1578</v>
      </c>
      <c r="D2041" s="669" t="s">
        <v>409</v>
      </c>
      <c r="E2041" s="546">
        <v>625.25</v>
      </c>
    </row>
    <row r="2042" spans="2:5" x14ac:dyDescent="0.25">
      <c r="B2042" s="545">
        <v>2333</v>
      </c>
      <c r="C2042" s="553" t="s">
        <v>3688</v>
      </c>
      <c r="D2042" s="669" t="s">
        <v>409</v>
      </c>
      <c r="E2042" s="546">
        <v>726.52000699999996</v>
      </c>
    </row>
    <row r="2043" spans="2:5" x14ac:dyDescent="0.25">
      <c r="B2043" s="545">
        <v>2334</v>
      </c>
      <c r="C2043" s="553" t="s">
        <v>6703</v>
      </c>
      <c r="D2043" s="669" t="s">
        <v>441</v>
      </c>
      <c r="E2043" s="546">
        <v>722.59997599999997</v>
      </c>
    </row>
    <row r="2044" spans="2:5" x14ac:dyDescent="0.25">
      <c r="B2044" s="545">
        <v>2335</v>
      </c>
      <c r="C2044" s="553" t="s">
        <v>2636</v>
      </c>
      <c r="D2044" s="669" t="s">
        <v>441</v>
      </c>
      <c r="E2044" s="546">
        <v>673.23331700000006</v>
      </c>
    </row>
    <row r="2045" spans="2:5" x14ac:dyDescent="0.25">
      <c r="B2045" s="545">
        <v>2336</v>
      </c>
      <c r="C2045" s="553" t="s">
        <v>1349</v>
      </c>
      <c r="D2045" s="669" t="s">
        <v>409</v>
      </c>
      <c r="E2045" s="546">
        <v>612.39998400000002</v>
      </c>
    </row>
    <row r="2046" spans="2:5" x14ac:dyDescent="0.25">
      <c r="B2046" s="545">
        <v>2337</v>
      </c>
      <c r="C2046" s="553" t="s">
        <v>1710</v>
      </c>
      <c r="D2046" s="669" t="s">
        <v>409</v>
      </c>
      <c r="E2046" s="546">
        <v>632.65999799999997</v>
      </c>
    </row>
    <row r="2047" spans="2:5" x14ac:dyDescent="0.25">
      <c r="B2047" s="545">
        <v>2338</v>
      </c>
      <c r="C2047" s="553" t="s">
        <v>2049</v>
      </c>
      <c r="D2047" s="669" t="s">
        <v>409</v>
      </c>
      <c r="E2047" s="546">
        <v>645.46667500000001</v>
      </c>
    </row>
    <row r="2048" spans="2:5" x14ac:dyDescent="0.25">
      <c r="B2048" s="545">
        <v>2339</v>
      </c>
      <c r="C2048" s="553" t="s">
        <v>2473</v>
      </c>
      <c r="D2048" s="669" t="s">
        <v>409</v>
      </c>
      <c r="E2048" s="546">
        <v>664.85000600000001</v>
      </c>
    </row>
    <row r="2049" spans="2:5" x14ac:dyDescent="0.25">
      <c r="B2049" s="545">
        <v>2340</v>
      </c>
      <c r="C2049" s="553" t="s">
        <v>7604</v>
      </c>
      <c r="D2049" s="669" t="s">
        <v>409</v>
      </c>
      <c r="E2049" s="546">
        <v>751.81999499999995</v>
      </c>
    </row>
    <row r="2050" spans="2:5" x14ac:dyDescent="0.25">
      <c r="B2050" s="545">
        <v>2341</v>
      </c>
      <c r="C2050" s="553" t="s">
        <v>7622</v>
      </c>
      <c r="D2050" s="669" t="s">
        <v>409</v>
      </c>
      <c r="E2050" s="546">
        <v>714.13751200000002</v>
      </c>
    </row>
    <row r="2051" spans="2:5" x14ac:dyDescent="0.25">
      <c r="B2051" s="545">
        <v>2342</v>
      </c>
      <c r="C2051" s="553" t="s">
        <v>7628</v>
      </c>
      <c r="D2051" s="669" t="s">
        <v>441</v>
      </c>
      <c r="E2051" s="546">
        <v>677.90002400000003</v>
      </c>
    </row>
    <row r="2052" spans="2:5" x14ac:dyDescent="0.25">
      <c r="B2052" s="545">
        <v>2343</v>
      </c>
      <c r="C2052" s="553" t="s">
        <v>1592</v>
      </c>
      <c r="D2052" s="669" t="s">
        <v>409</v>
      </c>
      <c r="E2052" s="546">
        <v>626.04000199999996</v>
      </c>
    </row>
    <row r="2053" spans="2:5" x14ac:dyDescent="0.25">
      <c r="B2053" s="545">
        <v>2344</v>
      </c>
      <c r="C2053" s="553" t="s">
        <v>2349</v>
      </c>
      <c r="D2053" s="669" t="s">
        <v>409</v>
      </c>
      <c r="E2053" s="546">
        <v>659.56667100000004</v>
      </c>
    </row>
    <row r="2054" spans="2:5" x14ac:dyDescent="0.25">
      <c r="B2054" s="545">
        <v>2345</v>
      </c>
      <c r="C2054" s="553" t="s">
        <v>4203</v>
      </c>
      <c r="D2054" s="669" t="s">
        <v>409</v>
      </c>
      <c r="E2054" s="546">
        <v>757.90000399999997</v>
      </c>
    </row>
    <row r="2055" spans="2:5" x14ac:dyDescent="0.25">
      <c r="B2055" s="545">
        <v>2346</v>
      </c>
      <c r="C2055" s="553" t="s">
        <v>2178</v>
      </c>
      <c r="D2055" s="669" t="s">
        <v>409</v>
      </c>
      <c r="E2055" s="546">
        <v>652.125</v>
      </c>
    </row>
    <row r="2056" spans="2:5" x14ac:dyDescent="0.25">
      <c r="B2056" s="545">
        <v>2347</v>
      </c>
      <c r="C2056" s="553" t="s">
        <v>2632</v>
      </c>
      <c r="D2056" s="669" t="s">
        <v>409</v>
      </c>
      <c r="E2056" s="546">
        <v>673.03333499999997</v>
      </c>
    </row>
    <row r="2057" spans="2:5" x14ac:dyDescent="0.25">
      <c r="B2057" s="545">
        <v>2348</v>
      </c>
      <c r="C2057" s="553" t="s">
        <v>5444</v>
      </c>
      <c r="D2057" s="669" t="s">
        <v>409</v>
      </c>
      <c r="E2057" s="546">
        <v>886.61999500000002</v>
      </c>
    </row>
    <row r="2058" spans="2:5" x14ac:dyDescent="0.25">
      <c r="B2058" s="545">
        <v>2349</v>
      </c>
      <c r="C2058" s="553" t="s">
        <v>7632</v>
      </c>
      <c r="D2058" s="669" t="s">
        <v>409</v>
      </c>
      <c r="E2058" s="546">
        <v>636.31999499999995</v>
      </c>
    </row>
    <row r="2059" spans="2:5" x14ac:dyDescent="0.25">
      <c r="B2059" s="545">
        <v>2350</v>
      </c>
      <c r="C2059" s="553" t="s">
        <v>7633</v>
      </c>
      <c r="D2059" s="669" t="s">
        <v>409</v>
      </c>
      <c r="E2059" s="546">
        <v>634.53334600000005</v>
      </c>
    </row>
    <row r="2060" spans="2:5" x14ac:dyDescent="0.25">
      <c r="B2060" s="545">
        <v>2351</v>
      </c>
      <c r="C2060" s="553" t="s">
        <v>5327</v>
      </c>
      <c r="D2060" s="669" t="s">
        <v>410</v>
      </c>
      <c r="E2060" s="546">
        <v>867.02499399999999</v>
      </c>
    </row>
    <row r="2061" spans="2:5" x14ac:dyDescent="0.25">
      <c r="B2061" s="545">
        <v>2352</v>
      </c>
      <c r="C2061" s="553" t="s">
        <v>1318</v>
      </c>
      <c r="D2061" s="669" t="s">
        <v>410</v>
      </c>
      <c r="E2061" s="546">
        <v>821.77499399999999</v>
      </c>
    </row>
    <row r="2062" spans="2:5" x14ac:dyDescent="0.25">
      <c r="B2062" s="545">
        <v>2353</v>
      </c>
      <c r="C2062" s="553" t="s">
        <v>5371</v>
      </c>
      <c r="D2062" s="669" t="s">
        <v>410</v>
      </c>
      <c r="E2062" s="546">
        <v>874.05000800000005</v>
      </c>
    </row>
    <row r="2063" spans="2:5" x14ac:dyDescent="0.25">
      <c r="B2063" s="545">
        <v>2354</v>
      </c>
      <c r="C2063" s="553" t="s">
        <v>4875</v>
      </c>
      <c r="D2063" s="669" t="s">
        <v>410</v>
      </c>
      <c r="E2063" s="546">
        <v>809.44998199999998</v>
      </c>
    </row>
    <row r="2064" spans="2:5" x14ac:dyDescent="0.25">
      <c r="B2064" s="545">
        <v>2355</v>
      </c>
      <c r="C2064" s="553" t="s">
        <v>5089</v>
      </c>
      <c r="D2064" s="669" t="s">
        <v>410</v>
      </c>
      <c r="E2064" s="546">
        <v>831.77999299999999</v>
      </c>
    </row>
    <row r="2065" spans="2:5" x14ac:dyDescent="0.25">
      <c r="B2065" s="545">
        <v>2356</v>
      </c>
      <c r="C2065" s="553" t="s">
        <v>5214</v>
      </c>
      <c r="D2065" s="669" t="s">
        <v>410</v>
      </c>
      <c r="E2065" s="546">
        <v>847.47500600000001</v>
      </c>
    </row>
    <row r="2066" spans="2:5" x14ac:dyDescent="0.25">
      <c r="B2066" s="545">
        <v>2357</v>
      </c>
      <c r="C2066" s="553" t="s">
        <v>5527</v>
      </c>
      <c r="D2066" s="669" t="s">
        <v>410</v>
      </c>
      <c r="E2066" s="546">
        <v>900.40000399999997</v>
      </c>
    </row>
    <row r="2067" spans="2:5" x14ac:dyDescent="0.25">
      <c r="B2067" s="545">
        <v>2358</v>
      </c>
      <c r="C2067" s="553" t="s">
        <v>7149</v>
      </c>
      <c r="D2067" s="669" t="s">
        <v>410</v>
      </c>
      <c r="E2067" s="546">
        <v>869.88572499999998</v>
      </c>
    </row>
    <row r="2068" spans="2:5" x14ac:dyDescent="0.25">
      <c r="B2068" s="545">
        <v>2359</v>
      </c>
      <c r="C2068" s="553" t="s">
        <v>6937</v>
      </c>
      <c r="D2068" s="669" t="s">
        <v>410</v>
      </c>
      <c r="E2068" s="546">
        <v>839.09999600000003</v>
      </c>
    </row>
    <row r="2069" spans="2:5" x14ac:dyDescent="0.25">
      <c r="B2069" s="545">
        <v>2360</v>
      </c>
      <c r="C2069" s="553" t="s">
        <v>5535</v>
      </c>
      <c r="D2069" s="669" t="s">
        <v>410</v>
      </c>
      <c r="E2069" s="546">
        <v>901.41817400000002</v>
      </c>
    </row>
    <row r="2070" spans="2:5" x14ac:dyDescent="0.25">
      <c r="B2070" s="545">
        <v>2361</v>
      </c>
      <c r="C2070" s="553" t="s">
        <v>5321</v>
      </c>
      <c r="D2070" s="669" t="s">
        <v>410</v>
      </c>
      <c r="E2070" s="546">
        <v>866.10000600000001</v>
      </c>
    </row>
    <row r="2071" spans="2:5" x14ac:dyDescent="0.25">
      <c r="B2071" s="545">
        <v>2362</v>
      </c>
      <c r="C2071" s="553" t="s">
        <v>5346</v>
      </c>
      <c r="D2071" s="669" t="s">
        <v>410</v>
      </c>
      <c r="E2071" s="546">
        <v>869.94286199999999</v>
      </c>
    </row>
    <row r="2072" spans="2:5" x14ac:dyDescent="0.25">
      <c r="B2072" s="545">
        <v>2363</v>
      </c>
      <c r="C2072" s="553" t="s">
        <v>4819</v>
      </c>
      <c r="D2072" s="669" t="s">
        <v>410</v>
      </c>
      <c r="E2072" s="546">
        <v>804.99999300000002</v>
      </c>
    </row>
    <row r="2073" spans="2:5" x14ac:dyDescent="0.25">
      <c r="B2073" s="545">
        <v>2364</v>
      </c>
      <c r="C2073" s="553" t="s">
        <v>6543</v>
      </c>
      <c r="D2073" s="669" t="s">
        <v>410</v>
      </c>
      <c r="E2073" s="546">
        <v>852.56001000000003</v>
      </c>
    </row>
    <row r="2074" spans="2:5" x14ac:dyDescent="0.25">
      <c r="B2074" s="545">
        <v>2365</v>
      </c>
      <c r="C2074" s="553" t="s">
        <v>4304</v>
      </c>
      <c r="D2074" s="669" t="s">
        <v>410</v>
      </c>
      <c r="E2074" s="546">
        <v>765.06664999999998</v>
      </c>
    </row>
    <row r="2075" spans="2:5" x14ac:dyDescent="0.25">
      <c r="B2075" s="545">
        <v>2366</v>
      </c>
      <c r="C2075" s="553" t="s">
        <v>848</v>
      </c>
      <c r="D2075" s="669" t="s">
        <v>410</v>
      </c>
      <c r="E2075" s="546">
        <v>794.53332499999999</v>
      </c>
    </row>
    <row r="2076" spans="2:5" x14ac:dyDescent="0.25">
      <c r="B2076" s="545">
        <v>2367</v>
      </c>
      <c r="C2076" s="553" t="s">
        <v>6808</v>
      </c>
      <c r="D2076" s="669" t="s">
        <v>410</v>
      </c>
      <c r="E2076" s="546">
        <v>836.29998799999998</v>
      </c>
    </row>
    <row r="2077" spans="2:5" x14ac:dyDescent="0.25">
      <c r="B2077" s="545">
        <v>2368</v>
      </c>
      <c r="C2077" s="553" t="s">
        <v>5585</v>
      </c>
      <c r="D2077" s="669" t="s">
        <v>410</v>
      </c>
      <c r="E2077" s="546">
        <v>909.20001200000002</v>
      </c>
    </row>
    <row r="2078" spans="2:5" x14ac:dyDescent="0.25">
      <c r="B2078" s="545">
        <v>2369</v>
      </c>
      <c r="C2078" s="553" t="s">
        <v>7618</v>
      </c>
      <c r="D2078" s="669" t="s">
        <v>410</v>
      </c>
      <c r="E2078" s="546">
        <v>951.94999700000005</v>
      </c>
    </row>
    <row r="2079" spans="2:5" x14ac:dyDescent="0.25">
      <c r="B2079" s="545">
        <v>2370</v>
      </c>
      <c r="C2079" s="553" t="s">
        <v>6562</v>
      </c>
      <c r="D2079" s="669" t="s">
        <v>410</v>
      </c>
      <c r="E2079" s="546">
        <v>1010.274979</v>
      </c>
    </row>
    <row r="2080" spans="2:5" x14ac:dyDescent="0.25">
      <c r="B2080" s="545">
        <v>2371</v>
      </c>
      <c r="C2080" s="553" t="s">
        <v>6563</v>
      </c>
      <c r="D2080" s="669" t="s">
        <v>410</v>
      </c>
      <c r="E2080" s="546">
        <v>1037.034623</v>
      </c>
    </row>
    <row r="2081" spans="2:5" x14ac:dyDescent="0.25">
      <c r="B2081" s="545">
        <v>2372</v>
      </c>
      <c r="C2081" s="553" t="s">
        <v>6076</v>
      </c>
      <c r="D2081" s="669" t="s">
        <v>410</v>
      </c>
      <c r="E2081" s="546">
        <v>1097.128575</v>
      </c>
    </row>
    <row r="2082" spans="2:5" x14ac:dyDescent="0.25">
      <c r="B2082" s="545">
        <v>2373</v>
      </c>
      <c r="C2082" s="553" t="s">
        <v>4386</v>
      </c>
      <c r="D2082" s="669" t="s">
        <v>410</v>
      </c>
      <c r="E2082" s="546">
        <v>771.22000100000002</v>
      </c>
    </row>
    <row r="2083" spans="2:5" x14ac:dyDescent="0.25">
      <c r="B2083" s="545">
        <v>2374</v>
      </c>
      <c r="C2083" s="553" t="s">
        <v>3886</v>
      </c>
      <c r="D2083" s="669" t="s">
        <v>410</v>
      </c>
      <c r="E2083" s="546">
        <v>737.87999300000001</v>
      </c>
    </row>
    <row r="2084" spans="2:5" x14ac:dyDescent="0.25">
      <c r="B2084" s="545">
        <v>2375</v>
      </c>
      <c r="C2084" s="553" t="s">
        <v>3126</v>
      </c>
      <c r="D2084" s="669" t="s">
        <v>410</v>
      </c>
      <c r="E2084" s="546">
        <v>697.5</v>
      </c>
    </row>
    <row r="2085" spans="2:5" x14ac:dyDescent="0.25">
      <c r="B2085" s="545">
        <v>2376</v>
      </c>
      <c r="C2085" s="553" t="s">
        <v>3387</v>
      </c>
      <c r="D2085" s="669" t="s">
        <v>410</v>
      </c>
      <c r="E2085" s="546">
        <v>710.08181999999999</v>
      </c>
    </row>
    <row r="2086" spans="2:5" x14ac:dyDescent="0.25">
      <c r="B2086" s="545">
        <v>2377</v>
      </c>
      <c r="C2086" s="553" t="s">
        <v>3932</v>
      </c>
      <c r="D2086" s="669" t="s">
        <v>410</v>
      </c>
      <c r="E2086" s="546">
        <v>740.54999299999997</v>
      </c>
    </row>
    <row r="2087" spans="2:5" x14ac:dyDescent="0.25">
      <c r="B2087" s="545">
        <v>2378</v>
      </c>
      <c r="C2087" s="553" t="s">
        <v>4497</v>
      </c>
      <c r="D2087" s="669" t="s">
        <v>410</v>
      </c>
      <c r="E2087" s="546">
        <v>779.90000399999997</v>
      </c>
    </row>
    <row r="2088" spans="2:5" x14ac:dyDescent="0.25">
      <c r="B2088" s="545">
        <v>2379</v>
      </c>
      <c r="C2088" s="553" t="s">
        <v>5509</v>
      </c>
      <c r="D2088" s="669" t="s">
        <v>410</v>
      </c>
      <c r="E2088" s="546">
        <v>896.72499100000005</v>
      </c>
    </row>
    <row r="2089" spans="2:5" x14ac:dyDescent="0.25">
      <c r="B2089" s="545">
        <v>2380</v>
      </c>
      <c r="C2089" s="553" t="s">
        <v>4989</v>
      </c>
      <c r="D2089" s="669" t="s">
        <v>410</v>
      </c>
      <c r="E2089" s="546">
        <v>821.5</v>
      </c>
    </row>
    <row r="2090" spans="2:5" x14ac:dyDescent="0.25">
      <c r="B2090" s="545">
        <v>2381</v>
      </c>
      <c r="C2090" s="553" t="s">
        <v>4532</v>
      </c>
      <c r="D2090" s="669" t="s">
        <v>410</v>
      </c>
      <c r="E2090" s="546">
        <v>782.29999699999996</v>
      </c>
    </row>
    <row r="2091" spans="2:5" x14ac:dyDescent="0.25">
      <c r="B2091" s="545">
        <v>2382</v>
      </c>
      <c r="C2091" s="553" t="s">
        <v>5027</v>
      </c>
      <c r="D2091" s="669" t="s">
        <v>410</v>
      </c>
      <c r="E2091" s="546">
        <v>825.78000499999996</v>
      </c>
    </row>
    <row r="2092" spans="2:5" x14ac:dyDescent="0.25">
      <c r="B2092" s="545">
        <v>2383</v>
      </c>
      <c r="C2092" s="553" t="s">
        <v>6003</v>
      </c>
      <c r="D2092" s="669" t="s">
        <v>410</v>
      </c>
      <c r="E2092" s="546">
        <v>1049.819045</v>
      </c>
    </row>
    <row r="2093" spans="2:5" x14ac:dyDescent="0.25">
      <c r="B2093" s="545">
        <v>2384</v>
      </c>
      <c r="C2093" s="553" t="s">
        <v>6026</v>
      </c>
      <c r="D2093" s="669" t="s">
        <v>410</v>
      </c>
      <c r="E2093" s="546">
        <v>1064.9666540000001</v>
      </c>
    </row>
    <row r="2094" spans="2:5" x14ac:dyDescent="0.25">
      <c r="B2094" s="545">
        <v>2385</v>
      </c>
      <c r="C2094" s="553" t="s">
        <v>5993</v>
      </c>
      <c r="D2094" s="669" t="s">
        <v>410</v>
      </c>
      <c r="E2094" s="546">
        <v>1044.566691</v>
      </c>
    </row>
    <row r="2095" spans="2:5" x14ac:dyDescent="0.25">
      <c r="B2095" s="545">
        <v>2386</v>
      </c>
      <c r="C2095" s="553" t="s">
        <v>6017</v>
      </c>
      <c r="D2095" s="669" t="s">
        <v>410</v>
      </c>
      <c r="E2095" s="546">
        <v>1056.179993</v>
      </c>
    </row>
    <row r="2096" spans="2:5" x14ac:dyDescent="0.25">
      <c r="B2096" s="545">
        <v>2387</v>
      </c>
      <c r="C2096" s="553" t="s">
        <v>6638</v>
      </c>
      <c r="D2096" s="669" t="s">
        <v>410</v>
      </c>
      <c r="E2096" s="546">
        <v>1104.6999510000001</v>
      </c>
    </row>
    <row r="2097" spans="2:5" x14ac:dyDescent="0.25">
      <c r="B2097" s="545">
        <v>2388</v>
      </c>
      <c r="C2097" s="553" t="s">
        <v>5978</v>
      </c>
      <c r="D2097" s="669" t="s">
        <v>410</v>
      </c>
      <c r="E2097" s="546">
        <v>1039.3071379999999</v>
      </c>
    </row>
    <row r="2098" spans="2:5" x14ac:dyDescent="0.25">
      <c r="B2098" s="545">
        <v>2389</v>
      </c>
      <c r="C2098" s="553" t="s">
        <v>7240</v>
      </c>
      <c r="D2098" s="669" t="s">
        <v>410</v>
      </c>
      <c r="E2098" s="546">
        <v>1040.599976</v>
      </c>
    </row>
    <row r="2099" spans="2:5" x14ac:dyDescent="0.25">
      <c r="B2099" s="545">
        <v>2390</v>
      </c>
      <c r="C2099" s="553" t="s">
        <v>5768</v>
      </c>
      <c r="D2099" s="669" t="s">
        <v>410</v>
      </c>
      <c r="E2099" s="546">
        <v>958.30909299999996</v>
      </c>
    </row>
    <row r="2100" spans="2:5" x14ac:dyDescent="0.25">
      <c r="B2100" s="545">
        <v>2391</v>
      </c>
      <c r="C2100" s="553" t="s">
        <v>7106</v>
      </c>
      <c r="D2100" s="669" t="s">
        <v>410</v>
      </c>
      <c r="E2100" s="546">
        <v>738.25714100000005</v>
      </c>
    </row>
    <row r="2101" spans="2:5" x14ac:dyDescent="0.25">
      <c r="B2101" s="545">
        <v>2392</v>
      </c>
      <c r="C2101" s="553" t="s">
        <v>4026</v>
      </c>
      <c r="D2101" s="669" t="s">
        <v>410</v>
      </c>
      <c r="E2101" s="546">
        <v>746.73750299999995</v>
      </c>
    </row>
    <row r="2102" spans="2:5" x14ac:dyDescent="0.25">
      <c r="B2102" s="545">
        <v>2393</v>
      </c>
      <c r="C2102" s="553" t="s">
        <v>3841</v>
      </c>
      <c r="D2102" s="669" t="s">
        <v>410</v>
      </c>
      <c r="E2102" s="546">
        <v>735.16666699999996</v>
      </c>
    </row>
    <row r="2103" spans="2:5" x14ac:dyDescent="0.25">
      <c r="B2103" s="545">
        <v>2394</v>
      </c>
      <c r="C2103" s="553" t="s">
        <v>3808</v>
      </c>
      <c r="D2103" s="669" t="s">
        <v>410</v>
      </c>
      <c r="E2103" s="546">
        <v>733.375</v>
      </c>
    </row>
    <row r="2104" spans="2:5" x14ac:dyDescent="0.25">
      <c r="B2104" s="545">
        <v>2395</v>
      </c>
      <c r="C2104" s="553" t="s">
        <v>2599</v>
      </c>
      <c r="D2104" s="669" t="s">
        <v>410</v>
      </c>
      <c r="E2104" s="546">
        <v>721.77500899999995</v>
      </c>
    </row>
    <row r="2105" spans="2:5" x14ac:dyDescent="0.25">
      <c r="B2105" s="545">
        <v>2396</v>
      </c>
      <c r="C2105" s="553" t="s">
        <v>3655</v>
      </c>
      <c r="D2105" s="669" t="s">
        <v>410</v>
      </c>
      <c r="E2105" s="546">
        <v>724.50713699999994</v>
      </c>
    </row>
    <row r="2106" spans="2:5" x14ac:dyDescent="0.25">
      <c r="B2106" s="545">
        <v>2397</v>
      </c>
      <c r="C2106" s="553" t="s">
        <v>7446</v>
      </c>
      <c r="D2106" s="669" t="s">
        <v>410</v>
      </c>
      <c r="E2106" s="546">
        <v>757.67333599999995</v>
      </c>
    </row>
    <row r="2107" spans="2:5" x14ac:dyDescent="0.25">
      <c r="B2107" s="545">
        <v>2398</v>
      </c>
      <c r="C2107" s="553" t="s">
        <v>6667</v>
      </c>
      <c r="D2107" s="669" t="s">
        <v>410</v>
      </c>
      <c r="E2107" s="546">
        <v>760.64286600000003</v>
      </c>
    </row>
    <row r="2108" spans="2:5" x14ac:dyDescent="0.25">
      <c r="B2108" s="545">
        <v>2399</v>
      </c>
      <c r="C2108" s="553" t="s">
        <v>1860</v>
      </c>
      <c r="D2108" s="669" t="s">
        <v>410</v>
      </c>
      <c r="E2108" s="546">
        <v>707.82000700000003</v>
      </c>
    </row>
    <row r="2109" spans="2:5" x14ac:dyDescent="0.25">
      <c r="B2109" s="545">
        <v>2400</v>
      </c>
      <c r="C2109" s="553" t="s">
        <v>3590</v>
      </c>
      <c r="D2109" s="669" t="s">
        <v>410</v>
      </c>
      <c r="E2109" s="546">
        <v>720.81667100000004</v>
      </c>
    </row>
    <row r="2110" spans="2:5" x14ac:dyDescent="0.25">
      <c r="B2110" s="545">
        <v>2401</v>
      </c>
      <c r="C2110" s="553" t="s">
        <v>4144</v>
      </c>
      <c r="D2110" s="669" t="s">
        <v>410</v>
      </c>
      <c r="E2110" s="546">
        <v>753.64000199999998</v>
      </c>
    </row>
    <row r="2111" spans="2:5" x14ac:dyDescent="0.25">
      <c r="B2111" s="545">
        <v>2402</v>
      </c>
      <c r="C2111" s="553" t="s">
        <v>1014</v>
      </c>
      <c r="D2111" s="669" t="s">
        <v>410</v>
      </c>
      <c r="E2111" s="546">
        <v>773.25000999999997</v>
      </c>
    </row>
    <row r="2112" spans="2:5" x14ac:dyDescent="0.25">
      <c r="B2112" s="545">
        <v>2403</v>
      </c>
      <c r="C2112" s="553" t="s">
        <v>6520</v>
      </c>
      <c r="D2112" s="669" t="s">
        <v>410</v>
      </c>
      <c r="E2112" s="546">
        <v>790.72221500000001</v>
      </c>
    </row>
    <row r="2113" spans="2:5" x14ac:dyDescent="0.25">
      <c r="B2113" s="545">
        <v>2404</v>
      </c>
      <c r="C2113" s="553" t="s">
        <v>4253</v>
      </c>
      <c r="D2113" s="669" t="s">
        <v>410</v>
      </c>
      <c r="E2113" s="546">
        <v>761.17776800000001</v>
      </c>
    </row>
    <row r="2114" spans="2:5" x14ac:dyDescent="0.25">
      <c r="B2114" s="545">
        <v>2405</v>
      </c>
      <c r="C2114" s="553" t="s">
        <v>4396</v>
      </c>
      <c r="D2114" s="669" t="s">
        <v>410</v>
      </c>
      <c r="E2114" s="546">
        <v>772</v>
      </c>
    </row>
    <row r="2115" spans="2:5" x14ac:dyDescent="0.25">
      <c r="B2115" s="545">
        <v>2406</v>
      </c>
      <c r="C2115" s="553" t="s">
        <v>3817</v>
      </c>
      <c r="D2115" s="669" t="s">
        <v>410</v>
      </c>
      <c r="E2115" s="546">
        <v>733.84000200000003</v>
      </c>
    </row>
    <row r="2116" spans="2:5" x14ac:dyDescent="0.25">
      <c r="B2116" s="545">
        <v>2407</v>
      </c>
      <c r="C2116" s="553" t="s">
        <v>3192</v>
      </c>
      <c r="D2116" s="669" t="s">
        <v>410</v>
      </c>
      <c r="E2116" s="546">
        <v>700.67499499999997</v>
      </c>
    </row>
    <row r="2117" spans="2:5" x14ac:dyDescent="0.25">
      <c r="B2117" s="545">
        <v>2408</v>
      </c>
      <c r="C2117" s="553" t="s">
        <v>3128</v>
      </c>
      <c r="D2117" s="669" t="s">
        <v>410</v>
      </c>
      <c r="E2117" s="546">
        <v>697.53998999999999</v>
      </c>
    </row>
    <row r="2118" spans="2:5" x14ac:dyDescent="0.25">
      <c r="B2118" s="545">
        <v>2409</v>
      </c>
      <c r="C2118" s="553" t="s">
        <v>3795</v>
      </c>
      <c r="D2118" s="669" t="s">
        <v>410</v>
      </c>
      <c r="E2118" s="546">
        <v>732.375</v>
      </c>
    </row>
    <row r="2119" spans="2:5" x14ac:dyDescent="0.25">
      <c r="B2119" s="545">
        <v>2410</v>
      </c>
      <c r="C2119" s="553" t="s">
        <v>4210</v>
      </c>
      <c r="D2119" s="669" t="s">
        <v>410</v>
      </c>
      <c r="E2119" s="546">
        <v>758.14999399999999</v>
      </c>
    </row>
    <row r="2120" spans="2:5" x14ac:dyDescent="0.25">
      <c r="B2120" s="545">
        <v>2411</v>
      </c>
      <c r="C2120" s="553" t="s">
        <v>3164</v>
      </c>
      <c r="D2120" s="669" t="s">
        <v>410</v>
      </c>
      <c r="E2120" s="546">
        <v>699.57999299999994</v>
      </c>
    </row>
    <row r="2121" spans="2:5" x14ac:dyDescent="0.25">
      <c r="B2121" s="545">
        <v>2412</v>
      </c>
      <c r="C2121" s="553" t="s">
        <v>3635</v>
      </c>
      <c r="D2121" s="669" t="s">
        <v>410</v>
      </c>
      <c r="E2121" s="546">
        <v>723.70001200000002</v>
      </c>
    </row>
    <row r="2122" spans="2:5" x14ac:dyDescent="0.25">
      <c r="B2122" s="545">
        <v>2413</v>
      </c>
      <c r="C2122" s="553" t="s">
        <v>3562</v>
      </c>
      <c r="D2122" s="669" t="s">
        <v>410</v>
      </c>
      <c r="E2122" s="546">
        <v>719.271432</v>
      </c>
    </row>
    <row r="2123" spans="2:5" x14ac:dyDescent="0.25">
      <c r="B2123" s="545">
        <v>2414</v>
      </c>
      <c r="C2123" s="553" t="s">
        <v>4060</v>
      </c>
      <c r="D2123" s="669" t="s">
        <v>410</v>
      </c>
      <c r="E2123" s="546">
        <v>748.81999499999995</v>
      </c>
    </row>
    <row r="2124" spans="2:5" x14ac:dyDescent="0.25">
      <c r="B2124" s="545">
        <v>2415</v>
      </c>
      <c r="C2124" s="553" t="s">
        <v>7315</v>
      </c>
      <c r="D2124" s="669" t="s">
        <v>410</v>
      </c>
      <c r="E2124" s="546">
        <v>753.16664600000001</v>
      </c>
    </row>
    <row r="2125" spans="2:5" x14ac:dyDescent="0.25">
      <c r="B2125" s="545">
        <v>2416</v>
      </c>
      <c r="C2125" s="553" t="s">
        <v>6794</v>
      </c>
      <c r="D2125" s="669" t="s">
        <v>410</v>
      </c>
      <c r="E2125" s="546">
        <v>736.82499700000005</v>
      </c>
    </row>
    <row r="2126" spans="2:5" x14ac:dyDescent="0.25">
      <c r="B2126" s="545">
        <v>2417</v>
      </c>
      <c r="C2126" s="553" t="s">
        <v>7246</v>
      </c>
      <c r="D2126" s="669" t="s">
        <v>410</v>
      </c>
      <c r="E2126" s="546">
        <v>684.47777599999995</v>
      </c>
    </row>
    <row r="2127" spans="2:5" x14ac:dyDescent="0.25">
      <c r="B2127" s="545">
        <v>2418</v>
      </c>
      <c r="C2127" s="553" t="s">
        <v>3985</v>
      </c>
      <c r="D2127" s="669" t="s">
        <v>410</v>
      </c>
      <c r="E2127" s="546">
        <v>744.10999800000002</v>
      </c>
    </row>
    <row r="2128" spans="2:5" x14ac:dyDescent="0.25">
      <c r="B2128" s="545">
        <v>2419</v>
      </c>
      <c r="C2128" s="553" t="s">
        <v>3525</v>
      </c>
      <c r="D2128" s="669" t="s">
        <v>410</v>
      </c>
      <c r="E2128" s="546">
        <v>717.6</v>
      </c>
    </row>
    <row r="2129" spans="2:5" x14ac:dyDescent="0.25">
      <c r="B2129" s="545">
        <v>2420</v>
      </c>
      <c r="C2129" s="553" t="s">
        <v>3355</v>
      </c>
      <c r="D2129" s="669" t="s">
        <v>410</v>
      </c>
      <c r="E2129" s="546">
        <v>708.77499399999999</v>
      </c>
    </row>
    <row r="2130" spans="2:5" x14ac:dyDescent="0.25">
      <c r="B2130" s="545">
        <v>2421</v>
      </c>
      <c r="C2130" s="553" t="s">
        <v>2695</v>
      </c>
      <c r="D2130" s="669" t="s">
        <v>410</v>
      </c>
      <c r="E2130" s="546">
        <v>675.60000600000001</v>
      </c>
    </row>
    <row r="2131" spans="2:5" x14ac:dyDescent="0.25">
      <c r="B2131" s="545">
        <v>2422</v>
      </c>
      <c r="C2131" s="553" t="s">
        <v>3083</v>
      </c>
      <c r="D2131" s="669" t="s">
        <v>410</v>
      </c>
      <c r="E2131" s="546">
        <v>695.22857699999997</v>
      </c>
    </row>
    <row r="2132" spans="2:5" x14ac:dyDescent="0.25">
      <c r="B2132" s="545">
        <v>2423</v>
      </c>
      <c r="C2132" s="553" t="s">
        <v>6743</v>
      </c>
      <c r="D2132" s="669" t="s">
        <v>410</v>
      </c>
      <c r="E2132" s="546">
        <v>668.728568</v>
      </c>
    </row>
    <row r="2133" spans="2:5" x14ac:dyDescent="0.25">
      <c r="B2133" s="545">
        <v>2424</v>
      </c>
      <c r="C2133" s="553" t="s">
        <v>2895</v>
      </c>
      <c r="D2133" s="669" t="s">
        <v>410</v>
      </c>
      <c r="E2133" s="546">
        <v>685.75714100000005</v>
      </c>
    </row>
    <row r="2134" spans="2:5" x14ac:dyDescent="0.25">
      <c r="B2134" s="545">
        <v>2425</v>
      </c>
      <c r="C2134" s="553" t="s">
        <v>1468</v>
      </c>
      <c r="D2134" s="669" t="s">
        <v>410</v>
      </c>
      <c r="E2134" s="546">
        <v>618.53334600000005</v>
      </c>
    </row>
    <row r="2135" spans="2:5" x14ac:dyDescent="0.25">
      <c r="B2135" s="545">
        <v>2426</v>
      </c>
      <c r="C2135" s="553" t="s">
        <v>2053</v>
      </c>
      <c r="D2135" s="669" t="s">
        <v>410</v>
      </c>
      <c r="E2135" s="546">
        <v>645.66001000000006</v>
      </c>
    </row>
    <row r="2136" spans="2:5" x14ac:dyDescent="0.25">
      <c r="B2136" s="545">
        <v>2427</v>
      </c>
      <c r="C2136" s="553" t="s">
        <v>2037</v>
      </c>
      <c r="D2136" s="669" t="s">
        <v>410</v>
      </c>
      <c r="E2136" s="546">
        <v>644.63332100000002</v>
      </c>
    </row>
    <row r="2137" spans="2:5" x14ac:dyDescent="0.25">
      <c r="B2137" s="545">
        <v>2428</v>
      </c>
      <c r="C2137" s="553" t="s">
        <v>1868</v>
      </c>
      <c r="D2137" s="669" t="s">
        <v>410</v>
      </c>
      <c r="E2137" s="546">
        <v>638.64999399999999</v>
      </c>
    </row>
    <row r="2138" spans="2:5" x14ac:dyDescent="0.25">
      <c r="B2138" s="545">
        <v>2429</v>
      </c>
      <c r="C2138" s="553" t="s">
        <v>4095</v>
      </c>
      <c r="D2138" s="669" t="s">
        <v>410</v>
      </c>
      <c r="E2138" s="546">
        <v>750.57999299999994</v>
      </c>
    </row>
    <row r="2139" spans="2:5" x14ac:dyDescent="0.25">
      <c r="B2139" s="545">
        <v>2430</v>
      </c>
      <c r="C2139" s="553" t="s">
        <v>2792</v>
      </c>
      <c r="D2139" s="669" t="s">
        <v>410</v>
      </c>
      <c r="E2139" s="546">
        <v>680.46666500000003</v>
      </c>
    </row>
    <row r="2140" spans="2:5" x14ac:dyDescent="0.25">
      <c r="B2140" s="545">
        <v>2431</v>
      </c>
      <c r="C2140" s="553" t="s">
        <v>410</v>
      </c>
      <c r="D2140" s="669" t="s">
        <v>410</v>
      </c>
      <c r="E2140" s="546">
        <v>666.96896700000002</v>
      </c>
    </row>
    <row r="2141" spans="2:5" x14ac:dyDescent="0.25">
      <c r="B2141" s="545">
        <v>2432</v>
      </c>
      <c r="C2141" s="553" t="s">
        <v>2682</v>
      </c>
      <c r="D2141" s="669" t="s">
        <v>410</v>
      </c>
      <c r="E2141" s="546">
        <v>675.19998199999998</v>
      </c>
    </row>
    <row r="2142" spans="2:5" x14ac:dyDescent="0.25">
      <c r="B2142" s="545">
        <v>2433</v>
      </c>
      <c r="C2142" s="553" t="s">
        <v>2532</v>
      </c>
      <c r="D2142" s="669" t="s">
        <v>410</v>
      </c>
      <c r="E2142" s="546">
        <v>667.89999399999999</v>
      </c>
    </row>
    <row r="2143" spans="2:5" x14ac:dyDescent="0.25">
      <c r="B2143" s="545">
        <v>2434</v>
      </c>
      <c r="C2143" s="553" t="s">
        <v>2728</v>
      </c>
      <c r="D2143" s="669" t="s">
        <v>410</v>
      </c>
      <c r="E2143" s="546">
        <v>677.29998799999998</v>
      </c>
    </row>
    <row r="2144" spans="2:5" x14ac:dyDescent="0.25">
      <c r="B2144" s="545">
        <v>2435</v>
      </c>
      <c r="C2144" s="553" t="s">
        <v>3619</v>
      </c>
      <c r="D2144" s="669" t="s">
        <v>410</v>
      </c>
      <c r="E2144" s="546">
        <v>754.77499399999999</v>
      </c>
    </row>
    <row r="2145" spans="2:5" x14ac:dyDescent="0.25">
      <c r="B2145" s="545">
        <v>2436</v>
      </c>
      <c r="C2145" s="553" t="s">
        <v>2582</v>
      </c>
      <c r="D2145" s="669" t="s">
        <v>410</v>
      </c>
      <c r="E2145" s="546">
        <v>669.70001200000002</v>
      </c>
    </row>
    <row r="2146" spans="2:5" x14ac:dyDescent="0.25">
      <c r="B2146" s="545">
        <v>2437</v>
      </c>
      <c r="C2146" s="553" t="s">
        <v>3299</v>
      </c>
      <c r="D2146" s="669" t="s">
        <v>410</v>
      </c>
      <c r="E2146" s="546">
        <v>705.771432</v>
      </c>
    </row>
    <row r="2147" spans="2:5" x14ac:dyDescent="0.25">
      <c r="B2147" s="545">
        <v>2438</v>
      </c>
      <c r="C2147" s="553" t="s">
        <v>3216</v>
      </c>
      <c r="D2147" s="669" t="s">
        <v>410</v>
      </c>
      <c r="E2147" s="546">
        <v>701.885716</v>
      </c>
    </row>
    <row r="2148" spans="2:5" x14ac:dyDescent="0.25">
      <c r="B2148" s="545">
        <v>2439</v>
      </c>
      <c r="C2148" s="553" t="s">
        <v>2083</v>
      </c>
      <c r="D2148" s="669" t="s">
        <v>410</v>
      </c>
      <c r="E2148" s="546">
        <v>701.62857499999996</v>
      </c>
    </row>
    <row r="2149" spans="2:5" x14ac:dyDescent="0.25">
      <c r="B2149" s="545">
        <v>2440</v>
      </c>
      <c r="C2149" s="553" t="s">
        <v>3628</v>
      </c>
      <c r="D2149" s="669" t="s">
        <v>410</v>
      </c>
      <c r="E2149" s="546">
        <v>723.55000299999995</v>
      </c>
    </row>
    <row r="2150" spans="2:5" x14ac:dyDescent="0.25">
      <c r="B2150" s="545">
        <v>2441</v>
      </c>
      <c r="C2150" s="553" t="s">
        <v>3758</v>
      </c>
      <c r="D2150" s="669" t="s">
        <v>410</v>
      </c>
      <c r="E2150" s="546">
        <v>730.5</v>
      </c>
    </row>
    <row r="2151" spans="2:5" x14ac:dyDescent="0.25">
      <c r="B2151" s="545">
        <v>2442</v>
      </c>
      <c r="C2151" s="553" t="s">
        <v>2878</v>
      </c>
      <c r="D2151" s="669" t="s">
        <v>410</v>
      </c>
      <c r="E2151" s="546">
        <v>685</v>
      </c>
    </row>
    <row r="2152" spans="2:5" x14ac:dyDescent="0.25">
      <c r="B2152" s="545">
        <v>2443</v>
      </c>
      <c r="C2152" s="553" t="s">
        <v>3208</v>
      </c>
      <c r="D2152" s="669" t="s">
        <v>410</v>
      </c>
      <c r="E2152" s="546">
        <v>701.42667200000005</v>
      </c>
    </row>
    <row r="2153" spans="2:5" x14ac:dyDescent="0.25">
      <c r="B2153" s="545">
        <v>2444</v>
      </c>
      <c r="C2153" s="553" t="s">
        <v>2435</v>
      </c>
      <c r="D2153" s="669" t="s">
        <v>410</v>
      </c>
      <c r="E2153" s="546">
        <v>789.84000200000003</v>
      </c>
    </row>
    <row r="2154" spans="2:5" x14ac:dyDescent="0.25">
      <c r="B2154" s="545">
        <v>2445</v>
      </c>
      <c r="C2154" s="553" t="s">
        <v>6643</v>
      </c>
      <c r="D2154" s="669" t="s">
        <v>410</v>
      </c>
      <c r="E2154" s="546">
        <v>759.39998800000001</v>
      </c>
    </row>
    <row r="2155" spans="2:5" x14ac:dyDescent="0.25">
      <c r="B2155" s="545">
        <v>2446</v>
      </c>
      <c r="C2155" s="553" t="s">
        <v>6813</v>
      </c>
      <c r="D2155" s="669" t="s">
        <v>410</v>
      </c>
      <c r="E2155" s="546">
        <v>784.19999900000005</v>
      </c>
    </row>
    <row r="2156" spans="2:5" x14ac:dyDescent="0.25">
      <c r="B2156" s="545">
        <v>2447</v>
      </c>
      <c r="C2156" s="553" t="s">
        <v>5446</v>
      </c>
      <c r="D2156" s="669" t="s">
        <v>410</v>
      </c>
      <c r="E2156" s="546">
        <v>886.95001200000002</v>
      </c>
    </row>
    <row r="2157" spans="2:5" x14ac:dyDescent="0.25">
      <c r="B2157" s="545">
        <v>2448</v>
      </c>
      <c r="C2157" s="553" t="s">
        <v>4940</v>
      </c>
      <c r="D2157" s="669" t="s">
        <v>410</v>
      </c>
      <c r="E2157" s="546">
        <v>815.55000299999995</v>
      </c>
    </row>
    <row r="2158" spans="2:5" x14ac:dyDescent="0.25">
      <c r="B2158" s="545">
        <v>2449</v>
      </c>
      <c r="C2158" s="553" t="s">
        <v>4307</v>
      </c>
      <c r="D2158" s="669" t="s">
        <v>410</v>
      </c>
      <c r="E2158" s="546">
        <v>765.15000199999997</v>
      </c>
    </row>
    <row r="2159" spans="2:5" x14ac:dyDescent="0.25">
      <c r="B2159" s="545">
        <v>2450</v>
      </c>
      <c r="C2159" s="553" t="s">
        <v>4658</v>
      </c>
      <c r="D2159" s="669" t="s">
        <v>410</v>
      </c>
      <c r="E2159" s="546">
        <v>842.07501200000002</v>
      </c>
    </row>
    <row r="2160" spans="2:5" x14ac:dyDescent="0.25">
      <c r="B2160" s="545">
        <v>2451</v>
      </c>
      <c r="C2160" s="553" t="s">
        <v>3149</v>
      </c>
      <c r="D2160" s="669" t="s">
        <v>410</v>
      </c>
      <c r="E2160" s="546">
        <v>698.86667899999998</v>
      </c>
    </row>
    <row r="2161" spans="2:5" x14ac:dyDescent="0.25">
      <c r="B2161" s="545">
        <v>2452</v>
      </c>
      <c r="C2161" s="553" t="s">
        <v>4132</v>
      </c>
      <c r="D2161" s="669" t="s">
        <v>410</v>
      </c>
      <c r="E2161" s="546">
        <v>752.67778199999998</v>
      </c>
    </row>
    <row r="2162" spans="2:5" x14ac:dyDescent="0.25">
      <c r="B2162" s="545">
        <v>2453</v>
      </c>
      <c r="C2162" s="553" t="s">
        <v>1228</v>
      </c>
      <c r="D2162" s="669" t="s">
        <v>410</v>
      </c>
      <c r="E2162" s="546">
        <v>797.23333700000001</v>
      </c>
    </row>
    <row r="2163" spans="2:5" x14ac:dyDescent="0.25">
      <c r="B2163" s="545">
        <v>2454</v>
      </c>
      <c r="C2163" s="553" t="s">
        <v>3914</v>
      </c>
      <c r="D2163" s="669" t="s">
        <v>410</v>
      </c>
      <c r="E2163" s="546">
        <v>739.84000200000003</v>
      </c>
    </row>
    <row r="2164" spans="2:5" x14ac:dyDescent="0.25">
      <c r="B2164" s="545">
        <v>2455</v>
      </c>
      <c r="C2164" s="553" t="s">
        <v>5404</v>
      </c>
      <c r="D2164" s="669" t="s">
        <v>410</v>
      </c>
      <c r="E2164" s="546">
        <v>879.94999199999995</v>
      </c>
    </row>
    <row r="2165" spans="2:5" x14ac:dyDescent="0.25">
      <c r="B2165" s="545">
        <v>2456</v>
      </c>
      <c r="C2165" s="553" t="s">
        <v>5218</v>
      </c>
      <c r="D2165" s="669" t="s">
        <v>410</v>
      </c>
      <c r="E2165" s="546">
        <v>848.33748600000001</v>
      </c>
    </row>
    <row r="2166" spans="2:5" x14ac:dyDescent="0.25">
      <c r="B2166" s="545">
        <v>2457</v>
      </c>
      <c r="C2166" s="553" t="s">
        <v>4749</v>
      </c>
      <c r="D2166" s="669" t="s">
        <v>410</v>
      </c>
      <c r="E2166" s="546">
        <v>799.75</v>
      </c>
    </row>
    <row r="2167" spans="2:5" x14ac:dyDescent="0.25">
      <c r="B2167" s="545">
        <v>2458</v>
      </c>
      <c r="C2167" s="553" t="s">
        <v>4630</v>
      </c>
      <c r="D2167" s="669" t="s">
        <v>410</v>
      </c>
      <c r="E2167" s="546">
        <v>790.86665900000003</v>
      </c>
    </row>
    <row r="2168" spans="2:5" x14ac:dyDescent="0.25">
      <c r="B2168" s="545">
        <v>2459</v>
      </c>
      <c r="C2168" s="553" t="s">
        <v>3898</v>
      </c>
      <c r="D2168" s="669" t="s">
        <v>410</v>
      </c>
      <c r="E2168" s="546">
        <v>738.52500199999997</v>
      </c>
    </row>
    <row r="2169" spans="2:5" x14ac:dyDescent="0.25">
      <c r="B2169" s="545">
        <v>2460</v>
      </c>
      <c r="C2169" s="553" t="s">
        <v>5947</v>
      </c>
      <c r="D2169" s="669" t="s">
        <v>410</v>
      </c>
      <c r="E2169" s="546">
        <v>1025.8461589999999</v>
      </c>
    </row>
    <row r="2170" spans="2:5" x14ac:dyDescent="0.25">
      <c r="B2170" s="545">
        <v>2461</v>
      </c>
      <c r="C2170" s="553" t="s">
        <v>7575</v>
      </c>
      <c r="D2170" s="669" t="s">
        <v>410</v>
      </c>
      <c r="E2170" s="546">
        <v>1091.9999760000001</v>
      </c>
    </row>
    <row r="2171" spans="2:5" x14ac:dyDescent="0.25">
      <c r="B2171" s="545">
        <v>2462</v>
      </c>
      <c r="C2171" s="553" t="s">
        <v>3078</v>
      </c>
      <c r="D2171" s="669" t="s">
        <v>410</v>
      </c>
      <c r="E2171" s="546">
        <v>695.06667100000004</v>
      </c>
    </row>
    <row r="2172" spans="2:5" x14ac:dyDescent="0.25">
      <c r="B2172" s="545">
        <v>2463</v>
      </c>
      <c r="C2172" s="553" t="s">
        <v>3245</v>
      </c>
      <c r="D2172" s="669" t="s">
        <v>410</v>
      </c>
      <c r="E2172" s="546">
        <v>703.18001700000002</v>
      </c>
    </row>
    <row r="2173" spans="2:5" x14ac:dyDescent="0.25">
      <c r="B2173" s="545">
        <v>2464</v>
      </c>
      <c r="C2173" s="553" t="s">
        <v>3736</v>
      </c>
      <c r="D2173" s="669" t="s">
        <v>410</v>
      </c>
      <c r="E2173" s="546">
        <v>729.02857300000005</v>
      </c>
    </row>
    <row r="2174" spans="2:5" x14ac:dyDescent="0.25">
      <c r="B2174" s="545">
        <v>2465</v>
      </c>
      <c r="C2174" s="553" t="s">
        <v>3657</v>
      </c>
      <c r="D2174" s="669" t="s">
        <v>410</v>
      </c>
      <c r="E2174" s="546">
        <v>724.56664999999998</v>
      </c>
    </row>
    <row r="2175" spans="2:5" x14ac:dyDescent="0.25">
      <c r="B2175" s="545">
        <v>2466</v>
      </c>
      <c r="C2175" s="553" t="s">
        <v>2880</v>
      </c>
      <c r="D2175" s="669" t="s">
        <v>410</v>
      </c>
      <c r="E2175" s="546">
        <v>714.95001200000002</v>
      </c>
    </row>
    <row r="2176" spans="2:5" x14ac:dyDescent="0.25">
      <c r="B2176" s="545">
        <v>2467</v>
      </c>
      <c r="C2176" s="553" t="s">
        <v>4005</v>
      </c>
      <c r="D2176" s="669" t="s">
        <v>410</v>
      </c>
      <c r="E2176" s="546">
        <v>745.12221999999997</v>
      </c>
    </row>
    <row r="2177" spans="2:5" x14ac:dyDescent="0.25">
      <c r="B2177" s="545">
        <v>2468</v>
      </c>
      <c r="C2177" s="553" t="s">
        <v>4208</v>
      </c>
      <c r="D2177" s="669" t="s">
        <v>410</v>
      </c>
      <c r="E2177" s="546">
        <v>758.05000800000005</v>
      </c>
    </row>
    <row r="2178" spans="2:5" x14ac:dyDescent="0.25">
      <c r="B2178" s="545">
        <v>2469</v>
      </c>
      <c r="C2178" s="553" t="s">
        <v>3330</v>
      </c>
      <c r="D2178" s="669" t="s">
        <v>410</v>
      </c>
      <c r="E2178" s="546">
        <v>707.5</v>
      </c>
    </row>
    <row r="2179" spans="2:5" x14ac:dyDescent="0.25">
      <c r="B2179" s="545">
        <v>2470</v>
      </c>
      <c r="C2179" s="553" t="s">
        <v>3668</v>
      </c>
      <c r="D2179" s="669" t="s">
        <v>410</v>
      </c>
      <c r="E2179" s="546">
        <v>725.27500899999995</v>
      </c>
    </row>
    <row r="2180" spans="2:5" x14ac:dyDescent="0.25">
      <c r="B2180" s="545">
        <v>2471</v>
      </c>
      <c r="C2180" s="553" t="s">
        <v>4389</v>
      </c>
      <c r="D2180" s="669" t="s">
        <v>410</v>
      </c>
      <c r="E2180" s="546">
        <v>771.34443499999998</v>
      </c>
    </row>
    <row r="2181" spans="2:5" x14ac:dyDescent="0.25">
      <c r="B2181" s="545">
        <v>2472</v>
      </c>
      <c r="C2181" s="553" t="s">
        <v>3768</v>
      </c>
      <c r="D2181" s="669" t="s">
        <v>410</v>
      </c>
      <c r="E2181" s="546">
        <v>731.13334099999997</v>
      </c>
    </row>
    <row r="2182" spans="2:5" x14ac:dyDescent="0.25">
      <c r="B2182" s="545">
        <v>2473</v>
      </c>
      <c r="C2182" s="553" t="s">
        <v>7136</v>
      </c>
      <c r="D2182" s="669" t="s">
        <v>410</v>
      </c>
      <c r="E2182" s="546">
        <v>712.259998</v>
      </c>
    </row>
    <row r="2183" spans="2:5" x14ac:dyDescent="0.25">
      <c r="B2183" s="545">
        <v>2474</v>
      </c>
      <c r="C2183" s="553" t="s">
        <v>3375</v>
      </c>
      <c r="D2183" s="669" t="s">
        <v>410</v>
      </c>
      <c r="E2183" s="546">
        <v>709.57499700000005</v>
      </c>
    </row>
    <row r="2184" spans="2:5" x14ac:dyDescent="0.25">
      <c r="B2184" s="545">
        <v>2475</v>
      </c>
      <c r="C2184" s="553" t="s">
        <v>970</v>
      </c>
      <c r="D2184" s="669" t="s">
        <v>410</v>
      </c>
      <c r="E2184" s="546">
        <v>707.51249700000005</v>
      </c>
    </row>
    <row r="2185" spans="2:5" x14ac:dyDescent="0.25">
      <c r="B2185" s="545">
        <v>2476</v>
      </c>
      <c r="C2185" s="553" t="s">
        <v>4501</v>
      </c>
      <c r="D2185" s="669" t="s">
        <v>410</v>
      </c>
      <c r="E2185" s="546">
        <v>780.14999399999999</v>
      </c>
    </row>
    <row r="2186" spans="2:5" x14ac:dyDescent="0.25">
      <c r="B2186" s="545">
        <v>2477</v>
      </c>
      <c r="C2186" s="553" t="s">
        <v>6816</v>
      </c>
      <c r="D2186" s="669" t="s">
        <v>410</v>
      </c>
      <c r="E2186" s="546">
        <v>778.62143400000002</v>
      </c>
    </row>
    <row r="2187" spans="2:5" x14ac:dyDescent="0.25">
      <c r="B2187" s="545">
        <v>2478</v>
      </c>
      <c r="C2187" s="553" t="s">
        <v>3233</v>
      </c>
      <c r="D2187" s="669" t="s">
        <v>410</v>
      </c>
      <c r="E2187" s="546">
        <v>702.69999199999995</v>
      </c>
    </row>
    <row r="2188" spans="2:5" x14ac:dyDescent="0.25">
      <c r="B2188" s="545">
        <v>2479</v>
      </c>
      <c r="C2188" s="553" t="s">
        <v>4030</v>
      </c>
      <c r="D2188" s="669" t="s">
        <v>410</v>
      </c>
      <c r="E2188" s="546">
        <v>746.90000899999995</v>
      </c>
    </row>
    <row r="2189" spans="2:5" x14ac:dyDescent="0.25">
      <c r="B2189" s="545">
        <v>2480</v>
      </c>
      <c r="C2189" s="553" t="s">
        <v>7102</v>
      </c>
      <c r="D2189" s="669" t="s">
        <v>410</v>
      </c>
      <c r="E2189" s="546">
        <v>777.30000299999995</v>
      </c>
    </row>
    <row r="2190" spans="2:5" x14ac:dyDescent="0.25">
      <c r="B2190" s="545">
        <v>2481</v>
      </c>
      <c r="C2190" s="553" t="s">
        <v>7137</v>
      </c>
      <c r="D2190" s="669" t="s">
        <v>410</v>
      </c>
      <c r="E2190" s="546">
        <v>737.45001200000002</v>
      </c>
    </row>
    <row r="2191" spans="2:5" x14ac:dyDescent="0.25">
      <c r="B2191" s="545">
        <v>2482</v>
      </c>
      <c r="C2191" s="553" t="s">
        <v>3610</v>
      </c>
      <c r="D2191" s="669" t="s">
        <v>410</v>
      </c>
      <c r="E2191" s="546">
        <v>722.16666699999996</v>
      </c>
    </row>
    <row r="2192" spans="2:5" x14ac:dyDescent="0.25">
      <c r="B2192" s="545">
        <v>2483</v>
      </c>
      <c r="C2192" s="553" t="s">
        <v>6795</v>
      </c>
      <c r="D2192" s="669" t="s">
        <v>410</v>
      </c>
      <c r="E2192" s="546">
        <v>763.20000200000004</v>
      </c>
    </row>
    <row r="2193" spans="2:5" x14ac:dyDescent="0.25">
      <c r="B2193" s="545">
        <v>2484</v>
      </c>
      <c r="C2193" s="553" t="s">
        <v>4740</v>
      </c>
      <c r="D2193" s="669" t="s">
        <v>410</v>
      </c>
      <c r="E2193" s="546">
        <v>799.33750199999997</v>
      </c>
    </row>
    <row r="2194" spans="2:5" x14ac:dyDescent="0.25">
      <c r="B2194" s="545">
        <v>2485</v>
      </c>
      <c r="C2194" s="553" t="s">
        <v>4168</v>
      </c>
      <c r="D2194" s="669" t="s">
        <v>410</v>
      </c>
      <c r="E2194" s="546">
        <v>755.35000600000001</v>
      </c>
    </row>
    <row r="2195" spans="2:5" x14ac:dyDescent="0.25">
      <c r="B2195" s="545">
        <v>2486</v>
      </c>
      <c r="C2195" s="553" t="s">
        <v>4121</v>
      </c>
      <c r="D2195" s="669" t="s">
        <v>410</v>
      </c>
      <c r="E2195" s="546">
        <v>752.14999399999999</v>
      </c>
    </row>
    <row r="2196" spans="2:5" x14ac:dyDescent="0.25">
      <c r="B2196" s="545">
        <v>2487</v>
      </c>
      <c r="C2196" s="553" t="s">
        <v>1597</v>
      </c>
      <c r="D2196" s="669" t="s">
        <v>410</v>
      </c>
      <c r="E2196" s="546">
        <v>750.17999299999997</v>
      </c>
    </row>
    <row r="2197" spans="2:5" x14ac:dyDescent="0.25">
      <c r="B2197" s="545">
        <v>2488</v>
      </c>
      <c r="C2197" s="553" t="s">
        <v>3027</v>
      </c>
      <c r="D2197" s="669" t="s">
        <v>410</v>
      </c>
      <c r="E2197" s="546">
        <v>692.16665599999999</v>
      </c>
    </row>
    <row r="2198" spans="2:5" x14ac:dyDescent="0.25">
      <c r="B2198" s="545">
        <v>2489</v>
      </c>
      <c r="C2198" s="553" t="s">
        <v>3098</v>
      </c>
      <c r="D2198" s="669" t="s">
        <v>410</v>
      </c>
      <c r="E2198" s="546">
        <v>695.90000399999997</v>
      </c>
    </row>
    <row r="2199" spans="2:5" x14ac:dyDescent="0.25">
      <c r="B2199" s="545">
        <v>2490</v>
      </c>
      <c r="C2199" s="553" t="s">
        <v>6570</v>
      </c>
      <c r="D2199" s="669" t="s">
        <v>410</v>
      </c>
      <c r="E2199" s="546">
        <v>705.15000199999997</v>
      </c>
    </row>
    <row r="2200" spans="2:5" x14ac:dyDescent="0.25">
      <c r="B2200" s="545">
        <v>2491</v>
      </c>
      <c r="C2200" s="553" t="s">
        <v>3843</v>
      </c>
      <c r="D2200" s="669" t="s">
        <v>410</v>
      </c>
      <c r="E2200" s="546">
        <v>735.25715000000002</v>
      </c>
    </row>
    <row r="2201" spans="2:5" x14ac:dyDescent="0.25">
      <c r="B2201" s="545">
        <v>2492</v>
      </c>
      <c r="C2201" s="545" t="s">
        <v>6606</v>
      </c>
      <c r="D2201" s="669" t="s">
        <v>410</v>
      </c>
      <c r="E2201" s="546">
        <v>691.59997599999997</v>
      </c>
    </row>
    <row r="2202" spans="2:5" x14ac:dyDescent="0.25">
      <c r="B2202" s="545">
        <v>2493</v>
      </c>
      <c r="C2202" s="545" t="s">
        <v>3141</v>
      </c>
      <c r="D2202" s="669" t="s">
        <v>410</v>
      </c>
      <c r="E2202" s="546">
        <v>698.34999400000004</v>
      </c>
    </row>
    <row r="2203" spans="2:5" x14ac:dyDescent="0.25">
      <c r="B2203" s="545">
        <v>2494</v>
      </c>
      <c r="C2203" s="545" t="s">
        <v>4459</v>
      </c>
      <c r="D2203" s="669" t="s">
        <v>410</v>
      </c>
      <c r="E2203" s="546">
        <v>777.37778700000001</v>
      </c>
    </row>
    <row r="2204" spans="2:5" x14ac:dyDescent="0.25">
      <c r="B2204" s="545">
        <v>2495</v>
      </c>
      <c r="C2204" s="545" t="s">
        <v>7489</v>
      </c>
      <c r="D2204" s="669" t="s">
        <v>410</v>
      </c>
      <c r="E2204" s="546">
        <v>706.20001200000002</v>
      </c>
    </row>
    <row r="2205" spans="2:5" x14ac:dyDescent="0.25">
      <c r="B2205" s="545">
        <v>2496</v>
      </c>
      <c r="C2205" s="545" t="s">
        <v>3255</v>
      </c>
      <c r="D2205" s="669" t="s">
        <v>410</v>
      </c>
      <c r="E2205" s="546">
        <v>703.43332899999996</v>
      </c>
    </row>
    <row r="2206" spans="2:5" x14ac:dyDescent="0.25">
      <c r="B2206" s="545">
        <v>2497</v>
      </c>
      <c r="C2206" s="545" t="s">
        <v>3324</v>
      </c>
      <c r="D2206" s="669" t="s">
        <v>410</v>
      </c>
      <c r="E2206" s="546">
        <v>707.22083799999996</v>
      </c>
    </row>
    <row r="2207" spans="2:5" x14ac:dyDescent="0.25">
      <c r="B2207" s="545">
        <v>2498</v>
      </c>
      <c r="C2207" s="545" t="s">
        <v>4295</v>
      </c>
      <c r="D2207" s="669" t="s">
        <v>410</v>
      </c>
      <c r="E2207" s="546">
        <v>764.13748899999996</v>
      </c>
    </row>
    <row r="2208" spans="2:5" x14ac:dyDescent="0.25">
      <c r="B2208" s="545">
        <v>2499</v>
      </c>
      <c r="C2208" s="545" t="s">
        <v>4214</v>
      </c>
      <c r="D2208" s="669" t="s">
        <v>410</v>
      </c>
      <c r="E2208" s="546">
        <v>758.5625</v>
      </c>
    </row>
    <row r="2209" spans="2:5" x14ac:dyDescent="0.25">
      <c r="B2209" s="545">
        <v>2500</v>
      </c>
      <c r="C2209" s="545" t="s">
        <v>7429</v>
      </c>
      <c r="D2209" s="669" t="s">
        <v>410</v>
      </c>
      <c r="E2209" s="546">
        <v>842.79999699999996</v>
      </c>
    </row>
    <row r="2210" spans="2:5" x14ac:dyDescent="0.25">
      <c r="B2210" s="545">
        <v>2502</v>
      </c>
      <c r="C2210" s="545" t="s">
        <v>3981</v>
      </c>
      <c r="D2210" s="669" t="s">
        <v>410</v>
      </c>
      <c r="E2210" s="546">
        <v>744</v>
      </c>
    </row>
    <row r="2211" spans="2:5" x14ac:dyDescent="0.25">
      <c r="B2211" s="545">
        <v>2503</v>
      </c>
      <c r="C2211" s="545" t="s">
        <v>4023</v>
      </c>
      <c r="D2211" s="669" t="s">
        <v>410</v>
      </c>
      <c r="E2211" s="546">
        <v>746.59090900000001</v>
      </c>
    </row>
    <row r="2212" spans="2:5" x14ac:dyDescent="0.25">
      <c r="B2212" s="545">
        <v>2504</v>
      </c>
      <c r="C2212" s="545" t="s">
        <v>3924</v>
      </c>
      <c r="D2212" s="669" t="s">
        <v>410</v>
      </c>
      <c r="E2212" s="546">
        <v>740.22500600000001</v>
      </c>
    </row>
    <row r="2213" spans="2:5" x14ac:dyDescent="0.25">
      <c r="B2213" s="545">
        <v>2505</v>
      </c>
      <c r="C2213" s="545" t="s">
        <v>3938</v>
      </c>
      <c r="D2213" s="669" t="s">
        <v>410</v>
      </c>
      <c r="E2213" s="546">
        <v>741.08333300000004</v>
      </c>
    </row>
    <row r="2214" spans="2:5" x14ac:dyDescent="0.25">
      <c r="B2214" s="545">
        <v>2506</v>
      </c>
      <c r="C2214" s="545" t="s">
        <v>3262</v>
      </c>
      <c r="D2214" s="669" t="s">
        <v>410</v>
      </c>
      <c r="E2214" s="546">
        <v>703.65999799999997</v>
      </c>
    </row>
    <row r="2215" spans="2:5" x14ac:dyDescent="0.25">
      <c r="B2215" s="545">
        <v>2507</v>
      </c>
      <c r="C2215" s="545" t="s">
        <v>3970</v>
      </c>
      <c r="D2215" s="669" t="s">
        <v>410</v>
      </c>
      <c r="E2215" s="546">
        <v>742.96667500000001</v>
      </c>
    </row>
    <row r="2216" spans="2:5" x14ac:dyDescent="0.25">
      <c r="B2216" s="545">
        <v>2508</v>
      </c>
      <c r="C2216" s="545" t="s">
        <v>3029</v>
      </c>
      <c r="D2216" s="669" t="s">
        <v>410</v>
      </c>
      <c r="E2216" s="546">
        <v>692.35000600000001</v>
      </c>
    </row>
    <row r="2217" spans="2:5" x14ac:dyDescent="0.25">
      <c r="B2217" s="545">
        <v>2509</v>
      </c>
      <c r="C2217" s="545" t="s">
        <v>3963</v>
      </c>
      <c r="D2217" s="669" t="s">
        <v>410</v>
      </c>
      <c r="E2217" s="546">
        <v>742.46667500000001</v>
      </c>
    </row>
    <row r="2218" spans="2:5" x14ac:dyDescent="0.25">
      <c r="B2218" s="545">
        <v>2510</v>
      </c>
      <c r="C2218" s="545" t="s">
        <v>7316</v>
      </c>
      <c r="D2218" s="669" t="s">
        <v>410</v>
      </c>
      <c r="E2218" s="546">
        <v>697.94999700000005</v>
      </c>
    </row>
    <row r="2219" spans="2:5" x14ac:dyDescent="0.25">
      <c r="B2219" s="545">
        <v>2511</v>
      </c>
      <c r="C2219" s="545" t="s">
        <v>3878</v>
      </c>
      <c r="D2219" s="669" t="s">
        <v>410</v>
      </c>
      <c r="E2219" s="546">
        <v>737.43332899999996</v>
      </c>
    </row>
    <row r="2220" spans="2:5" x14ac:dyDescent="0.25">
      <c r="B2220" s="545">
        <v>2512</v>
      </c>
      <c r="C2220" s="545" t="s">
        <v>3439</v>
      </c>
      <c r="D2220" s="669" t="s">
        <v>410</v>
      </c>
      <c r="E2220" s="546">
        <v>712.86665900000003</v>
      </c>
    </row>
    <row r="2221" spans="2:5" x14ac:dyDescent="0.25">
      <c r="B2221" s="545">
        <v>2513</v>
      </c>
      <c r="C2221" s="545" t="s">
        <v>2562</v>
      </c>
      <c r="D2221" s="669" t="s">
        <v>410</v>
      </c>
      <c r="E2221" s="546">
        <v>668.86665900000003</v>
      </c>
    </row>
    <row r="2222" spans="2:5" x14ac:dyDescent="0.25">
      <c r="B2222" s="545">
        <v>2514</v>
      </c>
      <c r="C2222" s="545" t="s">
        <v>3782</v>
      </c>
      <c r="D2222" s="669" t="s">
        <v>410</v>
      </c>
      <c r="E2222" s="546">
        <v>731.78000499999996</v>
      </c>
    </row>
    <row r="2223" spans="2:5" x14ac:dyDescent="0.25">
      <c r="B2223" s="545">
        <v>2515</v>
      </c>
      <c r="C2223" s="545" t="s">
        <v>7092</v>
      </c>
      <c r="D2223" s="669" t="s">
        <v>410</v>
      </c>
      <c r="E2223" s="546">
        <v>714.53332499999999</v>
      </c>
    </row>
    <row r="2224" spans="2:5" x14ac:dyDescent="0.25">
      <c r="B2224" s="545">
        <v>2516</v>
      </c>
      <c r="C2224" s="545" t="s">
        <v>2864</v>
      </c>
      <c r="D2224" s="669" t="s">
        <v>410</v>
      </c>
      <c r="E2224" s="546">
        <v>684.56667100000004</v>
      </c>
    </row>
    <row r="2225" spans="2:5" x14ac:dyDescent="0.25">
      <c r="B2225" s="545">
        <v>2517</v>
      </c>
      <c r="C2225" s="545" t="s">
        <v>3744</v>
      </c>
      <c r="D2225" s="669" t="s">
        <v>410</v>
      </c>
      <c r="E2225" s="546">
        <v>729.43332899999996</v>
      </c>
    </row>
    <row r="2226" spans="2:5" x14ac:dyDescent="0.25">
      <c r="B2226" s="545">
        <v>2518</v>
      </c>
      <c r="C2226" s="545" t="s">
        <v>2797</v>
      </c>
      <c r="D2226" s="669" t="s">
        <v>410</v>
      </c>
      <c r="E2226" s="546">
        <v>680.90002400000003</v>
      </c>
    </row>
    <row r="2227" spans="2:5" x14ac:dyDescent="0.25">
      <c r="B2227" s="545">
        <v>2519</v>
      </c>
      <c r="C2227" s="545" t="s">
        <v>3250</v>
      </c>
      <c r="D2227" s="669" t="s">
        <v>410</v>
      </c>
      <c r="E2227" s="546">
        <v>703.29999499999997</v>
      </c>
    </row>
    <row r="2228" spans="2:5" x14ac:dyDescent="0.25">
      <c r="B2228" s="545">
        <v>2520</v>
      </c>
      <c r="C2228" s="545" t="s">
        <v>3534</v>
      </c>
      <c r="D2228" s="669" t="s">
        <v>410</v>
      </c>
      <c r="E2228" s="546">
        <v>718.14999399999999</v>
      </c>
    </row>
    <row r="2229" spans="2:5" x14ac:dyDescent="0.25">
      <c r="B2229" s="545">
        <v>2521</v>
      </c>
      <c r="C2229" s="545" t="s">
        <v>3535</v>
      </c>
      <c r="D2229" s="669" t="s">
        <v>410</v>
      </c>
      <c r="E2229" s="546">
        <v>718.16667700000005</v>
      </c>
    </row>
    <row r="2230" spans="2:5" x14ac:dyDescent="0.25">
      <c r="B2230" s="545">
        <v>2522</v>
      </c>
      <c r="C2230" s="545" t="s">
        <v>3086</v>
      </c>
      <c r="D2230" s="669" t="s">
        <v>410</v>
      </c>
      <c r="E2230" s="546">
        <v>758.69998199999998</v>
      </c>
    </row>
    <row r="2231" spans="2:5" x14ac:dyDescent="0.25">
      <c r="B2231" s="545">
        <v>2523</v>
      </c>
      <c r="C2231" s="545" t="s">
        <v>4035</v>
      </c>
      <c r="D2231" s="669" t="s">
        <v>410</v>
      </c>
      <c r="E2231" s="546">
        <v>747.15000899999995</v>
      </c>
    </row>
    <row r="2232" spans="2:5" x14ac:dyDescent="0.25">
      <c r="B2232" s="545">
        <v>2524</v>
      </c>
      <c r="C2232" s="545" t="s">
        <v>4297</v>
      </c>
      <c r="D2232" s="669" t="s">
        <v>410</v>
      </c>
      <c r="E2232" s="546">
        <v>764.29998799999998</v>
      </c>
    </row>
    <row r="2233" spans="2:5" x14ac:dyDescent="0.25">
      <c r="B2233" s="545">
        <v>2525</v>
      </c>
      <c r="C2233" s="545" t="s">
        <v>4778</v>
      </c>
      <c r="D2233" s="669" t="s">
        <v>410</v>
      </c>
      <c r="E2233" s="546">
        <v>802.11250299999995</v>
      </c>
    </row>
    <row r="2234" spans="2:5" x14ac:dyDescent="0.25">
      <c r="B2234" s="545">
        <v>2526</v>
      </c>
      <c r="C2234" s="545" t="s">
        <v>6977</v>
      </c>
      <c r="D2234" s="669" t="s">
        <v>410</v>
      </c>
      <c r="E2234" s="546">
        <v>801.79375500000003</v>
      </c>
    </row>
    <row r="2235" spans="2:5" x14ac:dyDescent="0.25">
      <c r="B2235" s="545">
        <v>2527</v>
      </c>
      <c r="C2235" s="545" t="s">
        <v>7341</v>
      </c>
      <c r="D2235" s="669" t="s">
        <v>410</v>
      </c>
      <c r="E2235" s="546">
        <v>785.19999900000005</v>
      </c>
    </row>
    <row r="2236" spans="2:5" x14ac:dyDescent="0.25">
      <c r="B2236" s="545">
        <v>2528</v>
      </c>
      <c r="C2236" s="545" t="s">
        <v>7535</v>
      </c>
      <c r="D2236" s="669" t="s">
        <v>410</v>
      </c>
      <c r="E2236" s="546">
        <v>769.97997999999995</v>
      </c>
    </row>
    <row r="2237" spans="2:5" x14ac:dyDescent="0.25">
      <c r="B2237" s="545">
        <v>2529</v>
      </c>
      <c r="C2237" s="545" t="s">
        <v>5069</v>
      </c>
      <c r="D2237" s="669" t="s">
        <v>410</v>
      </c>
      <c r="E2237" s="546">
        <v>830.51250500000003</v>
      </c>
    </row>
    <row r="2238" spans="2:5" x14ac:dyDescent="0.25">
      <c r="B2238" s="545">
        <v>2530</v>
      </c>
      <c r="C2238" s="545" t="s">
        <v>5070</v>
      </c>
      <c r="D2238" s="669" t="s">
        <v>410</v>
      </c>
      <c r="E2238" s="546">
        <v>830.76153099999999</v>
      </c>
    </row>
    <row r="2239" spans="2:5" x14ac:dyDescent="0.25">
      <c r="B2239" s="545">
        <v>2531</v>
      </c>
      <c r="C2239" s="545" t="s">
        <v>5372</v>
      </c>
      <c r="D2239" s="669" t="s">
        <v>410</v>
      </c>
      <c r="E2239" s="546">
        <v>874.07499700000005</v>
      </c>
    </row>
    <row r="2240" spans="2:5" x14ac:dyDescent="0.25">
      <c r="B2240" s="545">
        <v>2532</v>
      </c>
      <c r="C2240" s="545" t="s">
        <v>7109</v>
      </c>
      <c r="D2240" s="669" t="s">
        <v>410</v>
      </c>
      <c r="E2240" s="546">
        <v>840.40002400000003</v>
      </c>
    </row>
    <row r="2241" spans="2:5" x14ac:dyDescent="0.25">
      <c r="B2241" s="545">
        <v>2533</v>
      </c>
      <c r="C2241" s="545" t="s">
        <v>5367</v>
      </c>
      <c r="D2241" s="669" t="s">
        <v>410</v>
      </c>
      <c r="E2241" s="546">
        <v>873.69999199999995</v>
      </c>
    </row>
    <row r="2242" spans="2:5" x14ac:dyDescent="0.25">
      <c r="B2242" s="545">
        <v>2534</v>
      </c>
      <c r="C2242" s="545" t="s">
        <v>5664</v>
      </c>
      <c r="D2242" s="669" t="s">
        <v>410</v>
      </c>
      <c r="E2242" s="546">
        <v>928.95998499999996</v>
      </c>
    </row>
    <row r="2243" spans="2:5" x14ac:dyDescent="0.25">
      <c r="B2243" s="545">
        <v>2535</v>
      </c>
      <c r="C2243" s="545" t="s">
        <v>7333</v>
      </c>
      <c r="D2243" s="669" t="s">
        <v>410</v>
      </c>
      <c r="E2243" s="546">
        <v>818.64999399999999</v>
      </c>
    </row>
    <row r="2244" spans="2:5" x14ac:dyDescent="0.25">
      <c r="B2244" s="545">
        <v>2536</v>
      </c>
      <c r="C2244" s="545" t="s">
        <v>4096</v>
      </c>
      <c r="D2244" s="669" t="s">
        <v>410</v>
      </c>
      <c r="E2244" s="546">
        <v>750.59999100000005</v>
      </c>
    </row>
    <row r="2245" spans="2:5" x14ac:dyDescent="0.25">
      <c r="B2245" s="545">
        <v>2537</v>
      </c>
      <c r="C2245" s="545" t="s">
        <v>4866</v>
      </c>
      <c r="D2245" s="669" t="s">
        <v>410</v>
      </c>
      <c r="E2245" s="546">
        <v>808.65000899999995</v>
      </c>
    </row>
    <row r="2246" spans="2:5" x14ac:dyDescent="0.25">
      <c r="B2246" s="545">
        <v>2538</v>
      </c>
      <c r="C2246" s="545" t="s">
        <v>6523</v>
      </c>
      <c r="D2246" s="669" t="s">
        <v>410</v>
      </c>
      <c r="E2246" s="546">
        <v>829.10000200000002</v>
      </c>
    </row>
    <row r="2247" spans="2:5" x14ac:dyDescent="0.25">
      <c r="B2247" s="545">
        <v>2539</v>
      </c>
      <c r="C2247" s="545" t="s">
        <v>2765</v>
      </c>
      <c r="D2247" s="669" t="s">
        <v>410</v>
      </c>
      <c r="E2247" s="546">
        <v>778.5</v>
      </c>
    </row>
    <row r="2248" spans="2:5" x14ac:dyDescent="0.25">
      <c r="B2248" s="545">
        <v>2540</v>
      </c>
      <c r="C2248" s="545" t="s">
        <v>4782</v>
      </c>
      <c r="D2248" s="669" t="s">
        <v>410</v>
      </c>
      <c r="E2248" s="546">
        <v>802.15555099999995</v>
      </c>
    </row>
    <row r="2249" spans="2:5" x14ac:dyDescent="0.25">
      <c r="B2249" s="545">
        <v>2541</v>
      </c>
      <c r="C2249" s="545" t="s">
        <v>7090</v>
      </c>
      <c r="D2249" s="669" t="s">
        <v>410</v>
      </c>
      <c r="E2249" s="546">
        <v>843.23333100000002</v>
      </c>
    </row>
    <row r="2250" spans="2:5" x14ac:dyDescent="0.25">
      <c r="B2250" s="545">
        <v>2542</v>
      </c>
      <c r="C2250" s="545" t="s">
        <v>5061</v>
      </c>
      <c r="D2250" s="669" t="s">
        <v>410</v>
      </c>
      <c r="E2250" s="546">
        <v>829.45000200000004</v>
      </c>
    </row>
    <row r="2251" spans="2:5" x14ac:dyDescent="0.25">
      <c r="B2251" s="545">
        <v>2543</v>
      </c>
      <c r="C2251" s="545" t="s">
        <v>4585</v>
      </c>
      <c r="D2251" s="669" t="s">
        <v>410</v>
      </c>
      <c r="E2251" s="546">
        <v>786.72855900000002</v>
      </c>
    </row>
    <row r="2252" spans="2:5" x14ac:dyDescent="0.25">
      <c r="B2252" s="545">
        <v>2544</v>
      </c>
      <c r="C2252" s="545" t="s">
        <v>4931</v>
      </c>
      <c r="D2252" s="669" t="s">
        <v>410</v>
      </c>
      <c r="E2252" s="546">
        <v>814.92857100000003</v>
      </c>
    </row>
    <row r="2253" spans="2:5" x14ac:dyDescent="0.25">
      <c r="B2253" s="545">
        <v>2545</v>
      </c>
      <c r="C2253" s="545" t="s">
        <v>5039</v>
      </c>
      <c r="D2253" s="669" t="s">
        <v>410</v>
      </c>
      <c r="E2253" s="546">
        <v>826.92500299999995</v>
      </c>
    </row>
    <row r="2254" spans="2:5" x14ac:dyDescent="0.25">
      <c r="B2254" s="545">
        <v>2546</v>
      </c>
      <c r="C2254" s="545" t="s">
        <v>5077</v>
      </c>
      <c r="D2254" s="669" t="s">
        <v>410</v>
      </c>
      <c r="E2254" s="546">
        <v>831.03749100000005</v>
      </c>
    </row>
    <row r="2255" spans="2:5" x14ac:dyDescent="0.25">
      <c r="B2255" s="545">
        <v>2547</v>
      </c>
      <c r="C2255" s="545" t="s">
        <v>5531</v>
      </c>
      <c r="D2255" s="669" t="s">
        <v>410</v>
      </c>
      <c r="E2255" s="546">
        <v>900.99998500000004</v>
      </c>
    </row>
    <row r="2256" spans="2:5" x14ac:dyDescent="0.25">
      <c r="B2256" s="545">
        <v>2548</v>
      </c>
      <c r="C2256" s="545" t="s">
        <v>5572</v>
      </c>
      <c r="D2256" s="669" t="s">
        <v>410</v>
      </c>
      <c r="E2256" s="546">
        <v>907.18000500000005</v>
      </c>
    </row>
    <row r="2257" spans="2:5" x14ac:dyDescent="0.25">
      <c r="B2257" s="545">
        <v>2549</v>
      </c>
      <c r="C2257" s="545" t="s">
        <v>5303</v>
      </c>
      <c r="D2257" s="669" t="s">
        <v>410</v>
      </c>
      <c r="E2257" s="546">
        <v>862.31819299999995</v>
      </c>
    </row>
    <row r="2258" spans="2:5" x14ac:dyDescent="0.25">
      <c r="B2258" s="545">
        <v>2550</v>
      </c>
      <c r="C2258" s="545" t="s">
        <v>5709</v>
      </c>
      <c r="D2258" s="669" t="s">
        <v>410</v>
      </c>
      <c r="E2258" s="546">
        <v>941.56664999999998</v>
      </c>
    </row>
    <row r="2259" spans="2:5" x14ac:dyDescent="0.25">
      <c r="B2259" s="545">
        <v>2551</v>
      </c>
      <c r="C2259" s="545" t="s">
        <v>5700</v>
      </c>
      <c r="D2259" s="669" t="s">
        <v>410</v>
      </c>
      <c r="E2259" s="546">
        <v>939.09999700000003</v>
      </c>
    </row>
    <row r="2260" spans="2:5" x14ac:dyDescent="0.25">
      <c r="B2260" s="545">
        <v>2552</v>
      </c>
      <c r="C2260" s="545" t="s">
        <v>5615</v>
      </c>
      <c r="D2260" s="669" t="s">
        <v>410</v>
      </c>
      <c r="E2260" s="546">
        <v>915.60001599999998</v>
      </c>
    </row>
    <row r="2261" spans="2:5" x14ac:dyDescent="0.25">
      <c r="B2261" s="545">
        <v>2553</v>
      </c>
      <c r="C2261" s="545" t="s">
        <v>5667</v>
      </c>
      <c r="D2261" s="669" t="s">
        <v>410</v>
      </c>
      <c r="E2261" s="546">
        <v>930.25385500000004</v>
      </c>
    </row>
    <row r="2262" spans="2:5" x14ac:dyDescent="0.25">
      <c r="B2262" s="545">
        <v>2554</v>
      </c>
      <c r="C2262" s="545" t="s">
        <v>5377</v>
      </c>
      <c r="D2262" s="669" t="s">
        <v>410</v>
      </c>
      <c r="E2262" s="546">
        <v>874.57778599999995</v>
      </c>
    </row>
    <row r="2263" spans="2:5" x14ac:dyDescent="0.25">
      <c r="B2263" s="545">
        <v>2555</v>
      </c>
      <c r="C2263" s="545" t="s">
        <v>5432</v>
      </c>
      <c r="D2263" s="669" t="s">
        <v>410</v>
      </c>
      <c r="E2263" s="546">
        <v>884.51429099999996</v>
      </c>
    </row>
    <row r="2264" spans="2:5" x14ac:dyDescent="0.25">
      <c r="B2264" s="545">
        <v>2556</v>
      </c>
      <c r="C2264" s="545" t="s">
        <v>5094</v>
      </c>
      <c r="D2264" s="669" t="s">
        <v>410</v>
      </c>
      <c r="E2264" s="546">
        <v>832.49824599999999</v>
      </c>
    </row>
    <row r="2265" spans="2:5" x14ac:dyDescent="0.25">
      <c r="B2265" s="545">
        <v>2601</v>
      </c>
      <c r="C2265" s="545" t="s">
        <v>7627</v>
      </c>
      <c r="D2265" s="669" t="s">
        <v>413</v>
      </c>
      <c r="E2265" s="546">
        <v>791.15555800000004</v>
      </c>
    </row>
    <row r="2266" spans="2:5" x14ac:dyDescent="0.25">
      <c r="B2266" s="545">
        <v>2602</v>
      </c>
      <c r="C2266" s="545" t="s">
        <v>5131</v>
      </c>
      <c r="D2266" s="669" t="s">
        <v>413</v>
      </c>
      <c r="E2266" s="546">
        <v>836.71666500000003</v>
      </c>
    </row>
    <row r="2267" spans="2:5" x14ac:dyDescent="0.25">
      <c r="B2267" s="545">
        <v>2603</v>
      </c>
      <c r="C2267" s="545" t="s">
        <v>4862</v>
      </c>
      <c r="D2267" s="669" t="s">
        <v>413</v>
      </c>
      <c r="E2267" s="546">
        <v>808.46666100000004</v>
      </c>
    </row>
    <row r="2268" spans="2:5" x14ac:dyDescent="0.25">
      <c r="B2268" s="545">
        <v>2604</v>
      </c>
      <c r="C2268" s="545" t="s">
        <v>4854</v>
      </c>
      <c r="D2268" s="669" t="s">
        <v>413</v>
      </c>
      <c r="E2268" s="546">
        <v>807.59999600000003</v>
      </c>
    </row>
    <row r="2269" spans="2:5" x14ac:dyDescent="0.25">
      <c r="B2269" s="545">
        <v>2605</v>
      </c>
      <c r="C2269" s="545" t="s">
        <v>4364</v>
      </c>
      <c r="D2269" s="669" t="s">
        <v>413</v>
      </c>
      <c r="E2269" s="546">
        <v>769.14000199999998</v>
      </c>
    </row>
    <row r="2270" spans="2:5" x14ac:dyDescent="0.25">
      <c r="B2270" s="545">
        <v>2606</v>
      </c>
      <c r="C2270" s="545" t="s">
        <v>4970</v>
      </c>
      <c r="D2270" s="669" t="s">
        <v>413</v>
      </c>
      <c r="E2270" s="546">
        <v>818.92000700000006</v>
      </c>
    </row>
    <row r="2271" spans="2:5" x14ac:dyDescent="0.25">
      <c r="B2271" s="545">
        <v>2607</v>
      </c>
      <c r="C2271" s="545" t="s">
        <v>5428</v>
      </c>
      <c r="D2271" s="669" t="s">
        <v>413</v>
      </c>
      <c r="E2271" s="546">
        <v>884.21999500000004</v>
      </c>
    </row>
    <row r="2272" spans="2:5" x14ac:dyDescent="0.25">
      <c r="B2272" s="545">
        <v>2608</v>
      </c>
      <c r="C2272" s="545" t="s">
        <v>5259</v>
      </c>
      <c r="D2272" s="669" t="s">
        <v>413</v>
      </c>
      <c r="E2272" s="546">
        <v>854.90000899999995</v>
      </c>
    </row>
    <row r="2273" spans="2:5" x14ac:dyDescent="0.25">
      <c r="B2273" s="545">
        <v>2609</v>
      </c>
      <c r="C2273" s="545" t="s">
        <v>7522</v>
      </c>
      <c r="D2273" s="669" t="s">
        <v>413</v>
      </c>
      <c r="E2273" s="546">
        <v>836.95001200000002</v>
      </c>
    </row>
    <row r="2274" spans="2:5" x14ac:dyDescent="0.25">
      <c r="B2274" s="545">
        <v>2610</v>
      </c>
      <c r="C2274" s="545" t="s">
        <v>6830</v>
      </c>
      <c r="D2274" s="669" t="s">
        <v>413</v>
      </c>
      <c r="E2274" s="546">
        <v>838.5</v>
      </c>
    </row>
    <row r="2275" spans="2:5" x14ac:dyDescent="0.25">
      <c r="B2275" s="545">
        <v>2611</v>
      </c>
      <c r="C2275" s="545" t="s">
        <v>6669</v>
      </c>
      <c r="D2275" s="669" t="s">
        <v>413</v>
      </c>
      <c r="E2275" s="546">
        <v>793.78334600000005</v>
      </c>
    </row>
    <row r="2276" spans="2:5" x14ac:dyDescent="0.25">
      <c r="B2276" s="545">
        <v>2612</v>
      </c>
      <c r="C2276" s="545" t="s">
        <v>4084</v>
      </c>
      <c r="D2276" s="669" t="s">
        <v>413</v>
      </c>
      <c r="E2276" s="546">
        <v>750.15998500000001</v>
      </c>
    </row>
    <row r="2277" spans="2:5" x14ac:dyDescent="0.25">
      <c r="B2277" s="545">
        <v>2613</v>
      </c>
      <c r="C2277" s="545" t="s">
        <v>7559</v>
      </c>
      <c r="D2277" s="669" t="s">
        <v>413</v>
      </c>
      <c r="E2277" s="546">
        <v>662.30001800000002</v>
      </c>
    </row>
    <row r="2278" spans="2:5" x14ac:dyDescent="0.25">
      <c r="B2278" s="545">
        <v>2614</v>
      </c>
      <c r="C2278" s="545" t="s">
        <v>3422</v>
      </c>
      <c r="D2278" s="669" t="s">
        <v>413</v>
      </c>
      <c r="E2278" s="546">
        <v>712.27500899999995</v>
      </c>
    </row>
    <row r="2279" spans="2:5" x14ac:dyDescent="0.25">
      <c r="B2279" s="545">
        <v>2615</v>
      </c>
      <c r="C2279" s="545" t="s">
        <v>1720</v>
      </c>
      <c r="D2279" s="669" t="s">
        <v>413</v>
      </c>
      <c r="E2279" s="546">
        <v>633.16666699999996</v>
      </c>
    </row>
    <row r="2280" spans="2:5" x14ac:dyDescent="0.25">
      <c r="B2280" s="545">
        <v>2616</v>
      </c>
      <c r="C2280" s="545" t="s">
        <v>2440</v>
      </c>
      <c r="D2280" s="669" t="s">
        <v>413</v>
      </c>
      <c r="E2280" s="546">
        <v>663.80910400000005</v>
      </c>
    </row>
    <row r="2281" spans="2:5" x14ac:dyDescent="0.25">
      <c r="B2281" s="545">
        <v>2617</v>
      </c>
      <c r="C2281" s="545" t="s">
        <v>4430</v>
      </c>
      <c r="D2281" s="669" t="s">
        <v>413</v>
      </c>
      <c r="E2281" s="546">
        <v>775.21667500000001</v>
      </c>
    </row>
    <row r="2282" spans="2:5" x14ac:dyDescent="0.25">
      <c r="B2282" s="545">
        <v>2618</v>
      </c>
      <c r="C2282" s="545" t="s">
        <v>4343</v>
      </c>
      <c r="D2282" s="669" t="s">
        <v>413</v>
      </c>
      <c r="E2282" s="546">
        <v>767.70001200000002</v>
      </c>
    </row>
    <row r="2283" spans="2:5" x14ac:dyDescent="0.25">
      <c r="B2283" s="545">
        <v>2619</v>
      </c>
      <c r="C2283" s="545" t="s">
        <v>3295</v>
      </c>
      <c r="D2283" s="669" t="s">
        <v>413</v>
      </c>
      <c r="E2283" s="546">
        <v>705.53332499999999</v>
      </c>
    </row>
    <row r="2284" spans="2:5" x14ac:dyDescent="0.25">
      <c r="B2284" s="545">
        <v>2620</v>
      </c>
      <c r="C2284" s="545" t="s">
        <v>6684</v>
      </c>
      <c r="D2284" s="669" t="s">
        <v>413</v>
      </c>
      <c r="E2284" s="546">
        <v>875.76667299999997</v>
      </c>
    </row>
    <row r="2285" spans="2:5" x14ac:dyDescent="0.25">
      <c r="B2285" s="545">
        <v>2621</v>
      </c>
      <c r="C2285" s="545" t="s">
        <v>4726</v>
      </c>
      <c r="D2285" s="669" t="s">
        <v>413</v>
      </c>
      <c r="E2285" s="546">
        <v>798.22499800000003</v>
      </c>
    </row>
    <row r="2286" spans="2:5" x14ac:dyDescent="0.25">
      <c r="B2286" s="545">
        <v>2622</v>
      </c>
      <c r="C2286" s="545" t="s">
        <v>4944</v>
      </c>
      <c r="D2286" s="669" t="s">
        <v>413</v>
      </c>
      <c r="E2286" s="546">
        <v>815.90002400000003</v>
      </c>
    </row>
    <row r="2287" spans="2:5" x14ac:dyDescent="0.25">
      <c r="B2287" s="545">
        <v>2623</v>
      </c>
      <c r="C2287" s="545" t="s">
        <v>4524</v>
      </c>
      <c r="D2287" s="669" t="s">
        <v>413</v>
      </c>
      <c r="E2287" s="546">
        <v>781.33331299999998</v>
      </c>
    </row>
    <row r="2288" spans="2:5" x14ac:dyDescent="0.25">
      <c r="B2288" s="545">
        <v>2624</v>
      </c>
      <c r="C2288" s="545" t="s">
        <v>4148</v>
      </c>
      <c r="D2288" s="669" t="s">
        <v>413</v>
      </c>
      <c r="E2288" s="546">
        <v>754.32856100000004</v>
      </c>
    </row>
    <row r="2289" spans="2:5" x14ac:dyDescent="0.25">
      <c r="B2289" s="545">
        <v>2625</v>
      </c>
      <c r="C2289" s="545" t="s">
        <v>4798</v>
      </c>
      <c r="D2289" s="669" t="s">
        <v>413</v>
      </c>
      <c r="E2289" s="546">
        <v>803.20000200000004</v>
      </c>
    </row>
    <row r="2290" spans="2:5" x14ac:dyDescent="0.25">
      <c r="B2290" s="545">
        <v>2626</v>
      </c>
      <c r="C2290" s="545" t="s">
        <v>4012</v>
      </c>
      <c r="D2290" s="669" t="s">
        <v>413</v>
      </c>
      <c r="E2290" s="546">
        <v>745.60000600000001</v>
      </c>
    </row>
    <row r="2291" spans="2:5" x14ac:dyDescent="0.25">
      <c r="B2291" s="545">
        <v>2627</v>
      </c>
      <c r="C2291" s="545" t="s">
        <v>1289</v>
      </c>
      <c r="D2291" s="669" t="s">
        <v>413</v>
      </c>
      <c r="E2291" s="546">
        <v>844.19999199999995</v>
      </c>
    </row>
    <row r="2292" spans="2:5" x14ac:dyDescent="0.25">
      <c r="B2292" s="545">
        <v>2628</v>
      </c>
      <c r="C2292" s="545" t="s">
        <v>7416</v>
      </c>
      <c r="D2292" s="669" t="s">
        <v>413</v>
      </c>
      <c r="E2292" s="546">
        <v>723.25</v>
      </c>
    </row>
    <row r="2293" spans="2:5" x14ac:dyDescent="0.25">
      <c r="B2293" s="545">
        <v>2629</v>
      </c>
      <c r="C2293" s="545" t="s">
        <v>7599</v>
      </c>
      <c r="D2293" s="669" t="s">
        <v>413</v>
      </c>
      <c r="E2293" s="546">
        <v>882.83332700000005</v>
      </c>
    </row>
    <row r="2294" spans="2:5" x14ac:dyDescent="0.25">
      <c r="B2294" s="545">
        <v>2630</v>
      </c>
      <c r="C2294" s="545" t="s">
        <v>4650</v>
      </c>
      <c r="D2294" s="669" t="s">
        <v>413</v>
      </c>
      <c r="E2294" s="546">
        <v>792.47499100000005</v>
      </c>
    </row>
    <row r="2295" spans="2:5" x14ac:dyDescent="0.25">
      <c r="B2295" s="545">
        <v>2631</v>
      </c>
      <c r="C2295" s="545" t="s">
        <v>5219</v>
      </c>
      <c r="D2295" s="669" t="s">
        <v>413</v>
      </c>
      <c r="E2295" s="546">
        <v>848.43332899999996</v>
      </c>
    </row>
    <row r="2296" spans="2:5" x14ac:dyDescent="0.25">
      <c r="B2296" s="545">
        <v>2632</v>
      </c>
      <c r="C2296" s="545" t="s">
        <v>3940</v>
      </c>
      <c r="D2296" s="669" t="s">
        <v>413</v>
      </c>
      <c r="E2296" s="546">
        <v>741.21999500000004</v>
      </c>
    </row>
    <row r="2297" spans="2:5" x14ac:dyDescent="0.25">
      <c r="B2297" s="545">
        <v>2633</v>
      </c>
      <c r="C2297" s="545" t="s">
        <v>7148</v>
      </c>
      <c r="D2297" s="669" t="s">
        <v>413</v>
      </c>
      <c r="E2297" s="546">
        <v>779.69998199999998</v>
      </c>
    </row>
    <row r="2298" spans="2:5" x14ac:dyDescent="0.25">
      <c r="B2298" s="545">
        <v>2634</v>
      </c>
      <c r="C2298" s="545" t="s">
        <v>3569</v>
      </c>
      <c r="D2298" s="669" t="s">
        <v>413</v>
      </c>
      <c r="E2298" s="546">
        <v>719.64999399999999</v>
      </c>
    </row>
    <row r="2299" spans="2:5" x14ac:dyDescent="0.25">
      <c r="B2299" s="545">
        <v>2635</v>
      </c>
      <c r="C2299" s="545" t="s">
        <v>3689</v>
      </c>
      <c r="D2299" s="669" t="s">
        <v>413</v>
      </c>
      <c r="E2299" s="546">
        <v>726.59997599999997</v>
      </c>
    </row>
    <row r="2300" spans="2:5" x14ac:dyDescent="0.25">
      <c r="B2300" s="545">
        <v>2636</v>
      </c>
      <c r="C2300" s="545" t="s">
        <v>5135</v>
      </c>
      <c r="D2300" s="669" t="s">
        <v>413</v>
      </c>
      <c r="E2300" s="546">
        <v>836.98571800000002</v>
      </c>
    </row>
    <row r="2301" spans="2:5" x14ac:dyDescent="0.25">
      <c r="B2301" s="545">
        <v>2637</v>
      </c>
      <c r="C2301" s="545" t="s">
        <v>4372</v>
      </c>
      <c r="D2301" s="669" t="s">
        <v>413</v>
      </c>
      <c r="E2301" s="546">
        <v>769.9375</v>
      </c>
    </row>
    <row r="2302" spans="2:5" x14ac:dyDescent="0.25">
      <c r="B2302" s="545">
        <v>2638</v>
      </c>
      <c r="C2302" s="545" t="s">
        <v>4100</v>
      </c>
      <c r="D2302" s="669" t="s">
        <v>413</v>
      </c>
      <c r="E2302" s="546">
        <v>750.92499499999997</v>
      </c>
    </row>
    <row r="2303" spans="2:5" x14ac:dyDescent="0.25">
      <c r="B2303" s="545">
        <v>2639</v>
      </c>
      <c r="C2303" s="545" t="s">
        <v>6549</v>
      </c>
      <c r="D2303" s="669" t="s">
        <v>413</v>
      </c>
      <c r="E2303" s="546">
        <v>806.54286400000001</v>
      </c>
    </row>
    <row r="2304" spans="2:5" x14ac:dyDescent="0.25">
      <c r="B2304" s="545">
        <v>2640</v>
      </c>
      <c r="C2304" s="545" t="s">
        <v>6550</v>
      </c>
      <c r="D2304" s="669" t="s">
        <v>413</v>
      </c>
      <c r="E2304" s="546">
        <v>806.77499399999999</v>
      </c>
    </row>
    <row r="2305" spans="2:5" x14ac:dyDescent="0.25">
      <c r="B2305" s="545">
        <v>2641</v>
      </c>
      <c r="C2305" s="545" t="s">
        <v>2569</v>
      </c>
      <c r="D2305" s="669" t="s">
        <v>413</v>
      </c>
      <c r="E2305" s="546">
        <v>831.60908600000005</v>
      </c>
    </row>
    <row r="2306" spans="2:5" x14ac:dyDescent="0.25">
      <c r="B2306" s="545">
        <v>2642</v>
      </c>
      <c r="C2306" s="545" t="s">
        <v>5057</v>
      </c>
      <c r="D2306" s="669" t="s">
        <v>413</v>
      </c>
      <c r="E2306" s="546">
        <v>829</v>
      </c>
    </row>
    <row r="2307" spans="2:5" x14ac:dyDescent="0.25">
      <c r="B2307" s="545">
        <v>2643</v>
      </c>
      <c r="C2307" s="545" t="s">
        <v>5320</v>
      </c>
      <c r="D2307" s="669" t="s">
        <v>413</v>
      </c>
      <c r="E2307" s="546">
        <v>865.96666500000003</v>
      </c>
    </row>
    <row r="2308" spans="2:5" x14ac:dyDescent="0.25">
      <c r="B2308" s="545">
        <v>2644</v>
      </c>
      <c r="C2308" s="545" t="s">
        <v>4957</v>
      </c>
      <c r="D2308" s="669" t="s">
        <v>413</v>
      </c>
      <c r="E2308" s="546">
        <v>817.05714599999999</v>
      </c>
    </row>
    <row r="2309" spans="2:5" x14ac:dyDescent="0.25">
      <c r="B2309" s="545">
        <v>2645</v>
      </c>
      <c r="C2309" s="545" t="s">
        <v>5463</v>
      </c>
      <c r="D2309" s="669" t="s">
        <v>413</v>
      </c>
      <c r="E2309" s="546">
        <v>890.51818300000002</v>
      </c>
    </row>
    <row r="2310" spans="2:5" x14ac:dyDescent="0.25">
      <c r="B2310" s="545">
        <v>2646</v>
      </c>
      <c r="C2310" s="545" t="s">
        <v>1889</v>
      </c>
      <c r="D2310" s="669" t="s">
        <v>413</v>
      </c>
      <c r="E2310" s="546">
        <v>639.5</v>
      </c>
    </row>
    <row r="2311" spans="2:5" x14ac:dyDescent="0.25">
      <c r="B2311" s="545">
        <v>2647</v>
      </c>
      <c r="C2311" s="545" t="s">
        <v>1792</v>
      </c>
      <c r="D2311" s="669" t="s">
        <v>413</v>
      </c>
      <c r="E2311" s="546">
        <v>635.78333499999997</v>
      </c>
    </row>
    <row r="2312" spans="2:5" x14ac:dyDescent="0.25">
      <c r="B2312" s="545">
        <v>2648</v>
      </c>
      <c r="C2312" s="545" t="s">
        <v>2127</v>
      </c>
      <c r="D2312" s="669" t="s">
        <v>413</v>
      </c>
      <c r="E2312" s="546">
        <v>649.79998799999998</v>
      </c>
    </row>
    <row r="2313" spans="2:5" x14ac:dyDescent="0.25">
      <c r="B2313" s="545">
        <v>2649</v>
      </c>
      <c r="C2313" s="545" t="s">
        <v>1434</v>
      </c>
      <c r="D2313" s="669" t="s">
        <v>413</v>
      </c>
      <c r="E2313" s="546">
        <v>617</v>
      </c>
    </row>
    <row r="2314" spans="2:5" x14ac:dyDescent="0.25">
      <c r="B2314" s="545">
        <v>2650</v>
      </c>
      <c r="C2314" s="545" t="s">
        <v>1999</v>
      </c>
      <c r="D2314" s="669" t="s">
        <v>413</v>
      </c>
      <c r="E2314" s="546">
        <v>643.25</v>
      </c>
    </row>
    <row r="2315" spans="2:5" x14ac:dyDescent="0.25">
      <c r="B2315" s="545">
        <v>2651</v>
      </c>
      <c r="C2315" s="545" t="s">
        <v>1123</v>
      </c>
      <c r="D2315" s="669" t="s">
        <v>413</v>
      </c>
      <c r="E2315" s="546">
        <v>599.28571399999998</v>
      </c>
    </row>
    <row r="2316" spans="2:5" x14ac:dyDescent="0.25">
      <c r="B2316" s="545">
        <v>2652</v>
      </c>
      <c r="C2316" s="545" t="s">
        <v>2322</v>
      </c>
      <c r="D2316" s="669" t="s">
        <v>413</v>
      </c>
      <c r="E2316" s="546">
        <v>658.35293799999999</v>
      </c>
    </row>
    <row r="2317" spans="2:5" x14ac:dyDescent="0.25">
      <c r="B2317" s="545">
        <v>2653</v>
      </c>
      <c r="C2317" s="545" t="s">
        <v>2365</v>
      </c>
      <c r="D2317" s="669" t="s">
        <v>413</v>
      </c>
      <c r="E2317" s="546">
        <v>660.4</v>
      </c>
    </row>
    <row r="2318" spans="2:5" x14ac:dyDescent="0.25">
      <c r="B2318" s="545">
        <v>2654</v>
      </c>
      <c r="C2318" s="545" t="s">
        <v>413</v>
      </c>
      <c r="D2318" s="669" t="s">
        <v>413</v>
      </c>
      <c r="E2318" s="546">
        <v>686.460869</v>
      </c>
    </row>
    <row r="2319" spans="2:5" x14ac:dyDescent="0.25">
      <c r="B2319" s="545">
        <v>2655</v>
      </c>
      <c r="C2319" s="545" t="s">
        <v>2649</v>
      </c>
      <c r="D2319" s="669" t="s">
        <v>413</v>
      </c>
      <c r="E2319" s="546">
        <v>673.77499399999999</v>
      </c>
    </row>
    <row r="2320" spans="2:5" x14ac:dyDescent="0.25">
      <c r="B2320" s="545">
        <v>2656</v>
      </c>
      <c r="C2320" s="545" t="s">
        <v>2403</v>
      </c>
      <c r="D2320" s="669" t="s">
        <v>413</v>
      </c>
      <c r="E2320" s="546">
        <v>662.48000500000001</v>
      </c>
    </row>
    <row r="2321" spans="2:5" x14ac:dyDescent="0.25">
      <c r="B2321" s="545">
        <v>2657</v>
      </c>
      <c r="C2321" s="545" t="s">
        <v>2105</v>
      </c>
      <c r="D2321" s="669" t="s">
        <v>413</v>
      </c>
      <c r="E2321" s="546">
        <v>648.68335000000002</v>
      </c>
    </row>
    <row r="2322" spans="2:5" x14ac:dyDescent="0.25">
      <c r="B2322" s="545">
        <v>2659</v>
      </c>
      <c r="C2322" s="545" t="s">
        <v>3412</v>
      </c>
      <c r="D2322" s="669" t="s">
        <v>413</v>
      </c>
      <c r="E2322" s="546">
        <v>711.875</v>
      </c>
    </row>
    <row r="2323" spans="2:5" x14ac:dyDescent="0.25">
      <c r="B2323" s="545">
        <v>2660</v>
      </c>
      <c r="C2323" s="545" t="s">
        <v>2642</v>
      </c>
      <c r="D2323" s="669" t="s">
        <v>413</v>
      </c>
      <c r="E2323" s="546">
        <v>673.5</v>
      </c>
    </row>
    <row r="2324" spans="2:5" x14ac:dyDescent="0.25">
      <c r="B2324" s="545">
        <v>2661</v>
      </c>
      <c r="C2324" s="545" t="s">
        <v>3813</v>
      </c>
      <c r="D2324" s="669" t="s">
        <v>413</v>
      </c>
      <c r="E2324" s="546">
        <v>733.53332499999999</v>
      </c>
    </row>
    <row r="2325" spans="2:5" x14ac:dyDescent="0.25">
      <c r="B2325" s="545">
        <v>2662</v>
      </c>
      <c r="C2325" s="545" t="s">
        <v>3612</v>
      </c>
      <c r="D2325" s="669" t="s">
        <v>413</v>
      </c>
      <c r="E2325" s="546">
        <v>722.34444900000005</v>
      </c>
    </row>
    <row r="2326" spans="2:5" x14ac:dyDescent="0.25">
      <c r="B2326" s="545">
        <v>2663</v>
      </c>
      <c r="C2326" s="545" t="s">
        <v>4426</v>
      </c>
      <c r="D2326" s="669" t="s">
        <v>413</v>
      </c>
      <c r="E2326" s="546">
        <v>785.32499700000005</v>
      </c>
    </row>
    <row r="2327" spans="2:5" x14ac:dyDescent="0.25">
      <c r="B2327" s="545">
        <v>2664</v>
      </c>
      <c r="C2327" s="545" t="s">
        <v>4999</v>
      </c>
      <c r="D2327" s="669" t="s">
        <v>413</v>
      </c>
      <c r="E2327" s="546">
        <v>823.01250500000003</v>
      </c>
    </row>
    <row r="2328" spans="2:5" x14ac:dyDescent="0.25">
      <c r="B2328" s="545">
        <v>2665</v>
      </c>
      <c r="C2328" s="545" t="s">
        <v>4151</v>
      </c>
      <c r="D2328" s="669" t="s">
        <v>413</v>
      </c>
      <c r="E2328" s="546">
        <v>754.00999100000001</v>
      </c>
    </row>
    <row r="2329" spans="2:5" x14ac:dyDescent="0.25">
      <c r="B2329" s="545">
        <v>2666</v>
      </c>
      <c r="C2329" s="545" t="s">
        <v>3388</v>
      </c>
      <c r="D2329" s="669" t="s">
        <v>413</v>
      </c>
      <c r="E2329" s="546">
        <v>861.54999799999996</v>
      </c>
    </row>
    <row r="2330" spans="2:5" x14ac:dyDescent="0.25">
      <c r="B2330" s="545">
        <v>2667</v>
      </c>
      <c r="C2330" s="545" t="s">
        <v>5208</v>
      </c>
      <c r="D2330" s="669" t="s">
        <v>413</v>
      </c>
      <c r="E2330" s="546">
        <v>846.75</v>
      </c>
    </row>
    <row r="2331" spans="2:5" x14ac:dyDescent="0.25">
      <c r="B2331" s="545">
        <v>2668</v>
      </c>
      <c r="C2331" s="545" t="s">
        <v>4954</v>
      </c>
      <c r="D2331" s="669" t="s">
        <v>413</v>
      </c>
      <c r="E2331" s="546">
        <v>816.80000500000006</v>
      </c>
    </row>
    <row r="2332" spans="2:5" x14ac:dyDescent="0.25">
      <c r="B2332" s="545">
        <v>2669</v>
      </c>
      <c r="C2332" s="545" t="s">
        <v>5203</v>
      </c>
      <c r="D2332" s="669" t="s">
        <v>413</v>
      </c>
      <c r="E2332" s="546">
        <v>846.19999700000005</v>
      </c>
    </row>
    <row r="2333" spans="2:5" x14ac:dyDescent="0.25">
      <c r="B2333" s="545">
        <v>2670</v>
      </c>
      <c r="C2333" s="545" t="s">
        <v>5491</v>
      </c>
      <c r="D2333" s="669" t="s">
        <v>413</v>
      </c>
      <c r="E2333" s="546">
        <v>894.09997599999997</v>
      </c>
    </row>
    <row r="2334" spans="2:5" x14ac:dyDescent="0.25">
      <c r="B2334" s="545">
        <v>2671</v>
      </c>
      <c r="C2334" s="545" t="s">
        <v>4369</v>
      </c>
      <c r="D2334" s="669" t="s">
        <v>413</v>
      </c>
      <c r="E2334" s="546">
        <v>878.45714499999997</v>
      </c>
    </row>
    <row r="2335" spans="2:5" x14ac:dyDescent="0.25">
      <c r="B2335" s="545">
        <v>2672</v>
      </c>
      <c r="C2335" s="545" t="s">
        <v>5508</v>
      </c>
      <c r="D2335" s="669" t="s">
        <v>413</v>
      </c>
      <c r="E2335" s="546">
        <v>896.65555800000004</v>
      </c>
    </row>
    <row r="2336" spans="2:5" x14ac:dyDescent="0.25">
      <c r="B2336" s="545">
        <v>2673</v>
      </c>
      <c r="C2336" s="545" t="s">
        <v>2062</v>
      </c>
      <c r="D2336" s="669" t="s">
        <v>413</v>
      </c>
      <c r="E2336" s="546">
        <v>645.99165900000003</v>
      </c>
    </row>
    <row r="2337" spans="2:5" x14ac:dyDescent="0.25">
      <c r="B2337" s="545">
        <v>2674</v>
      </c>
      <c r="C2337" s="545" t="s">
        <v>1978</v>
      </c>
      <c r="D2337" s="669" t="s">
        <v>413</v>
      </c>
      <c r="E2337" s="546">
        <v>642.66666699999996</v>
      </c>
    </row>
    <row r="2338" spans="2:5" x14ac:dyDescent="0.25">
      <c r="B2338" s="545">
        <v>2675</v>
      </c>
      <c r="C2338" s="545" t="s">
        <v>2060</v>
      </c>
      <c r="D2338" s="669" t="s">
        <v>413</v>
      </c>
      <c r="E2338" s="546">
        <v>645.93332899999996</v>
      </c>
    </row>
    <row r="2339" spans="2:5" x14ac:dyDescent="0.25">
      <c r="B2339" s="545">
        <v>2676</v>
      </c>
      <c r="C2339" s="545" t="s">
        <v>2946</v>
      </c>
      <c r="D2339" s="669" t="s">
        <v>413</v>
      </c>
      <c r="E2339" s="546">
        <v>687.57499700000005</v>
      </c>
    </row>
    <row r="2340" spans="2:5" x14ac:dyDescent="0.25">
      <c r="B2340" s="545">
        <v>2677</v>
      </c>
      <c r="C2340" s="545" t="s">
        <v>963</v>
      </c>
      <c r="D2340" s="669" t="s">
        <v>413</v>
      </c>
      <c r="E2340" s="546">
        <v>644.53749800000003</v>
      </c>
    </row>
    <row r="2341" spans="2:5" x14ac:dyDescent="0.25">
      <c r="B2341" s="545">
        <v>2678</v>
      </c>
      <c r="C2341" s="545" t="s">
        <v>3437</v>
      </c>
      <c r="D2341" s="669" t="s">
        <v>413</v>
      </c>
      <c r="E2341" s="546">
        <v>712.75</v>
      </c>
    </row>
    <row r="2342" spans="2:5" x14ac:dyDescent="0.25">
      <c r="B2342" s="545">
        <v>2679</v>
      </c>
      <c r="C2342" s="545" t="s">
        <v>3659</v>
      </c>
      <c r="D2342" s="669" t="s">
        <v>413</v>
      </c>
      <c r="E2342" s="546">
        <v>724.85000600000001</v>
      </c>
    </row>
    <row r="2343" spans="2:5" x14ac:dyDescent="0.25">
      <c r="B2343" s="545">
        <v>2680</v>
      </c>
      <c r="C2343" s="545" t="s">
        <v>2777</v>
      </c>
      <c r="D2343" s="669" t="s">
        <v>413</v>
      </c>
      <c r="E2343" s="546">
        <v>679.64000199999998</v>
      </c>
    </row>
    <row r="2344" spans="2:5" x14ac:dyDescent="0.25">
      <c r="B2344" s="545">
        <v>2681</v>
      </c>
      <c r="C2344" s="545" t="s">
        <v>3115</v>
      </c>
      <c r="D2344" s="669" t="s">
        <v>413</v>
      </c>
      <c r="E2344" s="546">
        <v>696.85000600000001</v>
      </c>
    </row>
    <row r="2345" spans="2:5" x14ac:dyDescent="0.25">
      <c r="B2345" s="545">
        <v>2682</v>
      </c>
      <c r="C2345" s="545" t="s">
        <v>2874</v>
      </c>
      <c r="D2345" s="669" t="s">
        <v>413</v>
      </c>
      <c r="E2345" s="546">
        <v>684.85000600000001</v>
      </c>
    </row>
    <row r="2346" spans="2:5" x14ac:dyDescent="0.25">
      <c r="B2346" s="545">
        <v>2683</v>
      </c>
      <c r="C2346" s="545" t="s">
        <v>3152</v>
      </c>
      <c r="D2346" s="669" t="s">
        <v>413</v>
      </c>
      <c r="E2346" s="546">
        <v>699.10000600000001</v>
      </c>
    </row>
    <row r="2347" spans="2:5" x14ac:dyDescent="0.25">
      <c r="B2347" s="545">
        <v>2684</v>
      </c>
      <c r="C2347" s="545" t="s">
        <v>4250</v>
      </c>
      <c r="D2347" s="669" t="s">
        <v>413</v>
      </c>
      <c r="E2347" s="546">
        <v>760.85000600000001</v>
      </c>
    </row>
    <row r="2348" spans="2:5" x14ac:dyDescent="0.25">
      <c r="B2348" s="545">
        <v>2685</v>
      </c>
      <c r="C2348" s="545" t="s">
        <v>2089</v>
      </c>
      <c r="D2348" s="669" t="s">
        <v>413</v>
      </c>
      <c r="E2348" s="546">
        <v>647.78001700000004</v>
      </c>
    </row>
    <row r="2349" spans="2:5" x14ac:dyDescent="0.25">
      <c r="B2349" s="545">
        <v>2686</v>
      </c>
      <c r="C2349" s="545" t="s">
        <v>3638</v>
      </c>
      <c r="D2349" s="669" t="s">
        <v>413</v>
      </c>
      <c r="E2349" s="546">
        <v>723.77999299999999</v>
      </c>
    </row>
    <row r="2350" spans="2:5" x14ac:dyDescent="0.25">
      <c r="B2350" s="545">
        <v>2687</v>
      </c>
      <c r="C2350" s="545" t="s">
        <v>3277</v>
      </c>
      <c r="D2350" s="669" t="s">
        <v>413</v>
      </c>
      <c r="E2350" s="546">
        <v>704.48888499999998</v>
      </c>
    </row>
    <row r="2351" spans="2:5" x14ac:dyDescent="0.25">
      <c r="B2351" s="545">
        <v>2688</v>
      </c>
      <c r="C2351" s="545" t="s">
        <v>2780</v>
      </c>
      <c r="D2351" s="669" t="s">
        <v>413</v>
      </c>
      <c r="E2351" s="546">
        <v>679.75</v>
      </c>
    </row>
    <row r="2352" spans="2:5" x14ac:dyDescent="0.25">
      <c r="B2352" s="545">
        <v>2689</v>
      </c>
      <c r="C2352" s="545" t="s">
        <v>5071</v>
      </c>
      <c r="D2352" s="669" t="s">
        <v>413</v>
      </c>
      <c r="E2352" s="546">
        <v>830.76923499999998</v>
      </c>
    </row>
    <row r="2353" spans="2:5" x14ac:dyDescent="0.25">
      <c r="B2353" s="545">
        <v>2690</v>
      </c>
      <c r="C2353" s="545" t="s">
        <v>4822</v>
      </c>
      <c r="D2353" s="669" t="s">
        <v>413</v>
      </c>
      <c r="E2353" s="546">
        <v>805.65555099999995</v>
      </c>
    </row>
    <row r="2354" spans="2:5" x14ac:dyDescent="0.25">
      <c r="B2354" s="545">
        <v>2691</v>
      </c>
      <c r="C2354" s="545" t="s">
        <v>6832</v>
      </c>
      <c r="D2354" s="669" t="s">
        <v>413</v>
      </c>
      <c r="E2354" s="546">
        <v>834.10000600000001</v>
      </c>
    </row>
    <row r="2355" spans="2:5" x14ac:dyDescent="0.25">
      <c r="B2355" s="545">
        <v>2692</v>
      </c>
      <c r="C2355" s="545" t="s">
        <v>5024</v>
      </c>
      <c r="D2355" s="669" t="s">
        <v>413</v>
      </c>
      <c r="E2355" s="546">
        <v>825.06664999999998</v>
      </c>
    </row>
    <row r="2356" spans="2:5" x14ac:dyDescent="0.25">
      <c r="B2356" s="545">
        <v>2693</v>
      </c>
      <c r="C2356" s="545" t="s">
        <v>5340</v>
      </c>
      <c r="D2356" s="669" t="s">
        <v>413</v>
      </c>
      <c r="E2356" s="546">
        <v>869.36250299999995</v>
      </c>
    </row>
    <row r="2357" spans="2:5" x14ac:dyDescent="0.25">
      <c r="B2357" s="545">
        <v>2694</v>
      </c>
      <c r="C2357" s="545" t="s">
        <v>5344</v>
      </c>
      <c r="D2357" s="669" t="s">
        <v>413</v>
      </c>
      <c r="E2357" s="546">
        <v>869.75713199999996</v>
      </c>
    </row>
    <row r="2358" spans="2:5" x14ac:dyDescent="0.25">
      <c r="B2358" s="545">
        <v>2695</v>
      </c>
      <c r="C2358" s="545" t="s">
        <v>5220</v>
      </c>
      <c r="D2358" s="669" t="s">
        <v>413</v>
      </c>
      <c r="E2358" s="546">
        <v>848.57777899999996</v>
      </c>
    </row>
    <row r="2359" spans="2:5" x14ac:dyDescent="0.25">
      <c r="B2359" s="545">
        <v>2696</v>
      </c>
      <c r="C2359" s="545" t="s">
        <v>5514</v>
      </c>
      <c r="D2359" s="669" t="s">
        <v>413</v>
      </c>
      <c r="E2359" s="546">
        <v>897.41667700000005</v>
      </c>
    </row>
    <row r="2360" spans="2:5" x14ac:dyDescent="0.25">
      <c r="B2360" s="545">
        <v>2697</v>
      </c>
      <c r="C2360" s="545" t="s">
        <v>4904</v>
      </c>
      <c r="D2360" s="669" t="s">
        <v>413</v>
      </c>
      <c r="E2360" s="546">
        <v>812.72500600000001</v>
      </c>
    </row>
    <row r="2361" spans="2:5" x14ac:dyDescent="0.25">
      <c r="B2361" s="545">
        <v>2698</v>
      </c>
      <c r="C2361" s="545" t="s">
        <v>3913</v>
      </c>
      <c r="D2361" s="669" t="s">
        <v>413</v>
      </c>
      <c r="E2361" s="546">
        <v>739.69999700000005</v>
      </c>
    </row>
    <row r="2362" spans="2:5" x14ac:dyDescent="0.25">
      <c r="B2362" s="545">
        <v>2699</v>
      </c>
      <c r="C2362" s="545" t="s">
        <v>4631</v>
      </c>
      <c r="D2362" s="669" t="s">
        <v>413</v>
      </c>
      <c r="E2362" s="546">
        <v>790.94999700000005</v>
      </c>
    </row>
    <row r="2363" spans="2:5" x14ac:dyDescent="0.25">
      <c r="B2363" s="545">
        <v>2700</v>
      </c>
      <c r="C2363" s="545" t="s">
        <v>7487</v>
      </c>
      <c r="D2363" s="669" t="s">
        <v>413</v>
      </c>
      <c r="E2363" s="546">
        <v>748.65999799999997</v>
      </c>
    </row>
    <row r="2364" spans="2:5" x14ac:dyDescent="0.25">
      <c r="B2364" s="545">
        <v>2701</v>
      </c>
      <c r="C2364" s="545" t="s">
        <v>3600</v>
      </c>
      <c r="D2364" s="669" t="s">
        <v>413</v>
      </c>
      <c r="E2364" s="546">
        <v>721.37999300000001</v>
      </c>
    </row>
    <row r="2365" spans="2:5" x14ac:dyDescent="0.25">
      <c r="B2365" s="545">
        <v>2702</v>
      </c>
      <c r="C2365" s="545" t="s">
        <v>7415</v>
      </c>
      <c r="D2365" s="669" t="s">
        <v>413</v>
      </c>
      <c r="E2365" s="546">
        <v>762.80000500000006</v>
      </c>
    </row>
    <row r="2366" spans="2:5" x14ac:dyDescent="0.25">
      <c r="B2366" s="545">
        <v>2703</v>
      </c>
      <c r="C2366" s="545" t="s">
        <v>7588</v>
      </c>
      <c r="D2366" s="669" t="s">
        <v>413</v>
      </c>
      <c r="E2366" s="546">
        <v>795.63332100000002</v>
      </c>
    </row>
    <row r="2367" spans="2:5" x14ac:dyDescent="0.25">
      <c r="B2367" s="545">
        <v>2704</v>
      </c>
      <c r="C2367" s="545" t="s">
        <v>4188</v>
      </c>
      <c r="D2367" s="669" t="s">
        <v>413</v>
      </c>
      <c r="E2367" s="546">
        <v>756.592309</v>
      </c>
    </row>
    <row r="2368" spans="2:5" x14ac:dyDescent="0.25">
      <c r="B2368" s="545">
        <v>2705</v>
      </c>
      <c r="C2368" s="545" t="s">
        <v>4421</v>
      </c>
      <c r="D2368" s="669" t="s">
        <v>413</v>
      </c>
      <c r="E2368" s="546">
        <v>774.33998999999994</v>
      </c>
    </row>
    <row r="2369" spans="2:5" x14ac:dyDescent="0.25">
      <c r="B2369" s="545">
        <v>2706</v>
      </c>
      <c r="C2369" s="545" t="s">
        <v>7362</v>
      </c>
      <c r="D2369" s="669" t="s">
        <v>413</v>
      </c>
      <c r="E2369" s="546">
        <v>789.60000600000001</v>
      </c>
    </row>
    <row r="2370" spans="2:5" x14ac:dyDescent="0.25">
      <c r="B2370" s="545">
        <v>2707</v>
      </c>
      <c r="C2370" s="545" t="s">
        <v>3127</v>
      </c>
      <c r="D2370" s="669" t="s">
        <v>413</v>
      </c>
      <c r="E2370" s="546">
        <v>697.52497900000003</v>
      </c>
    </row>
    <row r="2371" spans="2:5" x14ac:dyDescent="0.25">
      <c r="B2371" s="545">
        <v>2708</v>
      </c>
      <c r="C2371" s="545" t="s">
        <v>6872</v>
      </c>
      <c r="D2371" s="669" t="s">
        <v>413</v>
      </c>
      <c r="E2371" s="546">
        <v>758.72000700000001</v>
      </c>
    </row>
    <row r="2372" spans="2:5" x14ac:dyDescent="0.25">
      <c r="B2372" s="545">
        <v>2709</v>
      </c>
      <c r="C2372" s="545" t="s">
        <v>3242</v>
      </c>
      <c r="D2372" s="669" t="s">
        <v>413</v>
      </c>
      <c r="E2372" s="546">
        <v>703.14999399999999</v>
      </c>
    </row>
    <row r="2373" spans="2:5" x14ac:dyDescent="0.25">
      <c r="B2373" s="545">
        <v>2710</v>
      </c>
      <c r="C2373" s="545" t="s">
        <v>3486</v>
      </c>
      <c r="D2373" s="669" t="s">
        <v>413</v>
      </c>
      <c r="E2373" s="546">
        <v>715.30000099999995</v>
      </c>
    </row>
    <row r="2374" spans="2:5" x14ac:dyDescent="0.25">
      <c r="B2374" s="545">
        <v>2711</v>
      </c>
      <c r="C2374" s="545" t="s">
        <v>3196</v>
      </c>
      <c r="D2374" s="669" t="s">
        <v>413</v>
      </c>
      <c r="E2374" s="546">
        <v>700.95999800000004</v>
      </c>
    </row>
    <row r="2375" spans="2:5" x14ac:dyDescent="0.25">
      <c r="B2375" s="545">
        <v>2751</v>
      </c>
      <c r="C2375" s="545" t="s">
        <v>1053</v>
      </c>
      <c r="D2375" s="669" t="s">
        <v>426</v>
      </c>
      <c r="E2375" s="546">
        <v>594.13334099999997</v>
      </c>
    </row>
    <row r="2376" spans="2:5" x14ac:dyDescent="0.25">
      <c r="B2376" s="545">
        <v>2752</v>
      </c>
      <c r="C2376" s="545" t="s">
        <v>3086</v>
      </c>
      <c r="D2376" s="669" t="s">
        <v>426</v>
      </c>
      <c r="E2376" s="546">
        <v>695.39999399999999</v>
      </c>
    </row>
    <row r="2377" spans="2:5" x14ac:dyDescent="0.25">
      <c r="B2377" s="545">
        <v>2753</v>
      </c>
      <c r="C2377" s="545" t="s">
        <v>985</v>
      </c>
      <c r="D2377" s="669" t="s">
        <v>426</v>
      </c>
      <c r="E2377" s="546">
        <v>587.58333300000004</v>
      </c>
    </row>
    <row r="2378" spans="2:5" x14ac:dyDescent="0.25">
      <c r="B2378" s="545">
        <v>2754</v>
      </c>
      <c r="C2378" s="545" t="s">
        <v>3734</v>
      </c>
      <c r="D2378" s="669" t="s">
        <v>426</v>
      </c>
      <c r="E2378" s="546">
        <v>728.96665399999995</v>
      </c>
    </row>
    <row r="2379" spans="2:5" x14ac:dyDescent="0.25">
      <c r="B2379" s="545">
        <v>2755</v>
      </c>
      <c r="C2379" s="545" t="s">
        <v>1991</v>
      </c>
      <c r="D2379" s="669" t="s">
        <v>426</v>
      </c>
      <c r="E2379" s="546">
        <v>643.13333599999999</v>
      </c>
    </row>
    <row r="2380" spans="2:5" x14ac:dyDescent="0.25">
      <c r="B2380" s="545">
        <v>2756</v>
      </c>
      <c r="C2380" s="545" t="s">
        <v>4215</v>
      </c>
      <c r="D2380" s="669" t="s">
        <v>426</v>
      </c>
      <c r="E2380" s="546">
        <v>758.56667100000004</v>
      </c>
    </row>
    <row r="2381" spans="2:5" x14ac:dyDescent="0.25">
      <c r="B2381" s="545">
        <v>2757</v>
      </c>
      <c r="C2381" s="545" t="s">
        <v>896</v>
      </c>
      <c r="D2381" s="669" t="s">
        <v>426</v>
      </c>
      <c r="E2381" s="546">
        <v>579.36667899999998</v>
      </c>
    </row>
    <row r="2382" spans="2:5" x14ac:dyDescent="0.25">
      <c r="B2382" s="545">
        <v>2758</v>
      </c>
      <c r="C2382" s="545" t="s">
        <v>990</v>
      </c>
      <c r="D2382" s="669" t="s">
        <v>426</v>
      </c>
      <c r="E2382" s="546">
        <v>588.07498199999998</v>
      </c>
    </row>
    <row r="2383" spans="2:5" x14ac:dyDescent="0.25">
      <c r="B2383" s="545">
        <v>2759</v>
      </c>
      <c r="C2383" s="545" t="s">
        <v>2948</v>
      </c>
      <c r="D2383" s="669" t="s">
        <v>426</v>
      </c>
      <c r="E2383" s="546">
        <v>687.65002400000003</v>
      </c>
    </row>
    <row r="2384" spans="2:5" x14ac:dyDescent="0.25">
      <c r="B2384" s="545">
        <v>2760</v>
      </c>
      <c r="C2384" s="545" t="s">
        <v>1426</v>
      </c>
      <c r="D2384" s="669" t="s">
        <v>419</v>
      </c>
      <c r="E2384" s="546">
        <v>616.64999399999999</v>
      </c>
    </row>
    <row r="2385" spans="2:5" x14ac:dyDescent="0.25">
      <c r="B2385" s="545">
        <v>2761</v>
      </c>
      <c r="C2385" s="545" t="s">
        <v>1916</v>
      </c>
      <c r="D2385" s="669" t="s">
        <v>426</v>
      </c>
      <c r="E2385" s="546">
        <v>640.63332100000002</v>
      </c>
    </row>
    <row r="2386" spans="2:5" x14ac:dyDescent="0.25">
      <c r="B2386" s="545">
        <v>2762</v>
      </c>
      <c r="C2386" s="545" t="s">
        <v>807</v>
      </c>
      <c r="D2386" s="669" t="s">
        <v>426</v>
      </c>
      <c r="E2386" s="546">
        <v>588.65000899999995</v>
      </c>
    </row>
    <row r="2387" spans="2:5" x14ac:dyDescent="0.25">
      <c r="B2387" s="545">
        <v>2763</v>
      </c>
      <c r="C2387" s="545" t="s">
        <v>2628</v>
      </c>
      <c r="D2387" s="669" t="s">
        <v>426</v>
      </c>
      <c r="E2387" s="546">
        <v>672.85000600000001</v>
      </c>
    </row>
    <row r="2388" spans="2:5" x14ac:dyDescent="0.25">
      <c r="B2388" s="545">
        <v>2764</v>
      </c>
      <c r="C2388" s="545" t="s">
        <v>2573</v>
      </c>
      <c r="D2388" s="669" t="s">
        <v>426</v>
      </c>
      <c r="E2388" s="546">
        <v>669.24286800000004</v>
      </c>
    </row>
    <row r="2389" spans="2:5" x14ac:dyDescent="0.25">
      <c r="B2389" s="545">
        <v>2765</v>
      </c>
      <c r="C2389" s="545" t="s">
        <v>6523</v>
      </c>
      <c r="D2389" s="669" t="s">
        <v>419</v>
      </c>
      <c r="E2389" s="546">
        <v>620.15000399999997</v>
      </c>
    </row>
    <row r="2390" spans="2:5" x14ac:dyDescent="0.25">
      <c r="B2390" s="545">
        <v>2766</v>
      </c>
      <c r="C2390" s="545" t="s">
        <v>6605</v>
      </c>
      <c r="D2390" s="669" t="s">
        <v>426</v>
      </c>
      <c r="E2390" s="546">
        <v>670.59997599999997</v>
      </c>
    </row>
    <row r="2391" spans="2:5" x14ac:dyDescent="0.25">
      <c r="B2391" s="545">
        <v>2767</v>
      </c>
      <c r="C2391" s="545" t="s">
        <v>1340</v>
      </c>
      <c r="D2391" s="669" t="s">
        <v>426</v>
      </c>
      <c r="E2391" s="546">
        <v>612.03332499999999</v>
      </c>
    </row>
    <row r="2392" spans="2:5" x14ac:dyDescent="0.25">
      <c r="B2392" s="545">
        <v>2768</v>
      </c>
      <c r="C2392" s="545" t="s">
        <v>2871</v>
      </c>
      <c r="D2392" s="669" t="s">
        <v>426</v>
      </c>
      <c r="E2392" s="546">
        <v>684.78001099999994</v>
      </c>
    </row>
    <row r="2393" spans="2:5" x14ac:dyDescent="0.25">
      <c r="B2393" s="545">
        <v>2769</v>
      </c>
      <c r="C2393" s="545" t="s">
        <v>1409</v>
      </c>
      <c r="D2393" s="669" t="s">
        <v>426</v>
      </c>
      <c r="E2393" s="546">
        <v>615.5</v>
      </c>
    </row>
    <row r="2394" spans="2:5" x14ac:dyDescent="0.25">
      <c r="B2394" s="545">
        <v>2770</v>
      </c>
      <c r="C2394" s="545" t="s">
        <v>3071</v>
      </c>
      <c r="D2394" s="669" t="s">
        <v>426</v>
      </c>
      <c r="E2394" s="546">
        <v>694.57499700000005</v>
      </c>
    </row>
    <row r="2395" spans="2:5" x14ac:dyDescent="0.25">
      <c r="B2395" s="545">
        <v>2771</v>
      </c>
      <c r="C2395" s="545" t="s">
        <v>1129</v>
      </c>
      <c r="D2395" s="669" t="s">
        <v>419</v>
      </c>
      <c r="E2395" s="546">
        <v>599.51666299999999</v>
      </c>
    </row>
    <row r="2396" spans="2:5" x14ac:dyDescent="0.25">
      <c r="B2396" s="545">
        <v>2772</v>
      </c>
      <c r="C2396" s="545" t="s">
        <v>419</v>
      </c>
      <c r="D2396" s="669" t="s">
        <v>419</v>
      </c>
      <c r="E2396" s="546">
        <v>644.40454699999998</v>
      </c>
    </row>
    <row r="2397" spans="2:5" x14ac:dyDescent="0.25">
      <c r="B2397" s="545">
        <v>2773</v>
      </c>
      <c r="C2397" s="553" t="s">
        <v>2352</v>
      </c>
      <c r="D2397" s="669" t="s">
        <v>426</v>
      </c>
      <c r="E2397" s="546">
        <v>659.70000200000004</v>
      </c>
    </row>
    <row r="2398" spans="2:5" x14ac:dyDescent="0.25">
      <c r="B2398" s="545">
        <v>2774</v>
      </c>
      <c r="C2398" s="545" t="s">
        <v>2474</v>
      </c>
      <c r="D2398" s="669" t="s">
        <v>426</v>
      </c>
      <c r="E2398" s="546">
        <v>686.35999800000002</v>
      </c>
    </row>
    <row r="2399" spans="2:5" x14ac:dyDescent="0.25">
      <c r="B2399" s="545">
        <v>2775</v>
      </c>
      <c r="C2399" s="545" t="s">
        <v>1079</v>
      </c>
      <c r="D2399" s="669" t="s">
        <v>426</v>
      </c>
      <c r="E2399" s="546">
        <v>596.06923300000005</v>
      </c>
    </row>
    <row r="2400" spans="2:5" x14ac:dyDescent="0.25">
      <c r="B2400" s="545">
        <v>2776</v>
      </c>
      <c r="C2400" s="545" t="s">
        <v>948</v>
      </c>
      <c r="D2400" s="669" t="s">
        <v>426</v>
      </c>
      <c r="E2400" s="546">
        <v>583.92498799999998</v>
      </c>
    </row>
    <row r="2401" spans="2:5" x14ac:dyDescent="0.25">
      <c r="B2401" s="545">
        <v>2777</v>
      </c>
      <c r="C2401" s="545" t="s">
        <v>1098</v>
      </c>
      <c r="D2401" s="669" t="s">
        <v>426</v>
      </c>
      <c r="E2401" s="546">
        <v>597.31668100000002</v>
      </c>
    </row>
    <row r="2402" spans="2:5" x14ac:dyDescent="0.25">
      <c r="B2402" s="545">
        <v>2778</v>
      </c>
      <c r="C2402" s="545" t="s">
        <v>2209</v>
      </c>
      <c r="D2402" s="669" t="s">
        <v>426</v>
      </c>
      <c r="E2402" s="546">
        <v>653.29999899999996</v>
      </c>
    </row>
    <row r="2403" spans="2:5" x14ac:dyDescent="0.25">
      <c r="B2403" s="545">
        <v>2779</v>
      </c>
      <c r="C2403" s="545" t="s">
        <v>2863</v>
      </c>
      <c r="D2403" s="669" t="s">
        <v>426</v>
      </c>
      <c r="E2403" s="546">
        <v>684.52499399999999</v>
      </c>
    </row>
    <row r="2404" spans="2:5" x14ac:dyDescent="0.25">
      <c r="B2404" s="545">
        <v>2780</v>
      </c>
      <c r="C2404" s="545" t="s">
        <v>1274</v>
      </c>
      <c r="D2404" s="669" t="s">
        <v>419</v>
      </c>
      <c r="E2404" s="546">
        <v>607.87999300000001</v>
      </c>
    </row>
    <row r="2405" spans="2:5" x14ac:dyDescent="0.25">
      <c r="B2405" s="545">
        <v>2781</v>
      </c>
      <c r="C2405" s="545" t="s">
        <v>6754</v>
      </c>
      <c r="D2405" s="669" t="s">
        <v>426</v>
      </c>
      <c r="E2405" s="546">
        <v>630.5</v>
      </c>
    </row>
    <row r="2406" spans="2:5" x14ac:dyDescent="0.25">
      <c r="B2406" s="545">
        <v>2782</v>
      </c>
      <c r="C2406" s="545" t="s">
        <v>1104</v>
      </c>
      <c r="D2406" s="669" t="s">
        <v>426</v>
      </c>
      <c r="E2406" s="546">
        <v>598.09999600000003</v>
      </c>
    </row>
    <row r="2407" spans="2:5" x14ac:dyDescent="0.25">
      <c r="B2407" s="545">
        <v>2783</v>
      </c>
      <c r="C2407" s="545" t="s">
        <v>3269</v>
      </c>
      <c r="D2407" s="669" t="s">
        <v>426</v>
      </c>
      <c r="E2407" s="546">
        <v>703.911112</v>
      </c>
    </row>
    <row r="2408" spans="2:5" x14ac:dyDescent="0.25">
      <c r="B2408" s="545">
        <v>2784</v>
      </c>
      <c r="C2408" s="545" t="s">
        <v>900</v>
      </c>
      <c r="D2408" s="669" t="s">
        <v>426</v>
      </c>
      <c r="E2408" s="546">
        <v>579.62000699999999</v>
      </c>
    </row>
    <row r="2409" spans="2:5" x14ac:dyDescent="0.25">
      <c r="B2409" s="545">
        <v>2785</v>
      </c>
      <c r="C2409" s="545" t="s">
        <v>962</v>
      </c>
      <c r="D2409" s="669" t="s">
        <v>426</v>
      </c>
      <c r="E2409" s="546">
        <v>585.72857699999997</v>
      </c>
    </row>
    <row r="2410" spans="2:5" x14ac:dyDescent="0.25">
      <c r="B2410" s="545">
        <v>2786</v>
      </c>
      <c r="C2410" s="545" t="s">
        <v>6869</v>
      </c>
      <c r="D2410" s="669" t="s">
        <v>419</v>
      </c>
      <c r="E2410" s="546">
        <v>604.53333499999997</v>
      </c>
    </row>
    <row r="2411" spans="2:5" x14ac:dyDescent="0.25">
      <c r="B2411" s="545">
        <v>2787</v>
      </c>
      <c r="C2411" s="545" t="s">
        <v>6877</v>
      </c>
      <c r="D2411" s="669" t="s">
        <v>426</v>
      </c>
      <c r="E2411" s="546">
        <v>591.14285700000005</v>
      </c>
    </row>
    <row r="2412" spans="2:5" x14ac:dyDescent="0.25">
      <c r="B2412" s="545">
        <v>2788</v>
      </c>
      <c r="C2412" s="545" t="s">
        <v>6884</v>
      </c>
      <c r="D2412" s="669" t="s">
        <v>426</v>
      </c>
      <c r="E2412" s="546">
        <v>735.69998199999998</v>
      </c>
    </row>
    <row r="2413" spans="2:5" x14ac:dyDescent="0.25">
      <c r="B2413" s="545">
        <v>2789</v>
      </c>
      <c r="C2413" s="545" t="s">
        <v>1005</v>
      </c>
      <c r="D2413" s="669" t="s">
        <v>426</v>
      </c>
      <c r="E2413" s="546">
        <v>589.68333900000005</v>
      </c>
    </row>
    <row r="2414" spans="2:5" x14ac:dyDescent="0.25">
      <c r="B2414" s="545">
        <v>2790</v>
      </c>
      <c r="C2414" s="545" t="s">
        <v>970</v>
      </c>
      <c r="D2414" s="669" t="s">
        <v>426</v>
      </c>
      <c r="E2414" s="546">
        <v>585.81110999999999</v>
      </c>
    </row>
    <row r="2415" spans="2:5" x14ac:dyDescent="0.25">
      <c r="B2415" s="545">
        <v>2791</v>
      </c>
      <c r="C2415" s="545" t="s">
        <v>1306</v>
      </c>
      <c r="D2415" s="669" t="s">
        <v>426</v>
      </c>
      <c r="E2415" s="546">
        <v>610.15000399999997</v>
      </c>
    </row>
    <row r="2416" spans="2:5" x14ac:dyDescent="0.25">
      <c r="B2416" s="545">
        <v>2792</v>
      </c>
      <c r="C2416" s="545" t="s">
        <v>1942</v>
      </c>
      <c r="D2416" s="669" t="s">
        <v>426</v>
      </c>
      <c r="E2416" s="546">
        <v>641.5</v>
      </c>
    </row>
    <row r="2417" spans="2:5" x14ac:dyDescent="0.25">
      <c r="B2417" s="545">
        <v>2793</v>
      </c>
      <c r="C2417" s="545" t="s">
        <v>6988</v>
      </c>
      <c r="D2417" s="669" t="s">
        <v>426</v>
      </c>
      <c r="E2417" s="546">
        <v>612.14999399999999</v>
      </c>
    </row>
    <row r="2418" spans="2:5" x14ac:dyDescent="0.25">
      <c r="B2418" s="545">
        <v>2794</v>
      </c>
      <c r="C2418" s="545" t="s">
        <v>2892</v>
      </c>
      <c r="D2418" s="669" t="s">
        <v>426</v>
      </c>
      <c r="E2418" s="546">
        <v>685.68332899999996</v>
      </c>
    </row>
    <row r="2419" spans="2:5" x14ac:dyDescent="0.25">
      <c r="B2419" s="545">
        <v>2795</v>
      </c>
      <c r="C2419" s="545" t="s">
        <v>1866</v>
      </c>
      <c r="D2419" s="669" t="s">
        <v>426</v>
      </c>
      <c r="E2419" s="546">
        <v>685.30001100000004</v>
      </c>
    </row>
    <row r="2420" spans="2:5" x14ac:dyDescent="0.25">
      <c r="B2420" s="545">
        <v>2796</v>
      </c>
      <c r="C2420" s="545" t="s">
        <v>1131</v>
      </c>
      <c r="D2420" s="669" t="s">
        <v>426</v>
      </c>
      <c r="E2420" s="546">
        <v>599.57500500000003</v>
      </c>
    </row>
    <row r="2421" spans="2:5" x14ac:dyDescent="0.25">
      <c r="B2421" s="545">
        <v>2797</v>
      </c>
      <c r="C2421" s="545" t="s">
        <v>6973</v>
      </c>
      <c r="D2421" s="669" t="s">
        <v>426</v>
      </c>
      <c r="E2421" s="546">
        <v>597.66363000000001</v>
      </c>
    </row>
    <row r="2422" spans="2:5" x14ac:dyDescent="0.25">
      <c r="B2422" s="545">
        <v>2798</v>
      </c>
      <c r="C2422" s="545" t="s">
        <v>928</v>
      </c>
      <c r="D2422" s="669" t="s">
        <v>426</v>
      </c>
      <c r="E2422" s="546">
        <v>582.66001000000006</v>
      </c>
    </row>
    <row r="2423" spans="2:5" x14ac:dyDescent="0.25">
      <c r="B2423" s="545">
        <v>2799</v>
      </c>
      <c r="C2423" s="545" t="s">
        <v>6558</v>
      </c>
      <c r="D2423" s="669" t="s">
        <v>426</v>
      </c>
      <c r="E2423" s="546">
        <v>581.93572600000005</v>
      </c>
    </row>
    <row r="2424" spans="2:5" x14ac:dyDescent="0.25">
      <c r="B2424" s="545">
        <v>2800</v>
      </c>
      <c r="C2424" s="545" t="s">
        <v>7043</v>
      </c>
      <c r="D2424" s="669" t="s">
        <v>419</v>
      </c>
      <c r="E2424" s="546">
        <v>599.22499100000005</v>
      </c>
    </row>
    <row r="2425" spans="2:5" x14ac:dyDescent="0.25">
      <c r="B2425" s="545">
        <v>2801</v>
      </c>
      <c r="C2425" s="545" t="s">
        <v>7056</v>
      </c>
      <c r="D2425" s="669" t="s">
        <v>426</v>
      </c>
      <c r="E2425" s="546">
        <v>589.39999399999999</v>
      </c>
    </row>
    <row r="2426" spans="2:5" x14ac:dyDescent="0.25">
      <c r="B2426" s="545">
        <v>2802</v>
      </c>
      <c r="C2426" s="545" t="s">
        <v>834</v>
      </c>
      <c r="D2426" s="669" t="s">
        <v>426</v>
      </c>
      <c r="E2426" s="546">
        <v>573.29999999999995</v>
      </c>
    </row>
    <row r="2427" spans="2:5" x14ac:dyDescent="0.25">
      <c r="B2427" s="545">
        <v>2803</v>
      </c>
      <c r="C2427" s="545" t="s">
        <v>3377</v>
      </c>
      <c r="D2427" s="669" t="s">
        <v>426</v>
      </c>
      <c r="E2427" s="546">
        <v>709.620001</v>
      </c>
    </row>
    <row r="2428" spans="2:5" x14ac:dyDescent="0.25">
      <c r="B2428" s="545">
        <v>2804</v>
      </c>
      <c r="C2428" s="545" t="s">
        <v>2750</v>
      </c>
      <c r="D2428" s="669" t="s">
        <v>426</v>
      </c>
      <c r="E2428" s="546">
        <v>678.385716</v>
      </c>
    </row>
    <row r="2429" spans="2:5" x14ac:dyDescent="0.25">
      <c r="B2429" s="545">
        <v>2805</v>
      </c>
      <c r="C2429" s="545" t="s">
        <v>3975</v>
      </c>
      <c r="D2429" s="669" t="s">
        <v>426</v>
      </c>
      <c r="E2429" s="546">
        <v>743.60000600000001</v>
      </c>
    </row>
    <row r="2430" spans="2:5" x14ac:dyDescent="0.25">
      <c r="B2430" s="545">
        <v>2806</v>
      </c>
      <c r="C2430" s="545" t="s">
        <v>2006</v>
      </c>
      <c r="D2430" s="669" t="s">
        <v>426</v>
      </c>
      <c r="E2430" s="546">
        <v>643.52000699999996</v>
      </c>
    </row>
    <row r="2431" spans="2:5" x14ac:dyDescent="0.25">
      <c r="B2431" s="545">
        <v>2807</v>
      </c>
      <c r="C2431" s="545" t="s">
        <v>1797</v>
      </c>
      <c r="D2431" s="669" t="s">
        <v>426</v>
      </c>
      <c r="E2431" s="546">
        <v>635.91332999999997</v>
      </c>
    </row>
    <row r="2432" spans="2:5" x14ac:dyDescent="0.25">
      <c r="B2432" s="545">
        <v>2808</v>
      </c>
      <c r="C2432" s="545" t="s">
        <v>1449</v>
      </c>
      <c r="D2432" s="669" t="s">
        <v>419</v>
      </c>
      <c r="E2432" s="546">
        <v>617.5</v>
      </c>
    </row>
    <row r="2433" spans="2:5" x14ac:dyDescent="0.25">
      <c r="B2433" s="545">
        <v>2809</v>
      </c>
      <c r="C2433" s="545" t="s">
        <v>1422</v>
      </c>
      <c r="D2433" s="669" t="s">
        <v>419</v>
      </c>
      <c r="E2433" s="546">
        <v>616.48571800000002</v>
      </c>
    </row>
    <row r="2434" spans="2:5" x14ac:dyDescent="0.25">
      <c r="B2434" s="545">
        <v>2810</v>
      </c>
      <c r="C2434" s="545" t="s">
        <v>2206</v>
      </c>
      <c r="D2434" s="669" t="s">
        <v>426</v>
      </c>
      <c r="E2434" s="546">
        <v>653.116669</v>
      </c>
    </row>
    <row r="2435" spans="2:5" x14ac:dyDescent="0.25">
      <c r="B2435" s="545">
        <v>2811</v>
      </c>
      <c r="C2435" s="545" t="s">
        <v>1197</v>
      </c>
      <c r="D2435" s="669" t="s">
        <v>419</v>
      </c>
      <c r="E2435" s="546">
        <v>603.6</v>
      </c>
    </row>
    <row r="2436" spans="2:5" x14ac:dyDescent="0.25">
      <c r="B2436" s="545">
        <v>2812</v>
      </c>
      <c r="C2436" s="545" t="s">
        <v>989</v>
      </c>
      <c r="D2436" s="669" t="s">
        <v>426</v>
      </c>
      <c r="E2436" s="546">
        <v>587.83332800000005</v>
      </c>
    </row>
    <row r="2437" spans="2:5" x14ac:dyDescent="0.25">
      <c r="B2437" s="545">
        <v>2813</v>
      </c>
      <c r="C2437" s="545" t="s">
        <v>937</v>
      </c>
      <c r="D2437" s="669" t="s">
        <v>426</v>
      </c>
      <c r="E2437" s="546">
        <v>583.21999500000004</v>
      </c>
    </row>
    <row r="2438" spans="2:5" x14ac:dyDescent="0.25">
      <c r="B2438" s="545">
        <v>2814</v>
      </c>
      <c r="C2438" s="545" t="s">
        <v>1876</v>
      </c>
      <c r="D2438" s="669" t="s">
        <v>426</v>
      </c>
      <c r="E2438" s="546">
        <v>639.070831</v>
      </c>
    </row>
    <row r="2439" spans="2:5" x14ac:dyDescent="0.25">
      <c r="B2439" s="545">
        <v>2815</v>
      </c>
      <c r="C2439" s="545" t="s">
        <v>3868</v>
      </c>
      <c r="D2439" s="669" t="s">
        <v>426</v>
      </c>
      <c r="E2439" s="546">
        <v>736.66666699999996</v>
      </c>
    </row>
    <row r="2440" spans="2:5" x14ac:dyDescent="0.25">
      <c r="B2440" s="545">
        <v>2816</v>
      </c>
      <c r="C2440" s="545" t="s">
        <v>7076</v>
      </c>
      <c r="D2440" s="669" t="s">
        <v>426</v>
      </c>
      <c r="E2440" s="546">
        <v>630.52857300000005</v>
      </c>
    </row>
    <row r="2441" spans="2:5" x14ac:dyDescent="0.25">
      <c r="B2441" s="545">
        <v>2817</v>
      </c>
      <c r="C2441" s="545" t="s">
        <v>7176</v>
      </c>
      <c r="D2441" s="669" t="s">
        <v>419</v>
      </c>
      <c r="E2441" s="546">
        <v>610.97499100000005</v>
      </c>
    </row>
    <row r="2442" spans="2:5" x14ac:dyDescent="0.25">
      <c r="B2442" s="545">
        <v>2818</v>
      </c>
      <c r="C2442" s="545" t="s">
        <v>6530</v>
      </c>
      <c r="D2442" s="669" t="s">
        <v>426</v>
      </c>
      <c r="E2442" s="546">
        <v>601.30768799999998</v>
      </c>
    </row>
    <row r="2443" spans="2:5" x14ac:dyDescent="0.25">
      <c r="B2443" s="545">
        <v>2819</v>
      </c>
      <c r="C2443" s="545" t="s">
        <v>7210</v>
      </c>
      <c r="D2443" s="669" t="s">
        <v>426</v>
      </c>
      <c r="E2443" s="546">
        <v>599.42857100000003</v>
      </c>
    </row>
    <row r="2444" spans="2:5" x14ac:dyDescent="0.25">
      <c r="B2444" s="545">
        <v>2820</v>
      </c>
      <c r="C2444" s="545" t="s">
        <v>1014</v>
      </c>
      <c r="D2444" s="669" t="s">
        <v>426</v>
      </c>
      <c r="E2444" s="546">
        <v>603.54999799999996</v>
      </c>
    </row>
    <row r="2445" spans="2:5" x14ac:dyDescent="0.25">
      <c r="B2445" s="545">
        <v>2821</v>
      </c>
      <c r="C2445" s="545" t="s">
        <v>1080</v>
      </c>
      <c r="D2445" s="669" t="s">
        <v>426</v>
      </c>
      <c r="E2445" s="546">
        <v>596.09997599999997</v>
      </c>
    </row>
    <row r="2446" spans="2:5" x14ac:dyDescent="0.25">
      <c r="B2446" s="545">
        <v>2822</v>
      </c>
      <c r="C2446" s="545" t="s">
        <v>1582</v>
      </c>
      <c r="D2446" s="669" t="s">
        <v>426</v>
      </c>
      <c r="E2446" s="546">
        <v>625.44999399999995</v>
      </c>
    </row>
    <row r="2447" spans="2:5" x14ac:dyDescent="0.25">
      <c r="B2447" s="545">
        <v>2823</v>
      </c>
      <c r="C2447" s="545" t="s">
        <v>1165</v>
      </c>
      <c r="D2447" s="669" t="s">
        <v>426</v>
      </c>
      <c r="E2447" s="546">
        <v>602.06667100000004</v>
      </c>
    </row>
    <row r="2448" spans="2:5" x14ac:dyDescent="0.25">
      <c r="B2448" s="545">
        <v>2824</v>
      </c>
      <c r="C2448" s="545" t="s">
        <v>919</v>
      </c>
      <c r="D2448" s="669" t="s">
        <v>426</v>
      </c>
      <c r="E2448" s="546">
        <v>581.32499700000005</v>
      </c>
    </row>
    <row r="2449" spans="2:5" x14ac:dyDescent="0.25">
      <c r="B2449" s="545">
        <v>2825</v>
      </c>
      <c r="C2449" s="545" t="s">
        <v>1414</v>
      </c>
      <c r="D2449" s="669" t="s">
        <v>426</v>
      </c>
      <c r="E2449" s="546">
        <v>616.17498799999998</v>
      </c>
    </row>
    <row r="2450" spans="2:5" x14ac:dyDescent="0.25">
      <c r="B2450" s="545">
        <v>2826</v>
      </c>
      <c r="C2450" s="545" t="s">
        <v>7286</v>
      </c>
      <c r="D2450" s="669" t="s">
        <v>426</v>
      </c>
      <c r="E2450" s="546">
        <v>682.39997900000003</v>
      </c>
    </row>
    <row r="2451" spans="2:5" x14ac:dyDescent="0.25">
      <c r="B2451" s="545">
        <v>2827</v>
      </c>
      <c r="C2451" s="545" t="s">
        <v>889</v>
      </c>
      <c r="D2451" s="669" t="s">
        <v>426</v>
      </c>
      <c r="E2451" s="546">
        <v>578.64999399999999</v>
      </c>
    </row>
    <row r="2452" spans="2:5" x14ac:dyDescent="0.25">
      <c r="B2452" s="545">
        <v>2828</v>
      </c>
      <c r="C2452" s="545" t="s">
        <v>1301</v>
      </c>
      <c r="D2452" s="669" t="s">
        <v>426</v>
      </c>
      <c r="E2452" s="546">
        <v>609.83332299999995</v>
      </c>
    </row>
    <row r="2453" spans="2:5" x14ac:dyDescent="0.25">
      <c r="B2453" s="545">
        <v>2829</v>
      </c>
      <c r="C2453" s="545" t="s">
        <v>7355</v>
      </c>
      <c r="D2453" s="669" t="s">
        <v>426</v>
      </c>
      <c r="E2453" s="546">
        <v>690.90002400000003</v>
      </c>
    </row>
    <row r="2454" spans="2:5" x14ac:dyDescent="0.25">
      <c r="B2454" s="545">
        <v>2830</v>
      </c>
      <c r="C2454" s="545" t="s">
        <v>7209</v>
      </c>
      <c r="D2454" s="669" t="s">
        <v>426</v>
      </c>
      <c r="E2454" s="546">
        <v>622.95000500000003</v>
      </c>
    </row>
    <row r="2455" spans="2:5" x14ac:dyDescent="0.25">
      <c r="B2455" s="545">
        <v>2831</v>
      </c>
      <c r="C2455" s="545" t="s">
        <v>993</v>
      </c>
      <c r="D2455" s="669" t="s">
        <v>426</v>
      </c>
      <c r="E2455" s="546">
        <v>588.53334600000005</v>
      </c>
    </row>
    <row r="2456" spans="2:5" x14ac:dyDescent="0.25">
      <c r="B2456" s="545">
        <v>2832</v>
      </c>
      <c r="C2456" s="545" t="s">
        <v>1227</v>
      </c>
      <c r="D2456" s="669" t="s">
        <v>426</v>
      </c>
      <c r="E2456" s="546">
        <v>605.37857099999997</v>
      </c>
    </row>
    <row r="2457" spans="2:5" x14ac:dyDescent="0.25">
      <c r="B2457" s="545">
        <v>2833</v>
      </c>
      <c r="C2457" s="545" t="s">
        <v>921</v>
      </c>
      <c r="D2457" s="669" t="s">
        <v>426</v>
      </c>
      <c r="E2457" s="546">
        <v>581.51428199999998</v>
      </c>
    </row>
    <row r="2458" spans="2:5" x14ac:dyDescent="0.25">
      <c r="B2458" s="545">
        <v>2834</v>
      </c>
      <c r="C2458" s="545" t="s">
        <v>3022</v>
      </c>
      <c r="D2458" s="669" t="s">
        <v>426</v>
      </c>
      <c r="E2458" s="546">
        <v>692</v>
      </c>
    </row>
    <row r="2459" spans="2:5" x14ac:dyDescent="0.25">
      <c r="B2459" s="545">
        <v>2835</v>
      </c>
      <c r="C2459" s="545" t="s">
        <v>860</v>
      </c>
      <c r="D2459" s="669" t="s">
        <v>426</v>
      </c>
      <c r="E2459" s="546">
        <v>575.51667299999997</v>
      </c>
    </row>
    <row r="2460" spans="2:5" x14ac:dyDescent="0.25">
      <c r="B2460" s="545">
        <v>2836</v>
      </c>
      <c r="C2460" s="545" t="s">
        <v>1453</v>
      </c>
      <c r="D2460" s="669" t="s">
        <v>419</v>
      </c>
      <c r="E2460" s="546">
        <v>617.866669</v>
      </c>
    </row>
    <row r="2461" spans="2:5" x14ac:dyDescent="0.25">
      <c r="B2461" s="545">
        <v>2837</v>
      </c>
      <c r="C2461" s="545" t="s">
        <v>1222</v>
      </c>
      <c r="D2461" s="669" t="s">
        <v>426</v>
      </c>
      <c r="E2461" s="546">
        <v>605.17142999999999</v>
      </c>
    </row>
    <row r="2462" spans="2:5" x14ac:dyDescent="0.25">
      <c r="B2462" s="545">
        <v>2838</v>
      </c>
      <c r="C2462" s="545" t="s">
        <v>7557</v>
      </c>
      <c r="D2462" s="669" t="s">
        <v>426</v>
      </c>
      <c r="E2462" s="546">
        <v>673.03333499999997</v>
      </c>
    </row>
    <row r="2463" spans="2:5" x14ac:dyDescent="0.25">
      <c r="B2463" s="545">
        <v>2839</v>
      </c>
      <c r="C2463" s="545" t="s">
        <v>2947</v>
      </c>
      <c r="D2463" s="669" t="s">
        <v>426</v>
      </c>
      <c r="E2463" s="546">
        <v>687.57999299999994</v>
      </c>
    </row>
    <row r="2464" spans="2:5" x14ac:dyDescent="0.25">
      <c r="B2464" s="545">
        <v>2840</v>
      </c>
      <c r="C2464" s="545" t="s">
        <v>1070</v>
      </c>
      <c r="D2464" s="669" t="s">
        <v>426</v>
      </c>
      <c r="E2464" s="546">
        <v>595.25</v>
      </c>
    </row>
    <row r="2465" spans="2:5" x14ac:dyDescent="0.25">
      <c r="B2465" s="545">
        <v>2841</v>
      </c>
      <c r="C2465" s="545" t="s">
        <v>1252</v>
      </c>
      <c r="D2465" s="669" t="s">
        <v>426</v>
      </c>
      <c r="E2465" s="546">
        <v>606.66666699999996</v>
      </c>
    </row>
    <row r="2466" spans="2:5" x14ac:dyDescent="0.25">
      <c r="B2466" s="545">
        <v>2842</v>
      </c>
      <c r="C2466" s="545" t="s">
        <v>1176</v>
      </c>
      <c r="D2466" s="669" t="s">
        <v>426</v>
      </c>
      <c r="E2466" s="546">
        <v>602.70588199999997</v>
      </c>
    </row>
    <row r="2467" spans="2:5" x14ac:dyDescent="0.25">
      <c r="B2467" s="545">
        <v>2843</v>
      </c>
      <c r="C2467" s="545" t="s">
        <v>1608</v>
      </c>
      <c r="D2467" s="669" t="s">
        <v>426</v>
      </c>
      <c r="E2467" s="546">
        <v>626.93332899999996</v>
      </c>
    </row>
    <row r="2468" spans="2:5" x14ac:dyDescent="0.25">
      <c r="B2468" s="545">
        <v>2844</v>
      </c>
      <c r="C2468" s="545" t="s">
        <v>2599</v>
      </c>
      <c r="D2468" s="669" t="s">
        <v>426</v>
      </c>
      <c r="E2468" s="546">
        <v>670.70001200000002</v>
      </c>
    </row>
    <row r="2469" spans="2:5" x14ac:dyDescent="0.25">
      <c r="B2469" s="545">
        <v>2845</v>
      </c>
      <c r="C2469" s="545" t="s">
        <v>1361</v>
      </c>
      <c r="D2469" s="669" t="s">
        <v>426</v>
      </c>
      <c r="E2469" s="546">
        <v>613.12501499999996</v>
      </c>
    </row>
    <row r="2470" spans="2:5" x14ac:dyDescent="0.25">
      <c r="B2470" s="545">
        <v>2846</v>
      </c>
      <c r="C2470" s="545" t="s">
        <v>987</v>
      </c>
      <c r="D2470" s="669" t="s">
        <v>426</v>
      </c>
      <c r="E2470" s="546">
        <v>587.78333499999997</v>
      </c>
    </row>
    <row r="2471" spans="2:5" x14ac:dyDescent="0.25">
      <c r="B2471" s="545">
        <v>2847</v>
      </c>
      <c r="C2471" s="545" t="s">
        <v>1670</v>
      </c>
      <c r="D2471" s="669" t="s">
        <v>426</v>
      </c>
      <c r="E2471" s="546">
        <v>630.70001200000002</v>
      </c>
    </row>
    <row r="2472" spans="2:5" x14ac:dyDescent="0.25">
      <c r="B2472" s="545">
        <v>2848</v>
      </c>
      <c r="C2472" s="545" t="s">
        <v>967</v>
      </c>
      <c r="D2472" s="669" t="s">
        <v>426</v>
      </c>
      <c r="E2472" s="546">
        <v>585.54284700000005</v>
      </c>
    </row>
    <row r="2473" spans="2:5" x14ac:dyDescent="0.25">
      <c r="B2473" s="545">
        <v>2849</v>
      </c>
      <c r="C2473" s="545" t="s">
        <v>1170</v>
      </c>
      <c r="D2473" s="669" t="s">
        <v>426</v>
      </c>
      <c r="E2473" s="546">
        <v>602.25</v>
      </c>
    </row>
    <row r="2474" spans="2:5" x14ac:dyDescent="0.25">
      <c r="B2474" s="545">
        <v>2850</v>
      </c>
      <c r="C2474" s="545" t="s">
        <v>1644</v>
      </c>
      <c r="D2474" s="669" t="s">
        <v>426</v>
      </c>
      <c r="E2474" s="546">
        <v>628.75</v>
      </c>
    </row>
    <row r="2475" spans="2:5" x14ac:dyDescent="0.25">
      <c r="B2475" s="545">
        <v>2851</v>
      </c>
      <c r="C2475" s="545" t="s">
        <v>1060</v>
      </c>
      <c r="D2475" s="669" t="s">
        <v>426</v>
      </c>
      <c r="E2475" s="546">
        <v>594.60768499999995</v>
      </c>
    </row>
    <row r="2476" spans="2:5" x14ac:dyDescent="0.25">
      <c r="B2476" s="545">
        <v>2852</v>
      </c>
      <c r="C2476" s="545" t="s">
        <v>1488</v>
      </c>
      <c r="D2476" s="669" t="s">
        <v>426</v>
      </c>
      <c r="E2476" s="546">
        <v>619.49999000000003</v>
      </c>
    </row>
    <row r="2477" spans="2:5" x14ac:dyDescent="0.25">
      <c r="B2477" s="545">
        <v>2901</v>
      </c>
      <c r="C2477" s="545" t="s">
        <v>892</v>
      </c>
      <c r="D2477" s="669" t="s">
        <v>7750</v>
      </c>
      <c r="E2477" s="546">
        <v>578.85000600000001</v>
      </c>
    </row>
    <row r="2478" spans="2:5" x14ac:dyDescent="0.25">
      <c r="B2478" s="545">
        <v>2902</v>
      </c>
      <c r="C2478" s="545" t="s">
        <v>1525</v>
      </c>
      <c r="D2478" s="669" t="s">
        <v>418</v>
      </c>
      <c r="E2478" s="546">
        <v>621.74545000000001</v>
      </c>
    </row>
    <row r="2479" spans="2:5" x14ac:dyDescent="0.25">
      <c r="B2479" s="545">
        <v>2903</v>
      </c>
      <c r="C2479" s="545" t="s">
        <v>1956</v>
      </c>
      <c r="D2479" s="669" t="s">
        <v>418</v>
      </c>
      <c r="E2479" s="546">
        <v>642.00000599999998</v>
      </c>
    </row>
    <row r="2480" spans="2:5" x14ac:dyDescent="0.25">
      <c r="B2480" s="545">
        <v>2904</v>
      </c>
      <c r="C2480" s="545" t="s">
        <v>2893</v>
      </c>
      <c r="D2480" s="669" t="s">
        <v>418</v>
      </c>
      <c r="E2480" s="546">
        <v>685.70000100000004</v>
      </c>
    </row>
    <row r="2481" spans="2:5" x14ac:dyDescent="0.25">
      <c r="B2481" s="545">
        <v>2905</v>
      </c>
      <c r="C2481" s="545" t="s">
        <v>1044</v>
      </c>
      <c r="D2481" s="669" t="s">
        <v>7750</v>
      </c>
      <c r="E2481" s="546">
        <v>593.04999499999997</v>
      </c>
    </row>
    <row r="2482" spans="2:5" x14ac:dyDescent="0.25">
      <c r="B2482" s="545">
        <v>2906</v>
      </c>
      <c r="C2482" s="545" t="s">
        <v>1110</v>
      </c>
      <c r="D2482" s="669" t="s">
        <v>7750</v>
      </c>
      <c r="E2482" s="546">
        <v>598.42499499999997</v>
      </c>
    </row>
    <row r="2483" spans="2:5" x14ac:dyDescent="0.25">
      <c r="B2483" s="545">
        <v>2907</v>
      </c>
      <c r="C2483" s="545" t="s">
        <v>789</v>
      </c>
      <c r="D2483" s="669" t="s">
        <v>7750</v>
      </c>
      <c r="E2483" s="546">
        <v>565.68666599999995</v>
      </c>
    </row>
    <row r="2484" spans="2:5" x14ac:dyDescent="0.25">
      <c r="B2484" s="545">
        <v>2908</v>
      </c>
      <c r="C2484" s="545" t="s">
        <v>2631</v>
      </c>
      <c r="D2484" s="669" t="s">
        <v>418</v>
      </c>
      <c r="E2484" s="546">
        <v>673.01666799999998</v>
      </c>
    </row>
    <row r="2485" spans="2:5" x14ac:dyDescent="0.25">
      <c r="B2485" s="545">
        <v>2909</v>
      </c>
      <c r="C2485" s="545" t="s">
        <v>1190</v>
      </c>
      <c r="D2485" s="669" t="s">
        <v>7750</v>
      </c>
      <c r="E2485" s="546">
        <v>603.37999300000001</v>
      </c>
    </row>
    <row r="2486" spans="2:5" x14ac:dyDescent="0.25">
      <c r="B2486" s="545">
        <v>2910</v>
      </c>
      <c r="C2486" s="545" t="s">
        <v>2192</v>
      </c>
      <c r="D2486" s="669" t="s">
        <v>418</v>
      </c>
      <c r="E2486" s="546">
        <v>652.57499700000005</v>
      </c>
    </row>
    <row r="2487" spans="2:5" x14ac:dyDescent="0.25">
      <c r="B2487" s="545">
        <v>2911</v>
      </c>
      <c r="C2487" s="545" t="s">
        <v>804</v>
      </c>
      <c r="D2487" s="669" t="s">
        <v>7750</v>
      </c>
      <c r="E2487" s="546">
        <v>567.60000600000001</v>
      </c>
    </row>
    <row r="2488" spans="2:5" x14ac:dyDescent="0.25">
      <c r="B2488" s="545">
        <v>2912</v>
      </c>
      <c r="C2488" s="545" t="s">
        <v>2370</v>
      </c>
      <c r="D2488" s="669" t="s">
        <v>418</v>
      </c>
      <c r="E2488" s="546">
        <v>660.53750600000001</v>
      </c>
    </row>
    <row r="2489" spans="2:5" x14ac:dyDescent="0.25">
      <c r="B2489" s="545">
        <v>2913</v>
      </c>
      <c r="C2489" s="545" t="s">
        <v>1496</v>
      </c>
      <c r="D2489" s="669" t="s">
        <v>418</v>
      </c>
      <c r="E2489" s="546">
        <v>620</v>
      </c>
    </row>
    <row r="2490" spans="2:5" x14ac:dyDescent="0.25">
      <c r="B2490" s="545">
        <v>2914</v>
      </c>
      <c r="C2490" s="545" t="s">
        <v>1963</v>
      </c>
      <c r="D2490" s="669" t="s">
        <v>418</v>
      </c>
      <c r="E2490" s="546">
        <v>642.12000699999999</v>
      </c>
    </row>
    <row r="2491" spans="2:5" x14ac:dyDescent="0.25">
      <c r="B2491" s="545">
        <v>2915</v>
      </c>
      <c r="C2491" s="545" t="s">
        <v>852</v>
      </c>
      <c r="D2491" s="669" t="s">
        <v>7750</v>
      </c>
      <c r="E2491" s="546">
        <v>575</v>
      </c>
    </row>
    <row r="2492" spans="2:5" x14ac:dyDescent="0.25">
      <c r="B2492" s="545">
        <v>2916</v>
      </c>
      <c r="C2492" s="545" t="s">
        <v>1754</v>
      </c>
      <c r="D2492" s="669" t="s">
        <v>418</v>
      </c>
      <c r="E2492" s="546">
        <v>708.86428799999999</v>
      </c>
    </row>
    <row r="2493" spans="2:5" x14ac:dyDescent="0.25">
      <c r="B2493" s="545">
        <v>2917</v>
      </c>
      <c r="C2493" s="545" t="s">
        <v>2148</v>
      </c>
      <c r="D2493" s="669" t="s">
        <v>418</v>
      </c>
      <c r="E2493" s="546">
        <v>650.65000199999997</v>
      </c>
    </row>
    <row r="2494" spans="2:5" x14ac:dyDescent="0.25">
      <c r="B2494" s="545">
        <v>2918</v>
      </c>
      <c r="C2494" s="545" t="s">
        <v>914</v>
      </c>
      <c r="D2494" s="669" t="s">
        <v>7750</v>
      </c>
      <c r="E2494" s="546">
        <v>580.84999600000003</v>
      </c>
    </row>
    <row r="2495" spans="2:5" x14ac:dyDescent="0.25">
      <c r="B2495" s="545">
        <v>2919</v>
      </c>
      <c r="C2495" s="545" t="s">
        <v>862</v>
      </c>
      <c r="D2495" s="669" t="s">
        <v>7750</v>
      </c>
      <c r="E2495" s="546">
        <v>575.80000500000006</v>
      </c>
    </row>
    <row r="2496" spans="2:5" x14ac:dyDescent="0.25">
      <c r="B2496" s="545">
        <v>2920</v>
      </c>
      <c r="C2496" s="545" t="s">
        <v>1177</v>
      </c>
      <c r="D2496" s="669" t="s">
        <v>7750</v>
      </c>
      <c r="E2496" s="546">
        <v>602.77856699999995</v>
      </c>
    </row>
    <row r="2497" spans="2:5" x14ac:dyDescent="0.25">
      <c r="B2497" s="545">
        <v>2921</v>
      </c>
      <c r="C2497" s="545" t="s">
        <v>2403</v>
      </c>
      <c r="D2497" s="669" t="s">
        <v>418</v>
      </c>
      <c r="E2497" s="546">
        <v>671.23750299999995</v>
      </c>
    </row>
    <row r="2498" spans="2:5" x14ac:dyDescent="0.25">
      <c r="B2498" s="545">
        <v>2922</v>
      </c>
      <c r="C2498" s="545" t="s">
        <v>1373</v>
      </c>
      <c r="D2498" s="669" t="s">
        <v>418</v>
      </c>
      <c r="E2498" s="546">
        <v>634.49998000000005</v>
      </c>
    </row>
    <row r="2499" spans="2:5" x14ac:dyDescent="0.25">
      <c r="B2499" s="545">
        <v>2923</v>
      </c>
      <c r="C2499" s="545" t="s">
        <v>1936</v>
      </c>
      <c r="D2499" s="669" t="s">
        <v>418</v>
      </c>
      <c r="E2499" s="546">
        <v>641.32499700000005</v>
      </c>
    </row>
    <row r="2500" spans="2:5" x14ac:dyDescent="0.25">
      <c r="B2500" s="545">
        <v>2924</v>
      </c>
      <c r="C2500" s="545" t="s">
        <v>1540</v>
      </c>
      <c r="D2500" s="669" t="s">
        <v>7750</v>
      </c>
      <c r="E2500" s="546">
        <v>623.01666299999999</v>
      </c>
    </row>
    <row r="2501" spans="2:5" x14ac:dyDescent="0.25">
      <c r="B2501" s="545">
        <v>2925</v>
      </c>
      <c r="C2501" s="545" t="s">
        <v>2042</v>
      </c>
      <c r="D2501" s="669" t="s">
        <v>418</v>
      </c>
      <c r="E2501" s="546">
        <v>645.07498199999998</v>
      </c>
    </row>
    <row r="2502" spans="2:5" x14ac:dyDescent="0.25">
      <c r="B2502" s="545">
        <v>2926</v>
      </c>
      <c r="C2502" s="545" t="s">
        <v>2552</v>
      </c>
      <c r="D2502" s="669" t="s">
        <v>418</v>
      </c>
      <c r="E2502" s="546">
        <v>668.61249499999997</v>
      </c>
    </row>
    <row r="2503" spans="2:5" x14ac:dyDescent="0.25">
      <c r="B2503" s="545">
        <v>2927</v>
      </c>
      <c r="C2503" s="545" t="s">
        <v>3450</v>
      </c>
      <c r="D2503" s="669" t="s">
        <v>418</v>
      </c>
      <c r="E2503" s="546">
        <v>713.36665900000003</v>
      </c>
    </row>
    <row r="2504" spans="2:5" x14ac:dyDescent="0.25">
      <c r="B2504" s="545">
        <v>2928</v>
      </c>
      <c r="C2504" s="545" t="s">
        <v>1075</v>
      </c>
      <c r="D2504" s="669" t="s">
        <v>418</v>
      </c>
      <c r="E2504" s="546">
        <v>643.53333899999996</v>
      </c>
    </row>
    <row r="2505" spans="2:5" x14ac:dyDescent="0.25">
      <c r="B2505" s="545">
        <v>2929</v>
      </c>
      <c r="C2505" s="545" t="s">
        <v>942</v>
      </c>
      <c r="D2505" s="669" t="s">
        <v>7750</v>
      </c>
      <c r="E2505" s="546">
        <v>583.61665900000003</v>
      </c>
    </row>
    <row r="2506" spans="2:5" x14ac:dyDescent="0.25">
      <c r="B2506" s="545">
        <v>2930</v>
      </c>
      <c r="C2506" s="545" t="s">
        <v>6637</v>
      </c>
      <c r="D2506" s="669" t="s">
        <v>418</v>
      </c>
      <c r="E2506" s="546">
        <v>697.81874800000003</v>
      </c>
    </row>
    <row r="2507" spans="2:5" x14ac:dyDescent="0.25">
      <c r="B2507" s="545">
        <v>2931</v>
      </c>
      <c r="C2507" s="545" t="s">
        <v>6648</v>
      </c>
      <c r="D2507" s="669" t="s">
        <v>418</v>
      </c>
      <c r="E2507" s="546">
        <v>707.35999800000002</v>
      </c>
    </row>
    <row r="2508" spans="2:5" x14ac:dyDescent="0.25">
      <c r="B2508" s="545">
        <v>2932</v>
      </c>
      <c r="C2508" s="545" t="s">
        <v>6650</v>
      </c>
      <c r="D2508" s="669" t="s">
        <v>418</v>
      </c>
      <c r="E2508" s="546">
        <v>693.13077499999997</v>
      </c>
    </row>
    <row r="2509" spans="2:5" x14ac:dyDescent="0.25">
      <c r="B2509" s="545">
        <v>2933</v>
      </c>
      <c r="C2509" s="545" t="s">
        <v>1690</v>
      </c>
      <c r="D2509" s="669" t="s">
        <v>418</v>
      </c>
      <c r="E2509" s="546">
        <v>641.65999099999999</v>
      </c>
    </row>
    <row r="2510" spans="2:5" x14ac:dyDescent="0.25">
      <c r="B2510" s="545">
        <v>2934</v>
      </c>
      <c r="C2510" s="545" t="s">
        <v>877</v>
      </c>
      <c r="D2510" s="669" t="s">
        <v>7750</v>
      </c>
      <c r="E2510" s="546">
        <v>577.49998800000003</v>
      </c>
    </row>
    <row r="2511" spans="2:5" x14ac:dyDescent="0.25">
      <c r="B2511" s="545">
        <v>2935</v>
      </c>
      <c r="C2511" s="545" t="s">
        <v>6694</v>
      </c>
      <c r="D2511" s="669" t="s">
        <v>418</v>
      </c>
      <c r="E2511" s="546">
        <v>679.78333499999997</v>
      </c>
    </row>
    <row r="2512" spans="2:5" x14ac:dyDescent="0.25">
      <c r="B2512" s="545">
        <v>2936</v>
      </c>
      <c r="C2512" s="545" t="s">
        <v>1063</v>
      </c>
      <c r="D2512" s="669" t="s">
        <v>7750</v>
      </c>
      <c r="E2512" s="546">
        <v>610.55000299999995</v>
      </c>
    </row>
    <row r="2513" spans="2:5" x14ac:dyDescent="0.25">
      <c r="B2513" s="545">
        <v>2937</v>
      </c>
      <c r="C2513" s="545" t="s">
        <v>1155</v>
      </c>
      <c r="D2513" s="669" t="s">
        <v>7750</v>
      </c>
      <c r="E2513" s="546">
        <v>601.33332700000005</v>
      </c>
    </row>
    <row r="2514" spans="2:5" x14ac:dyDescent="0.25">
      <c r="B2514" s="545">
        <v>2938</v>
      </c>
      <c r="C2514" s="545" t="s">
        <v>1310</v>
      </c>
      <c r="D2514" s="669" t="s">
        <v>418</v>
      </c>
      <c r="E2514" s="546">
        <v>610.32857000000001</v>
      </c>
    </row>
    <row r="2515" spans="2:5" x14ac:dyDescent="0.25">
      <c r="B2515" s="545">
        <v>2939</v>
      </c>
      <c r="C2515" s="545" t="s">
        <v>1017</v>
      </c>
      <c r="D2515" s="669" t="s">
        <v>7750</v>
      </c>
      <c r="E2515" s="546">
        <v>590.84285199999999</v>
      </c>
    </row>
    <row r="2516" spans="2:5" x14ac:dyDescent="0.25">
      <c r="B2516" s="545">
        <v>2940</v>
      </c>
      <c r="C2516" s="545" t="s">
        <v>1183</v>
      </c>
      <c r="D2516" s="669" t="s">
        <v>7750</v>
      </c>
      <c r="E2516" s="546">
        <v>603.14000199999998</v>
      </c>
    </row>
    <row r="2517" spans="2:5" x14ac:dyDescent="0.25">
      <c r="B2517" s="545">
        <v>2941</v>
      </c>
      <c r="C2517" s="545" t="s">
        <v>2438</v>
      </c>
      <c r="D2517" s="669" t="s">
        <v>7750</v>
      </c>
      <c r="E2517" s="546">
        <v>663.79998799999998</v>
      </c>
    </row>
    <row r="2518" spans="2:5" x14ac:dyDescent="0.25">
      <c r="B2518" s="545">
        <v>2942</v>
      </c>
      <c r="C2518" s="545" t="s">
        <v>1364</v>
      </c>
      <c r="D2518" s="669" t="s">
        <v>7750</v>
      </c>
      <c r="E2518" s="546">
        <v>613.40000699999996</v>
      </c>
    </row>
    <row r="2519" spans="2:5" x14ac:dyDescent="0.25">
      <c r="B2519" s="545">
        <v>2943</v>
      </c>
      <c r="C2519" s="545" t="s">
        <v>3586</v>
      </c>
      <c r="D2519" s="669" t="s">
        <v>418</v>
      </c>
      <c r="E2519" s="546">
        <v>720.60000200000002</v>
      </c>
    </row>
    <row r="2520" spans="2:5" x14ac:dyDescent="0.25">
      <c r="B2520" s="545">
        <v>2944</v>
      </c>
      <c r="C2520" s="545" t="s">
        <v>2152</v>
      </c>
      <c r="D2520" s="669" t="s">
        <v>418</v>
      </c>
      <c r="E2520" s="546">
        <v>742.5</v>
      </c>
    </row>
    <row r="2521" spans="2:5" x14ac:dyDescent="0.25">
      <c r="B2521" s="545">
        <v>2945</v>
      </c>
      <c r="C2521" s="545" t="s">
        <v>2876</v>
      </c>
      <c r="D2521" s="669" t="s">
        <v>418</v>
      </c>
      <c r="E2521" s="546">
        <v>684.94285400000001</v>
      </c>
    </row>
    <row r="2522" spans="2:5" x14ac:dyDescent="0.25">
      <c r="B2522" s="545">
        <v>2946</v>
      </c>
      <c r="C2522" s="545" t="s">
        <v>2085</v>
      </c>
      <c r="D2522" s="669" t="s">
        <v>418</v>
      </c>
      <c r="E2522" s="546">
        <v>647.48571800000002</v>
      </c>
    </row>
    <row r="2523" spans="2:5" x14ac:dyDescent="0.25">
      <c r="B2523" s="545">
        <v>2947</v>
      </c>
      <c r="C2523" s="545" t="s">
        <v>7425</v>
      </c>
      <c r="D2523" s="669" t="s">
        <v>7750</v>
      </c>
      <c r="E2523" s="546">
        <v>623.58572000000004</v>
      </c>
    </row>
    <row r="2524" spans="2:5" x14ac:dyDescent="0.25">
      <c r="B2524" s="545">
        <v>2948</v>
      </c>
      <c r="C2524" s="545" t="s">
        <v>3174</v>
      </c>
      <c r="D2524" s="669" t="s">
        <v>418</v>
      </c>
      <c r="E2524" s="546">
        <v>700.01666299999999</v>
      </c>
    </row>
    <row r="2525" spans="2:5" x14ac:dyDescent="0.25">
      <c r="B2525" s="545">
        <v>2949</v>
      </c>
      <c r="C2525" s="545" t="s">
        <v>3766</v>
      </c>
      <c r="D2525" s="669" t="s">
        <v>418</v>
      </c>
      <c r="E2525" s="546">
        <v>730.90000199999997</v>
      </c>
    </row>
    <row r="2526" spans="2:5" x14ac:dyDescent="0.25">
      <c r="B2526" s="545">
        <v>2950</v>
      </c>
      <c r="C2526" s="545" t="s">
        <v>950</v>
      </c>
      <c r="D2526" s="669" t="s">
        <v>7750</v>
      </c>
      <c r="E2526" s="546">
        <v>583.99998500000004</v>
      </c>
    </row>
    <row r="2527" spans="2:5" x14ac:dyDescent="0.25">
      <c r="B2527" s="545">
        <v>2951</v>
      </c>
      <c r="C2527" s="545" t="s">
        <v>2467</v>
      </c>
      <c r="D2527" s="669" t="s">
        <v>418</v>
      </c>
      <c r="E2527" s="546">
        <v>664.70832800000005</v>
      </c>
    </row>
    <row r="2528" spans="2:5" x14ac:dyDescent="0.25">
      <c r="B2528" s="545">
        <v>2952</v>
      </c>
      <c r="C2528" s="545" t="s">
        <v>1489</v>
      </c>
      <c r="D2528" s="669" t="s">
        <v>418</v>
      </c>
      <c r="E2528" s="546">
        <v>619.57500500000003</v>
      </c>
    </row>
    <row r="2529" spans="2:5" x14ac:dyDescent="0.25">
      <c r="B2529" s="545">
        <v>2953</v>
      </c>
      <c r="C2529" s="545" t="s">
        <v>1452</v>
      </c>
      <c r="D2529" s="669" t="s">
        <v>418</v>
      </c>
      <c r="E2529" s="546">
        <v>617.85999800000002</v>
      </c>
    </row>
    <row r="2530" spans="2:5" x14ac:dyDescent="0.25">
      <c r="B2530" s="545">
        <v>2954</v>
      </c>
      <c r="C2530" s="545" t="s">
        <v>915</v>
      </c>
      <c r="D2530" s="669" t="s">
        <v>7750</v>
      </c>
      <c r="E2530" s="546">
        <v>580.87999300000001</v>
      </c>
    </row>
    <row r="2531" spans="2:5" x14ac:dyDescent="0.25">
      <c r="B2531" s="545">
        <v>2955</v>
      </c>
      <c r="C2531" s="545" t="s">
        <v>6790</v>
      </c>
      <c r="D2531" s="669" t="s">
        <v>7750</v>
      </c>
      <c r="E2531" s="546">
        <v>569.83333300000004</v>
      </c>
    </row>
    <row r="2532" spans="2:5" x14ac:dyDescent="0.25">
      <c r="B2532" s="545">
        <v>2956</v>
      </c>
      <c r="C2532" s="545" t="s">
        <v>1692</v>
      </c>
      <c r="D2532" s="669" t="s">
        <v>418</v>
      </c>
      <c r="E2532" s="546">
        <v>632.03333499999997</v>
      </c>
    </row>
    <row r="2533" spans="2:5" x14ac:dyDescent="0.25">
      <c r="B2533" s="545">
        <v>2957</v>
      </c>
      <c r="C2533" s="545" t="s">
        <v>817</v>
      </c>
      <c r="D2533" s="669" t="s">
        <v>7750</v>
      </c>
      <c r="E2533" s="546">
        <v>570.50001199999997</v>
      </c>
    </row>
    <row r="2534" spans="2:5" x14ac:dyDescent="0.25">
      <c r="B2534" s="545">
        <v>2958</v>
      </c>
      <c r="C2534" s="545" t="s">
        <v>837</v>
      </c>
      <c r="D2534" s="669" t="s">
        <v>7750</v>
      </c>
      <c r="E2534" s="546">
        <v>573.67500299999995</v>
      </c>
    </row>
    <row r="2535" spans="2:5" x14ac:dyDescent="0.25">
      <c r="B2535" s="545">
        <v>2959</v>
      </c>
      <c r="C2535" s="545" t="s">
        <v>6890</v>
      </c>
      <c r="D2535" s="669" t="s">
        <v>418</v>
      </c>
      <c r="E2535" s="546">
        <v>608.52857300000005</v>
      </c>
    </row>
    <row r="2536" spans="2:5" x14ac:dyDescent="0.25">
      <c r="B2536" s="545">
        <v>2960</v>
      </c>
      <c r="C2536" s="545" t="s">
        <v>6945</v>
      </c>
      <c r="D2536" s="669" t="s">
        <v>7750</v>
      </c>
      <c r="E2536" s="546">
        <v>567.30000099999995</v>
      </c>
    </row>
    <row r="2537" spans="2:5" x14ac:dyDescent="0.25">
      <c r="B2537" s="545">
        <v>2961</v>
      </c>
      <c r="C2537" s="545" t="s">
        <v>1140</v>
      </c>
      <c r="D2537" s="669" t="s">
        <v>418</v>
      </c>
      <c r="E2537" s="546">
        <v>623.85714299999995</v>
      </c>
    </row>
    <row r="2538" spans="2:5" x14ac:dyDescent="0.25">
      <c r="B2538" s="545">
        <v>2962</v>
      </c>
      <c r="C2538" s="545" t="s">
        <v>1116</v>
      </c>
      <c r="D2538" s="669" t="s">
        <v>418</v>
      </c>
      <c r="E2538" s="546">
        <v>598.63332100000002</v>
      </c>
    </row>
    <row r="2539" spans="2:5" x14ac:dyDescent="0.25">
      <c r="B2539" s="545">
        <v>2963</v>
      </c>
      <c r="C2539" s="545" t="s">
        <v>979</v>
      </c>
      <c r="D2539" s="669" t="s">
        <v>418</v>
      </c>
      <c r="E2539" s="546">
        <v>657.64445000000001</v>
      </c>
    </row>
    <row r="2540" spans="2:5" x14ac:dyDescent="0.25">
      <c r="B2540" s="545">
        <v>2964</v>
      </c>
      <c r="C2540" s="545" t="s">
        <v>2889</v>
      </c>
      <c r="D2540" s="669" t="s">
        <v>418</v>
      </c>
      <c r="E2540" s="546">
        <v>701.60000600000001</v>
      </c>
    </row>
    <row r="2541" spans="2:5" x14ac:dyDescent="0.25">
      <c r="B2541" s="545">
        <v>2965</v>
      </c>
      <c r="C2541" s="545" t="s">
        <v>1089</v>
      </c>
      <c r="D2541" s="669" t="s">
        <v>418</v>
      </c>
      <c r="E2541" s="546">
        <v>596.77500199999997</v>
      </c>
    </row>
    <row r="2542" spans="2:5" x14ac:dyDescent="0.25">
      <c r="B2542" s="545">
        <v>2966</v>
      </c>
      <c r="C2542" s="545" t="s">
        <v>1306</v>
      </c>
      <c r="D2542" s="669" t="s">
        <v>418</v>
      </c>
      <c r="E2542" s="546">
        <v>733.71428600000002</v>
      </c>
    </row>
    <row r="2543" spans="2:5" x14ac:dyDescent="0.25">
      <c r="B2543" s="545">
        <v>2967</v>
      </c>
      <c r="C2543" s="545" t="s">
        <v>2805</v>
      </c>
      <c r="D2543" s="669" t="s">
        <v>418</v>
      </c>
      <c r="E2543" s="546">
        <v>681.46001000000001</v>
      </c>
    </row>
    <row r="2544" spans="2:5" x14ac:dyDescent="0.25">
      <c r="B2544" s="545">
        <v>2968</v>
      </c>
      <c r="C2544" s="545" t="s">
        <v>2262</v>
      </c>
      <c r="D2544" s="669" t="s">
        <v>418</v>
      </c>
      <c r="E2544" s="546">
        <v>655.860004</v>
      </c>
    </row>
    <row r="2545" spans="2:5" x14ac:dyDescent="0.25">
      <c r="B2545" s="545">
        <v>2969</v>
      </c>
      <c r="C2545" s="545" t="s">
        <v>3206</v>
      </c>
      <c r="D2545" s="669" t="s">
        <v>418</v>
      </c>
      <c r="E2545" s="546">
        <v>701.35998500000005</v>
      </c>
    </row>
    <row r="2546" spans="2:5" x14ac:dyDescent="0.25">
      <c r="B2546" s="545">
        <v>2970</v>
      </c>
      <c r="C2546" s="545" t="s">
        <v>876</v>
      </c>
      <c r="D2546" s="669" t="s">
        <v>7750</v>
      </c>
      <c r="E2546" s="546">
        <v>577.31250799999998</v>
      </c>
    </row>
    <row r="2547" spans="2:5" x14ac:dyDescent="0.25">
      <c r="B2547" s="545">
        <v>2971</v>
      </c>
      <c r="C2547" s="545" t="s">
        <v>1100</v>
      </c>
      <c r="D2547" s="669" t="s">
        <v>7750</v>
      </c>
      <c r="E2547" s="546">
        <v>597.65713900000003</v>
      </c>
    </row>
    <row r="2548" spans="2:5" x14ac:dyDescent="0.25">
      <c r="B2548" s="545">
        <v>2972</v>
      </c>
      <c r="C2548" s="545" t="s">
        <v>803</v>
      </c>
      <c r="D2548" s="669" t="s">
        <v>7750</v>
      </c>
      <c r="E2548" s="546">
        <v>567.383331</v>
      </c>
    </row>
    <row r="2549" spans="2:5" x14ac:dyDescent="0.25">
      <c r="B2549" s="545">
        <v>2973</v>
      </c>
      <c r="C2549" s="545" t="s">
        <v>1009</v>
      </c>
      <c r="D2549" s="669" t="s">
        <v>7750</v>
      </c>
      <c r="E2549" s="546">
        <v>590.06666099999995</v>
      </c>
    </row>
    <row r="2550" spans="2:5" x14ac:dyDescent="0.25">
      <c r="B2550" s="545">
        <v>2974</v>
      </c>
      <c r="C2550" s="545" t="s">
        <v>1021</v>
      </c>
      <c r="D2550" s="669" t="s">
        <v>7750</v>
      </c>
      <c r="E2550" s="546">
        <v>591.34999100000005</v>
      </c>
    </row>
    <row r="2551" spans="2:5" x14ac:dyDescent="0.25">
      <c r="B2551" s="545">
        <v>2975</v>
      </c>
      <c r="C2551" s="545" t="s">
        <v>841</v>
      </c>
      <c r="D2551" s="669" t="s">
        <v>7750</v>
      </c>
      <c r="E2551" s="546">
        <v>573.87142500000004</v>
      </c>
    </row>
    <row r="2552" spans="2:5" x14ac:dyDescent="0.25">
      <c r="B2552" s="545">
        <v>2976</v>
      </c>
      <c r="C2552" s="545" t="s">
        <v>748</v>
      </c>
      <c r="D2552" s="669" t="s">
        <v>7750</v>
      </c>
      <c r="E2552" s="546">
        <v>556.95999800000004</v>
      </c>
    </row>
    <row r="2553" spans="2:5" x14ac:dyDescent="0.25">
      <c r="B2553" s="545">
        <v>2977</v>
      </c>
      <c r="C2553" s="545" t="s">
        <v>2252</v>
      </c>
      <c r="D2553" s="669" t="s">
        <v>418</v>
      </c>
      <c r="E2553" s="546">
        <v>655.421426</v>
      </c>
    </row>
    <row r="2554" spans="2:5" x14ac:dyDescent="0.25">
      <c r="B2554" s="545">
        <v>2978</v>
      </c>
      <c r="C2554" s="545" t="s">
        <v>782</v>
      </c>
      <c r="D2554" s="669" t="s">
        <v>7750</v>
      </c>
      <c r="E2554" s="546">
        <v>564.27777800000001</v>
      </c>
    </row>
    <row r="2555" spans="2:5" x14ac:dyDescent="0.25">
      <c r="B2555" s="545">
        <v>2979</v>
      </c>
      <c r="C2555" s="545" t="s">
        <v>869</v>
      </c>
      <c r="D2555" s="669" t="s">
        <v>7750</v>
      </c>
      <c r="E2555" s="546">
        <v>576.86154899999997</v>
      </c>
    </row>
    <row r="2556" spans="2:5" x14ac:dyDescent="0.25">
      <c r="B2556" s="545">
        <v>2980</v>
      </c>
      <c r="C2556" s="545" t="s">
        <v>917</v>
      </c>
      <c r="D2556" s="669" t="s">
        <v>7750</v>
      </c>
      <c r="E2556" s="546">
        <v>580.95999800000004</v>
      </c>
    </row>
    <row r="2557" spans="2:5" x14ac:dyDescent="0.25">
      <c r="B2557" s="545">
        <v>2981</v>
      </c>
      <c r="C2557" s="545" t="s">
        <v>1914</v>
      </c>
      <c r="D2557" s="669" t="s">
        <v>418</v>
      </c>
      <c r="E2557" s="546">
        <v>640.53333499999997</v>
      </c>
    </row>
    <row r="2558" spans="2:5" x14ac:dyDescent="0.25">
      <c r="B2558" s="545">
        <v>2982</v>
      </c>
      <c r="C2558" s="545" t="s">
        <v>3099</v>
      </c>
      <c r="D2558" s="669" t="s">
        <v>418</v>
      </c>
      <c r="E2558" s="546">
        <v>695.91427999999996</v>
      </c>
    </row>
    <row r="2559" spans="2:5" x14ac:dyDescent="0.25">
      <c r="B2559" s="545">
        <v>2983</v>
      </c>
      <c r="C2559" s="545" t="s">
        <v>2567</v>
      </c>
      <c r="D2559" s="669" t="s">
        <v>418</v>
      </c>
      <c r="E2559" s="546">
        <v>668.97691899999995</v>
      </c>
    </row>
    <row r="2560" spans="2:5" x14ac:dyDescent="0.25">
      <c r="B2560" s="545">
        <v>2984</v>
      </c>
      <c r="C2560" s="545" t="s">
        <v>7114</v>
      </c>
      <c r="D2560" s="669" t="s">
        <v>7750</v>
      </c>
      <c r="E2560" s="546">
        <v>557.27500899999995</v>
      </c>
    </row>
    <row r="2561" spans="2:5" x14ac:dyDescent="0.25">
      <c r="B2561" s="545">
        <v>2985</v>
      </c>
      <c r="C2561" s="545" t="s">
        <v>1061</v>
      </c>
      <c r="D2561" s="669" t="s">
        <v>7750</v>
      </c>
      <c r="E2561" s="546">
        <v>594.610004</v>
      </c>
    </row>
    <row r="2562" spans="2:5" x14ac:dyDescent="0.25">
      <c r="B2562" s="545">
        <v>2986</v>
      </c>
      <c r="C2562" s="545" t="s">
        <v>3875</v>
      </c>
      <c r="D2562" s="669" t="s">
        <v>418</v>
      </c>
      <c r="E2562" s="546">
        <v>737.33333300000004</v>
      </c>
    </row>
    <row r="2563" spans="2:5" x14ac:dyDescent="0.25">
      <c r="B2563" s="545">
        <v>2987</v>
      </c>
      <c r="C2563" s="545" t="s">
        <v>3358</v>
      </c>
      <c r="D2563" s="669" t="s">
        <v>418</v>
      </c>
      <c r="E2563" s="546">
        <v>708.88750500000003</v>
      </c>
    </row>
    <row r="2564" spans="2:5" x14ac:dyDescent="0.25">
      <c r="B2564" s="545">
        <v>2988</v>
      </c>
      <c r="C2564" s="545" t="s">
        <v>7126</v>
      </c>
      <c r="D2564" s="669" t="s">
        <v>418</v>
      </c>
      <c r="E2564" s="546">
        <v>724.56667100000004</v>
      </c>
    </row>
    <row r="2565" spans="2:5" x14ac:dyDescent="0.25">
      <c r="B2565" s="545">
        <v>2989</v>
      </c>
      <c r="C2565" s="545" t="s">
        <v>818</v>
      </c>
      <c r="D2565" s="669" t="s">
        <v>7750</v>
      </c>
      <c r="E2565" s="546">
        <v>570.54444699999999</v>
      </c>
    </row>
    <row r="2566" spans="2:5" x14ac:dyDescent="0.25">
      <c r="B2566" s="545">
        <v>2990</v>
      </c>
      <c r="C2566" s="545" t="s">
        <v>2508</v>
      </c>
      <c r="D2566" s="669" t="s">
        <v>418</v>
      </c>
      <c r="E2566" s="546">
        <v>666.02499899999998</v>
      </c>
    </row>
    <row r="2567" spans="2:5" x14ac:dyDescent="0.25">
      <c r="B2567" s="545">
        <v>2991</v>
      </c>
      <c r="C2567" s="545" t="s">
        <v>764</v>
      </c>
      <c r="D2567" s="669" t="s">
        <v>7750</v>
      </c>
      <c r="E2567" s="546">
        <v>561.37501499999996</v>
      </c>
    </row>
    <row r="2568" spans="2:5" x14ac:dyDescent="0.25">
      <c r="B2568" s="545">
        <v>2992</v>
      </c>
      <c r="C2568" s="545" t="s">
        <v>847</v>
      </c>
      <c r="D2568" s="669" t="s">
        <v>418</v>
      </c>
      <c r="E2568" s="546">
        <v>635.14285700000005</v>
      </c>
    </row>
    <row r="2569" spans="2:5" x14ac:dyDescent="0.25">
      <c r="B2569" s="545">
        <v>2993</v>
      </c>
      <c r="C2569" s="545" t="s">
        <v>984</v>
      </c>
      <c r="D2569" s="669" t="s">
        <v>7750</v>
      </c>
      <c r="E2569" s="546">
        <v>587.57999299999994</v>
      </c>
    </row>
    <row r="2570" spans="2:5" x14ac:dyDescent="0.25">
      <c r="B2570" s="545">
        <v>2994</v>
      </c>
      <c r="C2570" s="545" t="s">
        <v>1471</v>
      </c>
      <c r="D2570" s="669" t="s">
        <v>7750</v>
      </c>
      <c r="E2570" s="546">
        <v>618.75</v>
      </c>
    </row>
    <row r="2571" spans="2:5" x14ac:dyDescent="0.25">
      <c r="B2571" s="545">
        <v>2995</v>
      </c>
      <c r="C2571" s="545" t="s">
        <v>1276</v>
      </c>
      <c r="D2571" s="669" t="s">
        <v>7750</v>
      </c>
      <c r="E2571" s="546">
        <v>608.01250500000003</v>
      </c>
    </row>
    <row r="2572" spans="2:5" x14ac:dyDescent="0.25">
      <c r="B2572" s="545">
        <v>2996</v>
      </c>
      <c r="C2572" s="545" t="s">
        <v>2265</v>
      </c>
      <c r="D2572" s="669" t="s">
        <v>418</v>
      </c>
      <c r="E2572" s="546">
        <v>655.939978</v>
      </c>
    </row>
    <row r="2573" spans="2:5" x14ac:dyDescent="0.25">
      <c r="B2573" s="545">
        <v>2997</v>
      </c>
      <c r="C2573" s="545" t="s">
        <v>7190</v>
      </c>
      <c r="D2573" s="669" t="s">
        <v>7750</v>
      </c>
      <c r="E2573" s="546">
        <v>609.01667299999997</v>
      </c>
    </row>
    <row r="2574" spans="2:5" x14ac:dyDescent="0.25">
      <c r="B2574" s="545">
        <v>2998</v>
      </c>
      <c r="C2574" s="545" t="s">
        <v>1862</v>
      </c>
      <c r="D2574" s="669" t="s">
        <v>418</v>
      </c>
      <c r="E2574" s="546">
        <v>702.21874600000001</v>
      </c>
    </row>
    <row r="2575" spans="2:5" x14ac:dyDescent="0.25">
      <c r="B2575" s="545">
        <v>2999</v>
      </c>
      <c r="C2575" s="545" t="s">
        <v>1411</v>
      </c>
      <c r="D2575" s="669" t="s">
        <v>7750</v>
      </c>
      <c r="E2575" s="546">
        <v>615.97502099999997</v>
      </c>
    </row>
    <row r="2576" spans="2:5" x14ac:dyDescent="0.25">
      <c r="B2576" s="545">
        <v>3000</v>
      </c>
      <c r="C2576" s="545" t="s">
        <v>1289</v>
      </c>
      <c r="D2576" s="669" t="s">
        <v>418</v>
      </c>
      <c r="E2576" s="546">
        <v>704.05000299999995</v>
      </c>
    </row>
    <row r="2577" spans="2:5" x14ac:dyDescent="0.25">
      <c r="B2577" s="545">
        <v>3001</v>
      </c>
      <c r="C2577" s="545" t="s">
        <v>1358</v>
      </c>
      <c r="D2577" s="669" t="s">
        <v>418</v>
      </c>
      <c r="E2577" s="546">
        <v>612.94286199999999</v>
      </c>
    </row>
    <row r="2578" spans="2:5" x14ac:dyDescent="0.25">
      <c r="B2578" s="545">
        <v>3002</v>
      </c>
      <c r="C2578" s="545" t="s">
        <v>7245</v>
      </c>
      <c r="D2578" s="669" t="s">
        <v>418</v>
      </c>
      <c r="E2578" s="546">
        <v>700.86667899999998</v>
      </c>
    </row>
    <row r="2579" spans="2:5" x14ac:dyDescent="0.25">
      <c r="B2579" s="545">
        <v>3003</v>
      </c>
      <c r="C2579" s="545" t="s">
        <v>1788</v>
      </c>
      <c r="D2579" s="669" t="s">
        <v>418</v>
      </c>
      <c r="E2579" s="546">
        <v>635.59999600000003</v>
      </c>
    </row>
    <row r="2580" spans="2:5" x14ac:dyDescent="0.25">
      <c r="B2580" s="545">
        <v>3004</v>
      </c>
      <c r="C2580" s="545" t="s">
        <v>1219</v>
      </c>
      <c r="D2580" s="669" t="s">
        <v>418</v>
      </c>
      <c r="E2580" s="546">
        <v>605.09375399999999</v>
      </c>
    </row>
    <row r="2581" spans="2:5" x14ac:dyDescent="0.25">
      <c r="B2581" s="545">
        <v>3005</v>
      </c>
      <c r="C2581" s="545" t="s">
        <v>1144</v>
      </c>
      <c r="D2581" s="669" t="s">
        <v>7750</v>
      </c>
      <c r="E2581" s="546">
        <v>600.39999899999998</v>
      </c>
    </row>
    <row r="2582" spans="2:5" x14ac:dyDescent="0.25">
      <c r="B2582" s="545">
        <v>3006</v>
      </c>
      <c r="C2582" s="545" t="s">
        <v>3962</v>
      </c>
      <c r="D2582" s="669" t="s">
        <v>418</v>
      </c>
      <c r="E2582" s="546">
        <v>742.38888899999995</v>
      </c>
    </row>
    <row r="2583" spans="2:5" x14ac:dyDescent="0.25">
      <c r="B2583" s="545">
        <v>3007</v>
      </c>
      <c r="C2583" s="545" t="s">
        <v>884</v>
      </c>
      <c r="D2583" s="669" t="s">
        <v>7750</v>
      </c>
      <c r="E2583" s="546">
        <v>578</v>
      </c>
    </row>
    <row r="2584" spans="2:5" ht="14.4" x14ac:dyDescent="0.25">
      <c r="B2584" s="543">
        <v>3008</v>
      </c>
      <c r="C2584" s="545" t="s">
        <v>700</v>
      </c>
      <c r="D2584" s="669" t="s">
        <v>7750</v>
      </c>
      <c r="E2584" s="544">
        <v>549.41666699999996</v>
      </c>
    </row>
    <row r="2585" spans="2:5" ht="14.4" x14ac:dyDescent="0.25">
      <c r="B2585" s="545">
        <v>3009</v>
      </c>
      <c r="C2585" s="543" t="s">
        <v>1676</v>
      </c>
      <c r="D2585" s="669" t="s">
        <v>7750</v>
      </c>
      <c r="E2585" s="546">
        <v>630.92000700000006</v>
      </c>
    </row>
    <row r="2586" spans="2:5" x14ac:dyDescent="0.25">
      <c r="B2586" s="545">
        <v>3010</v>
      </c>
      <c r="C2586" s="545" t="s">
        <v>960</v>
      </c>
      <c r="D2586" s="669" t="s">
        <v>7750</v>
      </c>
      <c r="E2586" s="546">
        <v>584.97999900000002</v>
      </c>
    </row>
    <row r="2587" spans="2:5" x14ac:dyDescent="0.25">
      <c r="B2587" s="545">
        <v>3011</v>
      </c>
      <c r="C2587" s="545" t="s">
        <v>947</v>
      </c>
      <c r="D2587" s="669" t="s">
        <v>7750</v>
      </c>
      <c r="E2587" s="546">
        <v>583.89999399999999</v>
      </c>
    </row>
    <row r="2588" spans="2:5" x14ac:dyDescent="0.25">
      <c r="B2588" s="545">
        <v>3012</v>
      </c>
      <c r="C2588" s="545" t="s">
        <v>3934</v>
      </c>
      <c r="D2588" s="669" t="s">
        <v>418</v>
      </c>
      <c r="E2588" s="546">
        <v>740.73333700000001</v>
      </c>
    </row>
    <row r="2589" spans="2:5" x14ac:dyDescent="0.25">
      <c r="B2589" s="545">
        <v>3013</v>
      </c>
      <c r="C2589" s="545" t="s">
        <v>7284</v>
      </c>
      <c r="D2589" s="669" t="s">
        <v>7750</v>
      </c>
      <c r="E2589" s="546">
        <v>614.01666299999999</v>
      </c>
    </row>
    <row r="2590" spans="2:5" x14ac:dyDescent="0.25">
      <c r="B2590" s="545">
        <v>3014</v>
      </c>
      <c r="C2590" s="545" t="s">
        <v>1354</v>
      </c>
      <c r="D2590" s="669" t="s">
        <v>418</v>
      </c>
      <c r="E2590" s="546">
        <v>612.65000899999995</v>
      </c>
    </row>
    <row r="2591" spans="2:5" x14ac:dyDescent="0.25">
      <c r="B2591" s="545">
        <v>3015</v>
      </c>
      <c r="C2591" s="545" t="s">
        <v>2292</v>
      </c>
      <c r="D2591" s="669" t="s">
        <v>418</v>
      </c>
      <c r="E2591" s="546">
        <v>657</v>
      </c>
    </row>
    <row r="2592" spans="2:5" x14ac:dyDescent="0.25">
      <c r="B2592" s="545">
        <v>3016</v>
      </c>
      <c r="C2592" s="545" t="s">
        <v>1124</v>
      </c>
      <c r="D2592" s="669" t="s">
        <v>418</v>
      </c>
      <c r="E2592" s="546">
        <v>599.31666600000005</v>
      </c>
    </row>
    <row r="2593" spans="2:5" x14ac:dyDescent="0.25">
      <c r="B2593" s="545">
        <v>3018</v>
      </c>
      <c r="C2593" s="545" t="s">
        <v>835</v>
      </c>
      <c r="D2593" s="669" t="s">
        <v>7750</v>
      </c>
      <c r="E2593" s="546">
        <v>573.385716</v>
      </c>
    </row>
    <row r="2594" spans="2:5" x14ac:dyDescent="0.25">
      <c r="B2594" s="545">
        <v>3019</v>
      </c>
      <c r="C2594" s="545" t="s">
        <v>1315</v>
      </c>
      <c r="D2594" s="669" t="s">
        <v>7750</v>
      </c>
      <c r="E2594" s="546">
        <v>610.5</v>
      </c>
    </row>
    <row r="2595" spans="2:5" x14ac:dyDescent="0.25">
      <c r="B2595" s="545">
        <v>3020</v>
      </c>
      <c r="C2595" s="545" t="s">
        <v>839</v>
      </c>
      <c r="D2595" s="669" t="s">
        <v>7750</v>
      </c>
      <c r="E2595" s="546">
        <v>573.759998</v>
      </c>
    </row>
    <row r="2596" spans="2:5" x14ac:dyDescent="0.25">
      <c r="B2596" s="545">
        <v>3021</v>
      </c>
      <c r="C2596" s="545" t="s">
        <v>1867</v>
      </c>
      <c r="D2596" s="669" t="s">
        <v>418</v>
      </c>
      <c r="E2596" s="546">
        <v>638.63749700000005</v>
      </c>
    </row>
    <row r="2597" spans="2:5" x14ac:dyDescent="0.25">
      <c r="B2597" s="545">
        <v>3022</v>
      </c>
      <c r="C2597" s="545" t="s">
        <v>924</v>
      </c>
      <c r="D2597" s="669" t="s">
        <v>7750</v>
      </c>
      <c r="E2597" s="546">
        <v>582.13748899999996</v>
      </c>
    </row>
    <row r="2598" spans="2:5" x14ac:dyDescent="0.25">
      <c r="B2598" s="545">
        <v>3023</v>
      </c>
      <c r="C2598" s="545" t="s">
        <v>865</v>
      </c>
      <c r="D2598" s="669" t="s">
        <v>7750</v>
      </c>
      <c r="E2598" s="546">
        <v>575.94286199999999</v>
      </c>
    </row>
    <row r="2599" spans="2:5" x14ac:dyDescent="0.25">
      <c r="B2599" s="545">
        <v>3024</v>
      </c>
      <c r="C2599" s="545" t="s">
        <v>1527</v>
      </c>
      <c r="D2599" s="669" t="s">
        <v>418</v>
      </c>
      <c r="E2599" s="546">
        <v>621.89523799999995</v>
      </c>
    </row>
    <row r="2600" spans="2:5" x14ac:dyDescent="0.25">
      <c r="B2600" s="545">
        <v>3025</v>
      </c>
      <c r="C2600" s="545" t="s">
        <v>7408</v>
      </c>
      <c r="D2600" s="669" t="s">
        <v>7750</v>
      </c>
      <c r="E2600" s="546">
        <v>599.18750799999998</v>
      </c>
    </row>
    <row r="2601" spans="2:5" x14ac:dyDescent="0.25">
      <c r="B2601" s="545">
        <v>3026</v>
      </c>
      <c r="C2601" s="545" t="s">
        <v>1493</v>
      </c>
      <c r="D2601" s="669" t="s">
        <v>7750</v>
      </c>
      <c r="E2601" s="546">
        <v>619.76667299999997</v>
      </c>
    </row>
    <row r="2602" spans="2:5" x14ac:dyDescent="0.25">
      <c r="B2602" s="545">
        <v>3027</v>
      </c>
      <c r="C2602" s="545" t="s">
        <v>6725</v>
      </c>
      <c r="D2602" s="669" t="s">
        <v>418</v>
      </c>
      <c r="E2602" s="546">
        <v>711.70000200000004</v>
      </c>
    </row>
    <row r="2603" spans="2:5" x14ac:dyDescent="0.25">
      <c r="B2603" s="545">
        <v>3028</v>
      </c>
      <c r="C2603" s="545" t="s">
        <v>3462</v>
      </c>
      <c r="D2603" s="669" t="s">
        <v>418</v>
      </c>
      <c r="E2603" s="546">
        <v>713.93998999999997</v>
      </c>
    </row>
    <row r="2604" spans="2:5" x14ac:dyDescent="0.25">
      <c r="B2604" s="545">
        <v>3029</v>
      </c>
      <c r="C2604" s="545" t="s">
        <v>2353</v>
      </c>
      <c r="D2604" s="669" t="s">
        <v>418</v>
      </c>
      <c r="E2604" s="546">
        <v>659.70624899999996</v>
      </c>
    </row>
    <row r="2605" spans="2:5" x14ac:dyDescent="0.25">
      <c r="B2605" s="545">
        <v>3030</v>
      </c>
      <c r="C2605" s="545" t="s">
        <v>687</v>
      </c>
      <c r="D2605" s="669" t="s">
        <v>7750</v>
      </c>
      <c r="E2605" s="546">
        <v>569.32499700000005</v>
      </c>
    </row>
    <row r="2606" spans="2:5" x14ac:dyDescent="0.25">
      <c r="B2606" s="545">
        <v>3031</v>
      </c>
      <c r="C2606" s="545" t="s">
        <v>894</v>
      </c>
      <c r="D2606" s="669" t="s">
        <v>418</v>
      </c>
      <c r="E2606" s="546">
        <v>579.22000700000001</v>
      </c>
    </row>
    <row r="2607" spans="2:5" x14ac:dyDescent="0.25">
      <c r="B2607" s="545">
        <v>3032</v>
      </c>
      <c r="C2607" s="545" t="s">
        <v>1553</v>
      </c>
      <c r="D2607" s="669" t="s">
        <v>7750</v>
      </c>
      <c r="E2607" s="546">
        <v>623.89999399999999</v>
      </c>
    </row>
    <row r="2608" spans="2:5" x14ac:dyDescent="0.25">
      <c r="B2608" s="545">
        <v>3033</v>
      </c>
      <c r="C2608" s="545" t="s">
        <v>3870</v>
      </c>
      <c r="D2608" s="669" t="s">
        <v>418</v>
      </c>
      <c r="E2608" s="546">
        <v>736.76002200000005</v>
      </c>
    </row>
    <row r="2609" spans="2:5" x14ac:dyDescent="0.25">
      <c r="B2609" s="545">
        <v>3034</v>
      </c>
      <c r="C2609" s="545" t="s">
        <v>3951</v>
      </c>
      <c r="D2609" s="669" t="s">
        <v>418</v>
      </c>
      <c r="E2609" s="546">
        <v>741.55999799999995</v>
      </c>
    </row>
    <row r="2610" spans="2:5" x14ac:dyDescent="0.25">
      <c r="B2610" s="545">
        <v>3035</v>
      </c>
      <c r="C2610" s="545" t="s">
        <v>888</v>
      </c>
      <c r="D2610" s="669" t="s">
        <v>7750</v>
      </c>
      <c r="E2610" s="546">
        <v>578.61999500000002</v>
      </c>
    </row>
    <row r="2611" spans="2:5" x14ac:dyDescent="0.25">
      <c r="B2611" s="545">
        <v>3036</v>
      </c>
      <c r="C2611" s="545" t="s">
        <v>3356</v>
      </c>
      <c r="D2611" s="669" t="s">
        <v>418</v>
      </c>
      <c r="E2611" s="546">
        <v>708.776926</v>
      </c>
    </row>
    <row r="2612" spans="2:5" x14ac:dyDescent="0.25">
      <c r="B2612" s="545">
        <v>3037</v>
      </c>
      <c r="C2612" s="545" t="s">
        <v>1062</v>
      </c>
      <c r="D2612" s="669" t="s">
        <v>7750</v>
      </c>
      <c r="E2612" s="546">
        <v>594.64001499999995</v>
      </c>
    </row>
    <row r="2613" spans="2:5" x14ac:dyDescent="0.25">
      <c r="B2613" s="545">
        <v>3038</v>
      </c>
      <c r="C2613" s="545" t="s">
        <v>1775</v>
      </c>
      <c r="D2613" s="669" t="s">
        <v>418</v>
      </c>
      <c r="E2613" s="546">
        <v>635.19998199999998</v>
      </c>
    </row>
    <row r="2614" spans="2:5" x14ac:dyDescent="0.25">
      <c r="B2614" s="545">
        <v>3039</v>
      </c>
      <c r="C2614" s="545" t="s">
        <v>1180</v>
      </c>
      <c r="D2614" s="669" t="s">
        <v>418</v>
      </c>
      <c r="E2614" s="546">
        <v>604.42857100000003</v>
      </c>
    </row>
    <row r="2615" spans="2:5" x14ac:dyDescent="0.25">
      <c r="B2615" s="545">
        <v>3040</v>
      </c>
      <c r="C2615" s="545" t="s">
        <v>3232</v>
      </c>
      <c r="D2615" s="669" t="s">
        <v>418</v>
      </c>
      <c r="E2615" s="546">
        <v>702.64000899999996</v>
      </c>
    </row>
    <row r="2616" spans="2:5" x14ac:dyDescent="0.25">
      <c r="B2616" s="545">
        <v>3041</v>
      </c>
      <c r="C2616" s="545" t="s">
        <v>2902</v>
      </c>
      <c r="D2616" s="669" t="s">
        <v>418</v>
      </c>
      <c r="E2616" s="546">
        <v>686.05999799999995</v>
      </c>
    </row>
    <row r="2617" spans="2:5" x14ac:dyDescent="0.25">
      <c r="B2617" s="545">
        <v>3042</v>
      </c>
      <c r="C2617" s="545" t="s">
        <v>1011</v>
      </c>
      <c r="D2617" s="669" t="s">
        <v>418</v>
      </c>
      <c r="E2617" s="546">
        <v>590.30000800000005</v>
      </c>
    </row>
    <row r="2618" spans="2:5" x14ac:dyDescent="0.25">
      <c r="B2618" s="545">
        <v>3043</v>
      </c>
      <c r="C2618" s="545" t="s">
        <v>1458</v>
      </c>
      <c r="D2618" s="669" t="s">
        <v>418</v>
      </c>
      <c r="E2618" s="546">
        <v>618.20000000000005</v>
      </c>
    </row>
    <row r="2619" spans="2:5" x14ac:dyDescent="0.25">
      <c r="B2619" s="545">
        <v>3044</v>
      </c>
      <c r="C2619" s="545" t="s">
        <v>7517</v>
      </c>
      <c r="D2619" s="669" t="s">
        <v>418</v>
      </c>
      <c r="E2619" s="546">
        <v>652.67500299999995</v>
      </c>
    </row>
    <row r="2620" spans="2:5" x14ac:dyDescent="0.25">
      <c r="B2620" s="545">
        <v>3045</v>
      </c>
      <c r="C2620" s="545" t="s">
        <v>1033</v>
      </c>
      <c r="D2620" s="669" t="s">
        <v>7750</v>
      </c>
      <c r="E2620" s="546">
        <v>592.27000699999996</v>
      </c>
    </row>
    <row r="2621" spans="2:5" x14ac:dyDescent="0.25">
      <c r="B2621" s="545">
        <v>3046</v>
      </c>
      <c r="C2621" s="545" t="s">
        <v>1242</v>
      </c>
      <c r="D2621" s="669" t="s">
        <v>7750</v>
      </c>
      <c r="E2621" s="546">
        <v>606.25000599999998</v>
      </c>
    </row>
    <row r="2622" spans="2:5" x14ac:dyDescent="0.25">
      <c r="B2622" s="545">
        <v>3047</v>
      </c>
      <c r="C2622" s="545" t="s">
        <v>882</v>
      </c>
      <c r="D2622" s="669" t="s">
        <v>7750</v>
      </c>
      <c r="E2622" s="546">
        <v>577.92000099999996</v>
      </c>
    </row>
    <row r="2623" spans="2:5" x14ac:dyDescent="0.25">
      <c r="B2623" s="545">
        <v>3048</v>
      </c>
      <c r="C2623" s="545" t="s">
        <v>3403</v>
      </c>
      <c r="D2623" s="669" t="s">
        <v>418</v>
      </c>
      <c r="E2623" s="546">
        <v>711.13635799999997</v>
      </c>
    </row>
    <row r="2624" spans="2:5" x14ac:dyDescent="0.25">
      <c r="B2624" s="545">
        <v>3049</v>
      </c>
      <c r="C2624" s="545" t="s">
        <v>2069</v>
      </c>
      <c r="D2624" s="669" t="s">
        <v>7750</v>
      </c>
      <c r="E2624" s="546">
        <v>646.26250500000003</v>
      </c>
    </row>
    <row r="2625" spans="2:5" x14ac:dyDescent="0.25">
      <c r="B2625" s="545">
        <v>3050</v>
      </c>
      <c r="C2625" s="545" t="s">
        <v>850</v>
      </c>
      <c r="D2625" s="669" t="s">
        <v>7750</v>
      </c>
      <c r="E2625" s="546">
        <v>574.80001800000002</v>
      </c>
    </row>
    <row r="2626" spans="2:5" x14ac:dyDescent="0.25">
      <c r="B2626" s="545">
        <v>3051</v>
      </c>
      <c r="C2626" s="545" t="s">
        <v>759</v>
      </c>
      <c r="D2626" s="669" t="s">
        <v>7750</v>
      </c>
      <c r="E2626" s="546">
        <v>560.29998799999998</v>
      </c>
    </row>
    <row r="2627" spans="2:5" x14ac:dyDescent="0.25">
      <c r="B2627" s="545">
        <v>3052</v>
      </c>
      <c r="C2627" s="545" t="s">
        <v>1402</v>
      </c>
      <c r="D2627" s="669" t="s">
        <v>7750</v>
      </c>
      <c r="E2627" s="546">
        <v>615.11111100000005</v>
      </c>
    </row>
    <row r="2628" spans="2:5" x14ac:dyDescent="0.25">
      <c r="B2628" s="545">
        <v>3053</v>
      </c>
      <c r="C2628" s="545" t="s">
        <v>1101</v>
      </c>
      <c r="D2628" s="669" t="s">
        <v>7750</v>
      </c>
      <c r="E2628" s="546">
        <v>597.71666500000003</v>
      </c>
    </row>
    <row r="2629" spans="2:5" x14ac:dyDescent="0.25">
      <c r="B2629" s="545">
        <v>3054</v>
      </c>
      <c r="C2629" s="545" t="s">
        <v>2723</v>
      </c>
      <c r="D2629" s="669" t="s">
        <v>418</v>
      </c>
      <c r="E2629" s="546">
        <v>677.01333399999999</v>
      </c>
    </row>
    <row r="2630" spans="2:5" x14ac:dyDescent="0.25">
      <c r="B2630" s="545">
        <v>3055</v>
      </c>
      <c r="C2630" s="545" t="s">
        <v>983</v>
      </c>
      <c r="D2630" s="669" t="s">
        <v>7750</v>
      </c>
      <c r="E2630" s="546">
        <v>587.56664999999998</v>
      </c>
    </row>
    <row r="2631" spans="2:5" x14ac:dyDescent="0.25">
      <c r="B2631" s="545">
        <v>3056</v>
      </c>
      <c r="C2631" s="545" t="s">
        <v>4153</v>
      </c>
      <c r="D2631" s="669" t="s">
        <v>418</v>
      </c>
      <c r="E2631" s="546">
        <v>755.05999799999995</v>
      </c>
    </row>
    <row r="2632" spans="2:5" x14ac:dyDescent="0.25">
      <c r="B2632" s="545">
        <v>3057</v>
      </c>
      <c r="C2632" s="545" t="s">
        <v>7574</v>
      </c>
      <c r="D2632" s="669" t="s">
        <v>418</v>
      </c>
      <c r="E2632" s="546">
        <v>716.61999500000002</v>
      </c>
    </row>
    <row r="2633" spans="2:5" x14ac:dyDescent="0.25">
      <c r="B2633" s="545">
        <v>3058</v>
      </c>
      <c r="C2633" s="545" t="s">
        <v>1115</v>
      </c>
      <c r="D2633" s="669" t="s">
        <v>7750</v>
      </c>
      <c r="E2633" s="546">
        <v>598.56664999999998</v>
      </c>
    </row>
    <row r="2634" spans="2:5" x14ac:dyDescent="0.25">
      <c r="B2634" s="545">
        <v>3059</v>
      </c>
      <c r="C2634" s="545" t="s">
        <v>1086</v>
      </c>
      <c r="D2634" s="669" t="s">
        <v>7750</v>
      </c>
      <c r="E2634" s="546">
        <v>596.59999600000003</v>
      </c>
    </row>
    <row r="2635" spans="2:5" x14ac:dyDescent="0.25">
      <c r="B2635" s="545">
        <v>3060</v>
      </c>
      <c r="C2635" s="545" t="s">
        <v>3835</v>
      </c>
      <c r="D2635" s="669" t="s">
        <v>418</v>
      </c>
      <c r="E2635" s="546">
        <v>734.88748899999996</v>
      </c>
    </row>
    <row r="2636" spans="2:5" x14ac:dyDescent="0.25">
      <c r="B2636" s="545">
        <v>3061</v>
      </c>
      <c r="C2636" s="545" t="s">
        <v>1353</v>
      </c>
      <c r="D2636" s="669" t="s">
        <v>7750</v>
      </c>
      <c r="E2636" s="546">
        <v>612.60000100000002</v>
      </c>
    </row>
    <row r="2637" spans="2:5" x14ac:dyDescent="0.25">
      <c r="B2637" s="545">
        <v>3062</v>
      </c>
      <c r="C2637" s="545" t="s">
        <v>909</v>
      </c>
      <c r="D2637" s="669" t="s">
        <v>7750</v>
      </c>
      <c r="E2637" s="546">
        <v>580.49999500000001</v>
      </c>
    </row>
    <row r="2638" spans="2:5" x14ac:dyDescent="0.25">
      <c r="B2638" s="545">
        <v>3063</v>
      </c>
      <c r="C2638" s="545" t="s">
        <v>1139</v>
      </c>
      <c r="D2638" s="669" t="s">
        <v>7750</v>
      </c>
      <c r="E2638" s="546">
        <v>600.1</v>
      </c>
    </row>
    <row r="2639" spans="2:5" x14ac:dyDescent="0.25">
      <c r="B2639" s="545">
        <v>3064</v>
      </c>
      <c r="C2639" s="545" t="s">
        <v>1012</v>
      </c>
      <c r="D2639" s="669" t="s">
        <v>418</v>
      </c>
      <c r="E2639" s="546">
        <v>703.42941499999995</v>
      </c>
    </row>
    <row r="2640" spans="2:5" x14ac:dyDescent="0.25">
      <c r="B2640" s="545">
        <v>3065</v>
      </c>
      <c r="C2640" s="545" t="s">
        <v>868</v>
      </c>
      <c r="D2640" s="669" t="s">
        <v>7750</v>
      </c>
      <c r="E2640" s="546">
        <v>576.51666299999999</v>
      </c>
    </row>
    <row r="2641" spans="2:5" x14ac:dyDescent="0.25">
      <c r="B2641" s="545">
        <v>3066</v>
      </c>
      <c r="C2641" s="545" t="s">
        <v>2140</v>
      </c>
      <c r="D2641" s="669" t="s">
        <v>418</v>
      </c>
      <c r="E2641" s="546">
        <v>650.34444900000005</v>
      </c>
    </row>
    <row r="2642" spans="2:5" x14ac:dyDescent="0.25">
      <c r="B2642" s="545">
        <v>3067</v>
      </c>
      <c r="C2642" s="545" t="s">
        <v>3823</v>
      </c>
      <c r="D2642" s="669" t="s">
        <v>418</v>
      </c>
      <c r="E2642" s="546">
        <v>734.03749800000003</v>
      </c>
    </row>
    <row r="2643" spans="2:5" x14ac:dyDescent="0.25">
      <c r="B2643" s="545">
        <v>3068</v>
      </c>
      <c r="C2643" s="545" t="s">
        <v>1268</v>
      </c>
      <c r="D2643" s="669" t="s">
        <v>418</v>
      </c>
      <c r="E2643" s="546">
        <v>607.55713800000001</v>
      </c>
    </row>
    <row r="2644" spans="2:5" x14ac:dyDescent="0.25">
      <c r="B2644" s="545">
        <v>3069</v>
      </c>
      <c r="C2644" s="545" t="s">
        <v>6715</v>
      </c>
      <c r="D2644" s="669" t="s">
        <v>418</v>
      </c>
      <c r="E2644" s="546">
        <v>721.5625</v>
      </c>
    </row>
    <row r="2645" spans="2:5" x14ac:dyDescent="0.25">
      <c r="B2645" s="545">
        <v>3070</v>
      </c>
      <c r="C2645" s="545" t="s">
        <v>4006</v>
      </c>
      <c r="D2645" s="669" t="s">
        <v>418</v>
      </c>
      <c r="E2645" s="546">
        <v>745.21666500000003</v>
      </c>
    </row>
    <row r="2646" spans="2:5" x14ac:dyDescent="0.25">
      <c r="B2646" s="545">
        <v>3071</v>
      </c>
      <c r="C2646" s="545" t="s">
        <v>3554</v>
      </c>
      <c r="D2646" s="669" t="s">
        <v>418</v>
      </c>
      <c r="E2646" s="546">
        <v>718.89999399999999</v>
      </c>
    </row>
    <row r="2647" spans="2:5" x14ac:dyDescent="0.25">
      <c r="B2647" s="545">
        <v>3101</v>
      </c>
      <c r="C2647" s="545" t="s">
        <v>1579</v>
      </c>
      <c r="D2647" s="669" t="s">
        <v>418</v>
      </c>
      <c r="E2647" s="546">
        <v>625.29999999999995</v>
      </c>
    </row>
    <row r="2648" spans="2:5" x14ac:dyDescent="0.25">
      <c r="B2648" s="545">
        <v>3102</v>
      </c>
      <c r="C2648" s="545" t="s">
        <v>1480</v>
      </c>
      <c r="D2648" s="669" t="s">
        <v>418</v>
      </c>
      <c r="E2648" s="546">
        <v>628.822225</v>
      </c>
    </row>
    <row r="2649" spans="2:5" x14ac:dyDescent="0.25">
      <c r="B2649" s="545">
        <v>3103</v>
      </c>
      <c r="C2649" s="545" t="s">
        <v>1811</v>
      </c>
      <c r="D2649" s="669" t="s">
        <v>418</v>
      </c>
      <c r="E2649" s="546">
        <v>636.5</v>
      </c>
    </row>
    <row r="2650" spans="2:5" x14ac:dyDescent="0.25">
      <c r="B2650" s="545">
        <v>3104</v>
      </c>
      <c r="C2650" s="545" t="s">
        <v>1984</v>
      </c>
      <c r="D2650" s="669" t="s">
        <v>418</v>
      </c>
      <c r="E2650" s="546">
        <v>642.84001499999999</v>
      </c>
    </row>
    <row r="2651" spans="2:5" x14ac:dyDescent="0.25">
      <c r="B2651" s="545">
        <v>3105</v>
      </c>
      <c r="C2651" s="545" t="s">
        <v>418</v>
      </c>
      <c r="D2651" s="669" t="s">
        <v>418</v>
      </c>
      <c r="E2651" s="546">
        <v>645.79333499999996</v>
      </c>
    </row>
    <row r="2652" spans="2:5" x14ac:dyDescent="0.25">
      <c r="B2652" s="545">
        <v>3106</v>
      </c>
      <c r="C2652" s="545" t="s">
        <v>1545</v>
      </c>
      <c r="D2652" s="669" t="s">
        <v>418</v>
      </c>
      <c r="E2652" s="546">
        <v>623.305879</v>
      </c>
    </row>
    <row r="2653" spans="2:5" x14ac:dyDescent="0.25">
      <c r="B2653" s="545">
        <v>3107</v>
      </c>
      <c r="C2653" s="545" t="s">
        <v>2347</v>
      </c>
      <c r="D2653" s="669" t="s">
        <v>418</v>
      </c>
      <c r="E2653" s="546">
        <v>659.43333900000005</v>
      </c>
    </row>
    <row r="2654" spans="2:5" x14ac:dyDescent="0.25">
      <c r="B2654" s="545">
        <v>3108</v>
      </c>
      <c r="C2654" s="545" t="s">
        <v>1960</v>
      </c>
      <c r="D2654" s="669" t="s">
        <v>418</v>
      </c>
      <c r="E2654" s="546">
        <v>642.04999099999998</v>
      </c>
    </row>
    <row r="2655" spans="2:5" x14ac:dyDescent="0.25">
      <c r="B2655" s="545">
        <v>3109</v>
      </c>
      <c r="C2655" s="545" t="s">
        <v>1622</v>
      </c>
      <c r="D2655" s="669" t="s">
        <v>418</v>
      </c>
      <c r="E2655" s="546">
        <v>627.62498500000004</v>
      </c>
    </row>
    <row r="2656" spans="2:5" x14ac:dyDescent="0.25">
      <c r="B2656" s="545">
        <v>3110</v>
      </c>
      <c r="C2656" s="545" t="s">
        <v>1510</v>
      </c>
      <c r="D2656" s="669" t="s">
        <v>418</v>
      </c>
      <c r="E2656" s="546">
        <v>621.125</v>
      </c>
    </row>
    <row r="2657" spans="2:5" x14ac:dyDescent="0.25">
      <c r="B2657" s="545">
        <v>3111</v>
      </c>
      <c r="C2657" s="545" t="s">
        <v>2242</v>
      </c>
      <c r="D2657" s="669" t="s">
        <v>418</v>
      </c>
      <c r="E2657" s="546">
        <v>654.88750500000003</v>
      </c>
    </row>
    <row r="2658" spans="2:5" x14ac:dyDescent="0.25">
      <c r="B2658" s="545">
        <v>3112</v>
      </c>
      <c r="C2658" s="545" t="s">
        <v>1518</v>
      </c>
      <c r="D2658" s="669" t="s">
        <v>418</v>
      </c>
      <c r="E2658" s="546">
        <v>621.56667100000004</v>
      </c>
    </row>
    <row r="2659" spans="2:5" x14ac:dyDescent="0.25">
      <c r="B2659" s="545">
        <v>3113</v>
      </c>
      <c r="C2659" s="545" t="s">
        <v>995</v>
      </c>
      <c r="D2659" s="669" t="s">
        <v>418</v>
      </c>
      <c r="E2659" s="546">
        <v>588.66667700000005</v>
      </c>
    </row>
    <row r="2660" spans="2:5" x14ac:dyDescent="0.25">
      <c r="B2660" s="545">
        <v>3114</v>
      </c>
      <c r="C2660" s="545" t="s">
        <v>1577</v>
      </c>
      <c r="D2660" s="669" t="s">
        <v>418</v>
      </c>
      <c r="E2660" s="546">
        <v>625.09999600000003</v>
      </c>
    </row>
    <row r="2661" spans="2:5" x14ac:dyDescent="0.25">
      <c r="B2661" s="545">
        <v>3115</v>
      </c>
      <c r="C2661" s="545" t="s">
        <v>1908</v>
      </c>
      <c r="D2661" s="669" t="s">
        <v>418</v>
      </c>
      <c r="E2661" s="546">
        <v>640.19999399999995</v>
      </c>
    </row>
    <row r="2662" spans="2:5" x14ac:dyDescent="0.25">
      <c r="B2662" s="545">
        <v>3116</v>
      </c>
      <c r="C2662" s="545" t="s">
        <v>1501</v>
      </c>
      <c r="D2662" s="669" t="s">
        <v>418</v>
      </c>
      <c r="E2662" s="546">
        <v>625.95455100000004</v>
      </c>
    </row>
    <row r="2663" spans="2:5" x14ac:dyDescent="0.25">
      <c r="B2663" s="545">
        <v>3117</v>
      </c>
      <c r="C2663" s="545" t="s">
        <v>1191</v>
      </c>
      <c r="D2663" s="669" t="s">
        <v>418</v>
      </c>
      <c r="E2663" s="546">
        <v>603.48750299999995</v>
      </c>
    </row>
    <row r="2664" spans="2:5" x14ac:dyDescent="0.25">
      <c r="B2664" s="545">
        <v>3118</v>
      </c>
      <c r="C2664" s="545" t="s">
        <v>1735</v>
      </c>
      <c r="D2664" s="669" t="s">
        <v>418</v>
      </c>
      <c r="E2664" s="546">
        <v>633.67778199999998</v>
      </c>
    </row>
    <row r="2665" spans="2:5" x14ac:dyDescent="0.25">
      <c r="B2665" s="545">
        <v>3119</v>
      </c>
      <c r="C2665" s="545" t="s">
        <v>1266</v>
      </c>
      <c r="D2665" s="669" t="s">
        <v>418</v>
      </c>
      <c r="E2665" s="546">
        <v>607.32500500000003</v>
      </c>
    </row>
    <row r="2666" spans="2:5" x14ac:dyDescent="0.25">
      <c r="B2666" s="545">
        <v>3120</v>
      </c>
      <c r="C2666" s="545" t="s">
        <v>6594</v>
      </c>
      <c r="D2666" s="669" t="s">
        <v>418</v>
      </c>
      <c r="E2666" s="546">
        <v>640.70768899999996</v>
      </c>
    </row>
    <row r="2667" spans="2:5" x14ac:dyDescent="0.25">
      <c r="B2667" s="545">
        <v>3121</v>
      </c>
      <c r="C2667" s="545" t="s">
        <v>1076</v>
      </c>
      <c r="D2667" s="669" t="s">
        <v>418</v>
      </c>
      <c r="E2667" s="546">
        <v>637.33333300000004</v>
      </c>
    </row>
    <row r="2668" spans="2:5" x14ac:dyDescent="0.25">
      <c r="B2668" s="545">
        <v>3122</v>
      </c>
      <c r="C2668" s="545" t="s">
        <v>2547</v>
      </c>
      <c r="D2668" s="669" t="s">
        <v>418</v>
      </c>
      <c r="E2668" s="546">
        <v>668.31999499999995</v>
      </c>
    </row>
    <row r="2669" spans="2:5" x14ac:dyDescent="0.25">
      <c r="B2669" s="545">
        <v>3123</v>
      </c>
      <c r="C2669" s="545" t="s">
        <v>6598</v>
      </c>
      <c r="D2669" s="669" t="s">
        <v>418</v>
      </c>
      <c r="E2669" s="546">
        <v>636.01666799999998</v>
      </c>
    </row>
    <row r="2670" spans="2:5" x14ac:dyDescent="0.25">
      <c r="B2670" s="545">
        <v>3124</v>
      </c>
      <c r="C2670" s="545" t="s">
        <v>6614</v>
      </c>
      <c r="D2670" s="669" t="s">
        <v>418</v>
      </c>
      <c r="E2670" s="546">
        <v>567.17498799999998</v>
      </c>
    </row>
    <row r="2671" spans="2:5" x14ac:dyDescent="0.25">
      <c r="B2671" s="545">
        <v>3125</v>
      </c>
      <c r="C2671" s="545" t="s">
        <v>1650</v>
      </c>
      <c r="D2671" s="669" t="s">
        <v>418</v>
      </c>
      <c r="E2671" s="546">
        <v>629.07499700000005</v>
      </c>
    </row>
    <row r="2672" spans="2:5" x14ac:dyDescent="0.25">
      <c r="B2672" s="545">
        <v>3126</v>
      </c>
      <c r="C2672" s="545" t="s">
        <v>1749</v>
      </c>
      <c r="D2672" s="669" t="s">
        <v>418</v>
      </c>
      <c r="E2672" s="546">
        <v>634.10000600000001</v>
      </c>
    </row>
    <row r="2673" spans="2:5" x14ac:dyDescent="0.25">
      <c r="B2673" s="545">
        <v>3127</v>
      </c>
      <c r="C2673" s="545" t="s">
        <v>2595</v>
      </c>
      <c r="D2673" s="669" t="s">
        <v>418</v>
      </c>
      <c r="E2673" s="546">
        <v>670.54545499999995</v>
      </c>
    </row>
    <row r="2674" spans="2:5" x14ac:dyDescent="0.25">
      <c r="B2674" s="545">
        <v>3128</v>
      </c>
      <c r="C2674" s="545" t="s">
        <v>1575</v>
      </c>
      <c r="D2674" s="669" t="s">
        <v>418</v>
      </c>
      <c r="E2674" s="546">
        <v>624.95001200000002</v>
      </c>
    </row>
    <row r="2675" spans="2:5" x14ac:dyDescent="0.25">
      <c r="B2675" s="545">
        <v>3129</v>
      </c>
      <c r="C2675" s="545" t="s">
        <v>798</v>
      </c>
      <c r="D2675" s="669" t="s">
        <v>418</v>
      </c>
      <c r="E2675" s="546">
        <v>566.78333499999997</v>
      </c>
    </row>
    <row r="2676" spans="2:5" x14ac:dyDescent="0.25">
      <c r="B2676" s="545">
        <v>3130</v>
      </c>
      <c r="C2676" s="545" t="s">
        <v>824</v>
      </c>
      <c r="D2676" s="669" t="s">
        <v>418</v>
      </c>
      <c r="E2676" s="546">
        <v>571.85000600000001</v>
      </c>
    </row>
    <row r="2677" spans="2:5" x14ac:dyDescent="0.25">
      <c r="B2677" s="545">
        <v>3131</v>
      </c>
      <c r="C2677" s="545" t="s">
        <v>2571</v>
      </c>
      <c r="D2677" s="669" t="s">
        <v>418</v>
      </c>
      <c r="E2677" s="546">
        <v>669.15999799999997</v>
      </c>
    </row>
    <row r="2678" spans="2:5" x14ac:dyDescent="0.25">
      <c r="B2678" s="545">
        <v>3132</v>
      </c>
      <c r="C2678" s="545" t="s">
        <v>1877</v>
      </c>
      <c r="D2678" s="669" t="s">
        <v>418</v>
      </c>
      <c r="E2678" s="546">
        <v>639.08124499999997</v>
      </c>
    </row>
    <row r="2679" spans="2:5" x14ac:dyDescent="0.25">
      <c r="B2679" s="545">
        <v>3133</v>
      </c>
      <c r="C2679" s="545" t="s">
        <v>2348</v>
      </c>
      <c r="D2679" s="669" t="s">
        <v>418</v>
      </c>
      <c r="E2679" s="546">
        <v>659.45384799999999</v>
      </c>
    </row>
    <row r="2680" spans="2:5" x14ac:dyDescent="0.25">
      <c r="B2680" s="545">
        <v>3134</v>
      </c>
      <c r="C2680" s="545" t="s">
        <v>2019</v>
      </c>
      <c r="D2680" s="669" t="s">
        <v>418</v>
      </c>
      <c r="E2680" s="546">
        <v>643.95001200000002</v>
      </c>
    </row>
    <row r="2681" spans="2:5" x14ac:dyDescent="0.25">
      <c r="B2681" s="545">
        <v>3135</v>
      </c>
      <c r="C2681" s="545" t="s">
        <v>883</v>
      </c>
      <c r="D2681" s="669" t="s">
        <v>418</v>
      </c>
      <c r="E2681" s="546">
        <v>644.89999799999998</v>
      </c>
    </row>
    <row r="2682" spans="2:5" x14ac:dyDescent="0.25">
      <c r="B2682" s="545">
        <v>3136</v>
      </c>
      <c r="C2682" s="545" t="s">
        <v>1435</v>
      </c>
      <c r="D2682" s="669" t="s">
        <v>418</v>
      </c>
      <c r="E2682" s="546">
        <v>617.02220999999997</v>
      </c>
    </row>
    <row r="2683" spans="2:5" x14ac:dyDescent="0.25">
      <c r="B2683" s="545">
        <v>3137</v>
      </c>
      <c r="C2683" s="545" t="s">
        <v>1746</v>
      </c>
      <c r="D2683" s="669" t="s">
        <v>418</v>
      </c>
      <c r="E2683" s="546">
        <v>633.9375</v>
      </c>
    </row>
    <row r="2684" spans="2:5" x14ac:dyDescent="0.25">
      <c r="B2684" s="545">
        <v>3138</v>
      </c>
      <c r="C2684" s="545" t="s">
        <v>1228</v>
      </c>
      <c r="D2684" s="669" t="s">
        <v>418</v>
      </c>
      <c r="E2684" s="546">
        <v>636.77499399999999</v>
      </c>
    </row>
    <row r="2685" spans="2:5" x14ac:dyDescent="0.25">
      <c r="B2685" s="545">
        <v>3139</v>
      </c>
      <c r="C2685" s="545" t="s">
        <v>1764</v>
      </c>
      <c r="D2685" s="669" t="s">
        <v>418</v>
      </c>
      <c r="E2685" s="546">
        <v>634.66666199999997</v>
      </c>
    </row>
    <row r="2686" spans="2:5" x14ac:dyDescent="0.25">
      <c r="B2686" s="545">
        <v>3140</v>
      </c>
      <c r="C2686" s="545" t="s">
        <v>1198</v>
      </c>
      <c r="D2686" s="669" t="s">
        <v>418</v>
      </c>
      <c r="E2686" s="546">
        <v>603.64285700000005</v>
      </c>
    </row>
    <row r="2687" spans="2:5" x14ac:dyDescent="0.25">
      <c r="B2687" s="545">
        <v>3141</v>
      </c>
      <c r="C2687" s="545" t="s">
        <v>1886</v>
      </c>
      <c r="D2687" s="669" t="s">
        <v>418</v>
      </c>
      <c r="E2687" s="546">
        <v>639.42999299999997</v>
      </c>
    </row>
    <row r="2688" spans="2:5" x14ac:dyDescent="0.25">
      <c r="B2688" s="545">
        <v>3142</v>
      </c>
      <c r="C2688" s="545" t="s">
        <v>1236</v>
      </c>
      <c r="D2688" s="669" t="s">
        <v>418</v>
      </c>
      <c r="E2688" s="546">
        <v>605.86665900000003</v>
      </c>
    </row>
    <row r="2689" spans="2:5" x14ac:dyDescent="0.25">
      <c r="B2689" s="545">
        <v>3143</v>
      </c>
      <c r="C2689" s="545" t="s">
        <v>1958</v>
      </c>
      <c r="D2689" s="669" t="s">
        <v>418</v>
      </c>
      <c r="E2689" s="546">
        <v>642.04998799999998</v>
      </c>
    </row>
    <row r="2690" spans="2:5" x14ac:dyDescent="0.25">
      <c r="B2690" s="545">
        <v>3144</v>
      </c>
      <c r="C2690" s="545" t="s">
        <v>982</v>
      </c>
      <c r="D2690" s="669" t="s">
        <v>418</v>
      </c>
      <c r="E2690" s="546">
        <v>587.32857799999999</v>
      </c>
    </row>
    <row r="2691" spans="2:5" x14ac:dyDescent="0.25">
      <c r="B2691" s="545">
        <v>3145</v>
      </c>
      <c r="C2691" s="545" t="s">
        <v>6824</v>
      </c>
      <c r="D2691" s="669" t="s">
        <v>418</v>
      </c>
      <c r="E2691" s="546">
        <v>589.78000499999996</v>
      </c>
    </row>
    <row r="2692" spans="2:5" x14ac:dyDescent="0.25">
      <c r="B2692" s="545">
        <v>3146</v>
      </c>
      <c r="C2692" s="545" t="s">
        <v>6833</v>
      </c>
      <c r="D2692" s="669" t="s">
        <v>418</v>
      </c>
      <c r="E2692" s="546">
        <v>632.16001000000006</v>
      </c>
    </row>
    <row r="2693" spans="2:5" x14ac:dyDescent="0.25">
      <c r="B2693" s="545">
        <v>3147</v>
      </c>
      <c r="C2693" s="545" t="s">
        <v>6868</v>
      </c>
      <c r="D2693" s="669" t="s">
        <v>418</v>
      </c>
      <c r="E2693" s="546">
        <v>617.56363199999998</v>
      </c>
    </row>
    <row r="2694" spans="2:5" x14ac:dyDescent="0.25">
      <c r="B2694" s="545">
        <v>3148</v>
      </c>
      <c r="C2694" s="545" t="s">
        <v>6875</v>
      </c>
      <c r="D2694" s="669" t="s">
        <v>418</v>
      </c>
      <c r="E2694" s="546">
        <v>603.39999799999998</v>
      </c>
    </row>
    <row r="2695" spans="2:5" x14ac:dyDescent="0.25">
      <c r="B2695" s="545">
        <v>3149</v>
      </c>
      <c r="C2695" s="545" t="s">
        <v>6891</v>
      </c>
      <c r="D2695" s="669" t="s">
        <v>418</v>
      </c>
      <c r="E2695" s="546">
        <v>624.61333000000002</v>
      </c>
    </row>
    <row r="2696" spans="2:5" x14ac:dyDescent="0.25">
      <c r="B2696" s="545">
        <v>3150</v>
      </c>
      <c r="C2696" s="545" t="s">
        <v>6906</v>
      </c>
      <c r="D2696" s="669" t="s">
        <v>418</v>
      </c>
      <c r="E2696" s="546">
        <v>649.03998999999999</v>
      </c>
    </row>
    <row r="2697" spans="2:5" x14ac:dyDescent="0.25">
      <c r="B2697" s="545">
        <v>3151</v>
      </c>
      <c r="C2697" s="545" t="s">
        <v>1597</v>
      </c>
      <c r="D2697" s="669" t="s">
        <v>418</v>
      </c>
      <c r="E2697" s="546">
        <v>626.18333900000005</v>
      </c>
    </row>
    <row r="2698" spans="2:5" x14ac:dyDescent="0.25">
      <c r="B2698" s="545">
        <v>3152</v>
      </c>
      <c r="C2698" s="545" t="s">
        <v>1159</v>
      </c>
      <c r="D2698" s="669" t="s">
        <v>418</v>
      </c>
      <c r="E2698" s="546">
        <v>601.48666600000001</v>
      </c>
    </row>
    <row r="2699" spans="2:5" x14ac:dyDescent="0.25">
      <c r="B2699" s="545">
        <v>3153</v>
      </c>
      <c r="C2699" s="545" t="s">
        <v>1192</v>
      </c>
      <c r="D2699" s="669" t="s">
        <v>418</v>
      </c>
      <c r="E2699" s="546">
        <v>603.5</v>
      </c>
    </row>
    <row r="2700" spans="2:5" x14ac:dyDescent="0.25">
      <c r="B2700" s="545">
        <v>3154</v>
      </c>
      <c r="C2700" s="545" t="s">
        <v>1656</v>
      </c>
      <c r="D2700" s="669" t="s">
        <v>418</v>
      </c>
      <c r="E2700" s="546">
        <v>629.43846699999995</v>
      </c>
    </row>
    <row r="2701" spans="2:5" x14ac:dyDescent="0.25">
      <c r="B2701" s="545">
        <v>3155</v>
      </c>
      <c r="C2701" s="545" t="s">
        <v>1674</v>
      </c>
      <c r="D2701" s="669" t="s">
        <v>418</v>
      </c>
      <c r="E2701" s="546">
        <v>630.85293799999999</v>
      </c>
    </row>
    <row r="2702" spans="2:5" x14ac:dyDescent="0.25">
      <c r="B2702" s="545">
        <v>3156</v>
      </c>
      <c r="C2702" s="545" t="s">
        <v>1695</v>
      </c>
      <c r="D2702" s="669" t="s">
        <v>418</v>
      </c>
      <c r="E2702" s="546">
        <v>632.13332100000002</v>
      </c>
    </row>
    <row r="2703" spans="2:5" x14ac:dyDescent="0.25">
      <c r="B2703" s="545">
        <v>3157</v>
      </c>
      <c r="C2703" s="545" t="s">
        <v>808</v>
      </c>
      <c r="D2703" s="669" t="s">
        <v>418</v>
      </c>
      <c r="E2703" s="546">
        <v>568.29999999999995</v>
      </c>
    </row>
    <row r="2704" spans="2:5" x14ac:dyDescent="0.25">
      <c r="B2704" s="545">
        <v>3158</v>
      </c>
      <c r="C2704" s="545" t="s">
        <v>1866</v>
      </c>
      <c r="D2704" s="669" t="s">
        <v>418</v>
      </c>
      <c r="E2704" s="546">
        <v>653.385716</v>
      </c>
    </row>
    <row r="2705" spans="2:5" x14ac:dyDescent="0.25">
      <c r="B2705" s="545">
        <v>3159</v>
      </c>
      <c r="C2705" s="545" t="s">
        <v>1615</v>
      </c>
      <c r="D2705" s="669" t="s">
        <v>418</v>
      </c>
      <c r="E2705" s="546">
        <v>627.32857000000001</v>
      </c>
    </row>
    <row r="2706" spans="2:5" x14ac:dyDescent="0.25">
      <c r="B2706" s="545">
        <v>3160</v>
      </c>
      <c r="C2706" s="545" t="s">
        <v>6989</v>
      </c>
      <c r="D2706" s="669" t="s">
        <v>418</v>
      </c>
      <c r="E2706" s="546">
        <v>640.53333499999997</v>
      </c>
    </row>
    <row r="2707" spans="2:5" x14ac:dyDescent="0.25">
      <c r="B2707" s="545">
        <v>3161</v>
      </c>
      <c r="C2707" s="545" t="s">
        <v>1391</v>
      </c>
      <c r="D2707" s="669" t="s">
        <v>418</v>
      </c>
      <c r="E2707" s="546">
        <v>614.71428600000002</v>
      </c>
    </row>
    <row r="2708" spans="2:5" x14ac:dyDescent="0.25">
      <c r="B2708" s="545">
        <v>3162</v>
      </c>
      <c r="C2708" s="545" t="s">
        <v>1028</v>
      </c>
      <c r="D2708" s="669" t="s">
        <v>418</v>
      </c>
      <c r="E2708" s="546">
        <v>591.92857100000003</v>
      </c>
    </row>
    <row r="2709" spans="2:5" x14ac:dyDescent="0.25">
      <c r="B2709" s="545">
        <v>3163</v>
      </c>
      <c r="C2709" s="545" t="s">
        <v>7005</v>
      </c>
      <c r="D2709" s="669" t="s">
        <v>418</v>
      </c>
      <c r="E2709" s="546">
        <v>602.53333499999997</v>
      </c>
    </row>
    <row r="2710" spans="2:5" x14ac:dyDescent="0.25">
      <c r="B2710" s="545">
        <v>3164</v>
      </c>
      <c r="C2710" s="545" t="s">
        <v>1905</v>
      </c>
      <c r="D2710" s="669" t="s">
        <v>418</v>
      </c>
      <c r="E2710" s="546">
        <v>640.10909800000002</v>
      </c>
    </row>
    <row r="2711" spans="2:5" x14ac:dyDescent="0.25">
      <c r="B2711" s="545">
        <v>3165</v>
      </c>
      <c r="C2711" s="545" t="s">
        <v>1697</v>
      </c>
      <c r="D2711" s="669" t="s">
        <v>418</v>
      </c>
      <c r="E2711" s="546">
        <v>632.19999700000005</v>
      </c>
    </row>
    <row r="2712" spans="2:5" x14ac:dyDescent="0.25">
      <c r="B2712" s="545">
        <v>3166</v>
      </c>
      <c r="C2712" s="545" t="s">
        <v>2092</v>
      </c>
      <c r="D2712" s="669" t="s">
        <v>418</v>
      </c>
      <c r="E2712" s="546">
        <v>647.883331</v>
      </c>
    </row>
    <row r="2713" spans="2:5" x14ac:dyDescent="0.25">
      <c r="B2713" s="545">
        <v>3167</v>
      </c>
      <c r="C2713" s="545" t="s">
        <v>1662</v>
      </c>
      <c r="D2713" s="669" t="s">
        <v>418</v>
      </c>
      <c r="E2713" s="546">
        <v>630.38570700000002</v>
      </c>
    </row>
    <row r="2714" spans="2:5" x14ac:dyDescent="0.25">
      <c r="B2714" s="545">
        <v>3168</v>
      </c>
      <c r="C2714" s="545" t="s">
        <v>1758</v>
      </c>
      <c r="D2714" s="669" t="s">
        <v>418</v>
      </c>
      <c r="E2714" s="546">
        <v>634.34000200000003</v>
      </c>
    </row>
    <row r="2715" spans="2:5" x14ac:dyDescent="0.25">
      <c r="B2715" s="545">
        <v>3169</v>
      </c>
      <c r="C2715" s="545" t="s">
        <v>7061</v>
      </c>
      <c r="D2715" s="669" t="s">
        <v>418</v>
      </c>
      <c r="E2715" s="546">
        <v>555.27999299999999</v>
      </c>
    </row>
    <row r="2716" spans="2:5" x14ac:dyDescent="0.25">
      <c r="B2716" s="545">
        <v>3170</v>
      </c>
      <c r="C2716" s="545" t="s">
        <v>2169</v>
      </c>
      <c r="D2716" s="669" t="s">
        <v>418</v>
      </c>
      <c r="E2716" s="546">
        <v>651.79998799999998</v>
      </c>
    </row>
    <row r="2717" spans="2:5" x14ac:dyDescent="0.25">
      <c r="B2717" s="545">
        <v>3171</v>
      </c>
      <c r="C2717" s="545" t="s">
        <v>1342</v>
      </c>
      <c r="D2717" s="669" t="s">
        <v>418</v>
      </c>
      <c r="E2717" s="546">
        <v>612.07501200000002</v>
      </c>
    </row>
    <row r="2718" spans="2:5" x14ac:dyDescent="0.25">
      <c r="B2718" s="545">
        <v>3172</v>
      </c>
      <c r="C2718" s="545" t="s">
        <v>7063</v>
      </c>
      <c r="D2718" s="669" t="s">
        <v>418</v>
      </c>
      <c r="E2718" s="546">
        <v>646.56428300000005</v>
      </c>
    </row>
    <row r="2719" spans="2:5" x14ac:dyDescent="0.25">
      <c r="B2719" s="545">
        <v>3173</v>
      </c>
      <c r="C2719" s="545" t="s">
        <v>945</v>
      </c>
      <c r="D2719" s="669" t="s">
        <v>418</v>
      </c>
      <c r="E2719" s="546">
        <v>583.76667099999997</v>
      </c>
    </row>
    <row r="2720" spans="2:5" x14ac:dyDescent="0.25">
      <c r="B2720" s="545">
        <v>3174</v>
      </c>
      <c r="C2720" s="545" t="s">
        <v>2251</v>
      </c>
      <c r="D2720" s="669" t="s">
        <v>418</v>
      </c>
      <c r="E2720" s="546">
        <v>655.36667899999998</v>
      </c>
    </row>
    <row r="2721" spans="2:5" x14ac:dyDescent="0.25">
      <c r="B2721" s="545">
        <v>3175</v>
      </c>
      <c r="C2721" s="545" t="s">
        <v>7087</v>
      </c>
      <c r="D2721" s="669" t="s">
        <v>418</v>
      </c>
      <c r="E2721" s="546">
        <v>644.42857100000003</v>
      </c>
    </row>
    <row r="2722" spans="2:5" x14ac:dyDescent="0.25">
      <c r="B2722" s="545">
        <v>3176</v>
      </c>
      <c r="C2722" s="545" t="s">
        <v>1558</v>
      </c>
      <c r="D2722" s="669" t="s">
        <v>418</v>
      </c>
      <c r="E2722" s="546">
        <v>624.23333700000001</v>
      </c>
    </row>
    <row r="2723" spans="2:5" x14ac:dyDescent="0.25">
      <c r="B2723" s="545">
        <v>3177</v>
      </c>
      <c r="C2723" s="545" t="s">
        <v>1777</v>
      </c>
      <c r="D2723" s="669" t="s">
        <v>418</v>
      </c>
      <c r="E2723" s="546">
        <v>635.31052099999999</v>
      </c>
    </row>
    <row r="2724" spans="2:5" x14ac:dyDescent="0.25">
      <c r="B2724" s="545">
        <v>3178</v>
      </c>
      <c r="C2724" s="545" t="s">
        <v>1118</v>
      </c>
      <c r="D2724" s="669" t="s">
        <v>418</v>
      </c>
      <c r="E2724" s="546">
        <v>598.70769299999995</v>
      </c>
    </row>
    <row r="2725" spans="2:5" x14ac:dyDescent="0.25">
      <c r="B2725" s="545">
        <v>3179</v>
      </c>
      <c r="C2725" s="545" t="s">
        <v>763</v>
      </c>
      <c r="D2725" s="669" t="s">
        <v>418</v>
      </c>
      <c r="E2725" s="546">
        <v>561.23331700000006</v>
      </c>
    </row>
    <row r="2726" spans="2:5" x14ac:dyDescent="0.25">
      <c r="B2726" s="545">
        <v>3180</v>
      </c>
      <c r="C2726" s="545" t="s">
        <v>1502</v>
      </c>
      <c r="D2726" s="669" t="s">
        <v>418</v>
      </c>
      <c r="E2726" s="546">
        <v>620.65999799999997</v>
      </c>
    </row>
    <row r="2727" spans="2:5" x14ac:dyDescent="0.25">
      <c r="B2727" s="545">
        <v>3181</v>
      </c>
      <c r="C2727" s="545" t="s">
        <v>1684</v>
      </c>
      <c r="D2727" s="669" t="s">
        <v>418</v>
      </c>
      <c r="E2727" s="546">
        <v>631.50000899999998</v>
      </c>
    </row>
    <row r="2728" spans="2:5" x14ac:dyDescent="0.25">
      <c r="B2728" s="545">
        <v>3182</v>
      </c>
      <c r="C2728" s="545" t="s">
        <v>1584</v>
      </c>
      <c r="D2728" s="669" t="s">
        <v>418</v>
      </c>
      <c r="E2728" s="546">
        <v>625.51999499999999</v>
      </c>
    </row>
    <row r="2729" spans="2:5" x14ac:dyDescent="0.25">
      <c r="B2729" s="545">
        <v>3183</v>
      </c>
      <c r="C2729" s="545" t="s">
        <v>1772</v>
      </c>
      <c r="D2729" s="669" t="s">
        <v>418</v>
      </c>
      <c r="E2729" s="546">
        <v>635.12000699999999</v>
      </c>
    </row>
    <row r="2730" spans="2:5" x14ac:dyDescent="0.25">
      <c r="B2730" s="545">
        <v>3184</v>
      </c>
      <c r="C2730" s="545" t="s">
        <v>1346</v>
      </c>
      <c r="D2730" s="669" t="s">
        <v>418</v>
      </c>
      <c r="E2730" s="546">
        <v>612.14286600000003</v>
      </c>
    </row>
    <row r="2731" spans="2:5" x14ac:dyDescent="0.25">
      <c r="B2731" s="545">
        <v>3185</v>
      </c>
      <c r="C2731" s="545" t="s">
        <v>1532</v>
      </c>
      <c r="D2731" s="669" t="s">
        <v>418</v>
      </c>
      <c r="E2731" s="546">
        <v>622.20999800000004</v>
      </c>
    </row>
    <row r="2732" spans="2:5" x14ac:dyDescent="0.25">
      <c r="B2732" s="545">
        <v>3186</v>
      </c>
      <c r="C2732" s="545" t="s">
        <v>2580</v>
      </c>
      <c r="D2732" s="669" t="s">
        <v>418</v>
      </c>
      <c r="E2732" s="546">
        <v>669.68181300000003</v>
      </c>
    </row>
    <row r="2733" spans="2:5" x14ac:dyDescent="0.25">
      <c r="B2733" s="545">
        <v>3187</v>
      </c>
      <c r="C2733" s="545" t="s">
        <v>2200</v>
      </c>
      <c r="D2733" s="669" t="s">
        <v>418</v>
      </c>
      <c r="E2733" s="546">
        <v>652.85554999999999</v>
      </c>
    </row>
    <row r="2734" spans="2:5" x14ac:dyDescent="0.25">
      <c r="B2734" s="545">
        <v>3188</v>
      </c>
      <c r="C2734" s="545" t="s">
        <v>7189</v>
      </c>
      <c r="D2734" s="669" t="s">
        <v>418</v>
      </c>
      <c r="E2734" s="546">
        <v>597.13334099999997</v>
      </c>
    </row>
    <row r="2735" spans="2:5" x14ac:dyDescent="0.25">
      <c r="B2735" s="545">
        <v>3189</v>
      </c>
      <c r="C2735" s="545" t="s">
        <v>7193</v>
      </c>
      <c r="D2735" s="669" t="s">
        <v>418</v>
      </c>
      <c r="E2735" s="546">
        <v>608.88334099999997</v>
      </c>
    </row>
    <row r="2736" spans="2:5" x14ac:dyDescent="0.25">
      <c r="B2736" s="545">
        <v>3190</v>
      </c>
      <c r="C2736" s="545" t="s">
        <v>1920</v>
      </c>
      <c r="D2736" s="669" t="s">
        <v>418</v>
      </c>
      <c r="E2736" s="546">
        <v>640.77500899999995</v>
      </c>
    </row>
    <row r="2737" spans="2:5" x14ac:dyDescent="0.25">
      <c r="B2737" s="545">
        <v>3191</v>
      </c>
      <c r="C2737" s="545" t="s">
        <v>7221</v>
      </c>
      <c r="D2737" s="669" t="s">
        <v>418</v>
      </c>
      <c r="E2737" s="546">
        <v>595.94000200000005</v>
      </c>
    </row>
    <row r="2738" spans="2:5" x14ac:dyDescent="0.25">
      <c r="B2738" s="545">
        <v>3192</v>
      </c>
      <c r="C2738" s="545" t="s">
        <v>848</v>
      </c>
      <c r="D2738" s="669" t="s">
        <v>418</v>
      </c>
      <c r="E2738" s="546">
        <v>574.55999799999995</v>
      </c>
    </row>
    <row r="2739" spans="2:5" x14ac:dyDescent="0.25">
      <c r="B2739" s="545">
        <v>3193</v>
      </c>
      <c r="C2739" s="545" t="s">
        <v>1587</v>
      </c>
      <c r="D2739" s="669" t="s">
        <v>418</v>
      </c>
      <c r="E2739" s="546">
        <v>625.65713900000003</v>
      </c>
    </row>
    <row r="2740" spans="2:5" x14ac:dyDescent="0.25">
      <c r="B2740" s="545">
        <v>3194</v>
      </c>
      <c r="C2740" s="545" t="s">
        <v>2305</v>
      </c>
      <c r="D2740" s="669" t="s">
        <v>418</v>
      </c>
      <c r="E2740" s="546">
        <v>657.62727500000005</v>
      </c>
    </row>
    <row r="2741" spans="2:5" x14ac:dyDescent="0.25">
      <c r="B2741" s="545">
        <v>3195</v>
      </c>
      <c r="C2741" s="545" t="s">
        <v>1585</v>
      </c>
      <c r="D2741" s="669" t="s">
        <v>418</v>
      </c>
      <c r="E2741" s="546">
        <v>625.61667399999999</v>
      </c>
    </row>
    <row r="2742" spans="2:5" x14ac:dyDescent="0.25">
      <c r="B2742" s="545">
        <v>3196</v>
      </c>
      <c r="C2742" s="545" t="s">
        <v>1289</v>
      </c>
      <c r="D2742" s="669" t="s">
        <v>418</v>
      </c>
      <c r="E2742" s="546">
        <v>632.84997599999997</v>
      </c>
    </row>
    <row r="2743" spans="2:5" x14ac:dyDescent="0.25">
      <c r="B2743" s="545">
        <v>3197</v>
      </c>
      <c r="C2743" s="545" t="s">
        <v>1663</v>
      </c>
      <c r="D2743" s="669" t="s">
        <v>418</v>
      </c>
      <c r="E2743" s="546">
        <v>630.41110600000002</v>
      </c>
    </row>
    <row r="2744" spans="2:5" x14ac:dyDescent="0.25">
      <c r="B2744" s="545">
        <v>3198</v>
      </c>
      <c r="C2744" s="545" t="s">
        <v>1945</v>
      </c>
      <c r="D2744" s="669" t="s">
        <v>418</v>
      </c>
      <c r="E2744" s="546">
        <v>641.60001</v>
      </c>
    </row>
    <row r="2745" spans="2:5" x14ac:dyDescent="0.25">
      <c r="B2745" s="545">
        <v>3199</v>
      </c>
      <c r="C2745" s="545" t="s">
        <v>1311</v>
      </c>
      <c r="D2745" s="669" t="s">
        <v>418</v>
      </c>
      <c r="E2745" s="546">
        <v>610.33333300000004</v>
      </c>
    </row>
    <row r="2746" spans="2:5" x14ac:dyDescent="0.25">
      <c r="B2746" s="545">
        <v>3200</v>
      </c>
      <c r="C2746" s="545" t="s">
        <v>1419</v>
      </c>
      <c r="D2746" s="669" t="s">
        <v>418</v>
      </c>
      <c r="E2746" s="546">
        <v>616.41250600000001</v>
      </c>
    </row>
    <row r="2747" spans="2:5" x14ac:dyDescent="0.25">
      <c r="B2747" s="545">
        <v>3201</v>
      </c>
      <c r="C2747" s="545" t="s">
        <v>2239</v>
      </c>
      <c r="D2747" s="669" t="s">
        <v>418</v>
      </c>
      <c r="E2747" s="546">
        <v>654.67999299999997</v>
      </c>
    </row>
    <row r="2748" spans="2:5" x14ac:dyDescent="0.25">
      <c r="B2748" s="545">
        <v>3202</v>
      </c>
      <c r="C2748" s="545" t="s">
        <v>7288</v>
      </c>
      <c r="D2748" s="669" t="s">
        <v>418</v>
      </c>
      <c r="E2748" s="546">
        <v>641.52857300000005</v>
      </c>
    </row>
    <row r="2749" spans="2:5" x14ac:dyDescent="0.25">
      <c r="B2749" s="545">
        <v>3203</v>
      </c>
      <c r="C2749" s="545" t="s">
        <v>2210</v>
      </c>
      <c r="D2749" s="669" t="s">
        <v>418</v>
      </c>
      <c r="E2749" s="546">
        <v>653.33333300000004</v>
      </c>
    </row>
    <row r="2750" spans="2:5" x14ac:dyDescent="0.25">
      <c r="B2750" s="545">
        <v>3204</v>
      </c>
      <c r="C2750" s="545" t="s">
        <v>910</v>
      </c>
      <c r="D2750" s="669" t="s">
        <v>418</v>
      </c>
      <c r="E2750" s="546">
        <v>580.58332299999995</v>
      </c>
    </row>
    <row r="2751" spans="2:5" x14ac:dyDescent="0.25">
      <c r="B2751" s="545">
        <v>3205</v>
      </c>
      <c r="C2751" s="545" t="s">
        <v>2131</v>
      </c>
      <c r="D2751" s="669" t="s">
        <v>418</v>
      </c>
      <c r="E2751" s="546">
        <v>649.93636300000003</v>
      </c>
    </row>
    <row r="2752" spans="2:5" x14ac:dyDescent="0.25">
      <c r="B2752" s="545">
        <v>3206</v>
      </c>
      <c r="C2752" s="545" t="s">
        <v>1961</v>
      </c>
      <c r="D2752" s="669" t="s">
        <v>418</v>
      </c>
      <c r="E2752" s="546">
        <v>642.09999600000003</v>
      </c>
    </row>
    <row r="2753" spans="2:5" x14ac:dyDescent="0.25">
      <c r="B2753" s="545">
        <v>3207</v>
      </c>
      <c r="C2753" s="545" t="s">
        <v>1738</v>
      </c>
      <c r="D2753" s="669" t="s">
        <v>418</v>
      </c>
      <c r="E2753" s="546">
        <v>633.69998799999996</v>
      </c>
    </row>
    <row r="2754" spans="2:5" x14ac:dyDescent="0.25">
      <c r="B2754" s="545">
        <v>3208</v>
      </c>
      <c r="C2754" s="545" t="s">
        <v>1718</v>
      </c>
      <c r="D2754" s="669" t="s">
        <v>418</v>
      </c>
      <c r="E2754" s="546">
        <v>633</v>
      </c>
    </row>
    <row r="2755" spans="2:5" x14ac:dyDescent="0.25">
      <c r="B2755" s="545">
        <v>3209</v>
      </c>
      <c r="C2755" s="545" t="s">
        <v>1799</v>
      </c>
      <c r="D2755" s="669" t="s">
        <v>418</v>
      </c>
      <c r="E2755" s="546">
        <v>635.96922900000004</v>
      </c>
    </row>
    <row r="2756" spans="2:5" x14ac:dyDescent="0.25">
      <c r="B2756" s="545">
        <v>3210</v>
      </c>
      <c r="C2756" s="545" t="s">
        <v>1848</v>
      </c>
      <c r="D2756" s="669" t="s">
        <v>418</v>
      </c>
      <c r="E2756" s="546">
        <v>637.72499100000005</v>
      </c>
    </row>
    <row r="2757" spans="2:5" x14ac:dyDescent="0.25">
      <c r="B2757" s="545">
        <v>3211</v>
      </c>
      <c r="C2757" s="545" t="s">
        <v>2190</v>
      </c>
      <c r="D2757" s="669" t="s">
        <v>418</v>
      </c>
      <c r="E2757" s="546">
        <v>652.4</v>
      </c>
    </row>
    <row r="2758" spans="2:5" x14ac:dyDescent="0.25">
      <c r="B2758" s="545">
        <v>3212</v>
      </c>
      <c r="C2758" s="545" t="s">
        <v>7410</v>
      </c>
      <c r="D2758" s="669" t="s">
        <v>418</v>
      </c>
      <c r="E2758" s="546">
        <v>611.03997800000002</v>
      </c>
    </row>
    <row r="2759" spans="2:5" x14ac:dyDescent="0.25">
      <c r="B2759" s="545">
        <v>3213</v>
      </c>
      <c r="C2759" s="545" t="s">
        <v>1928</v>
      </c>
      <c r="D2759" s="669" t="s">
        <v>418</v>
      </c>
      <c r="E2759" s="546">
        <v>641.22499800000003</v>
      </c>
    </row>
    <row r="2760" spans="2:5" x14ac:dyDescent="0.25">
      <c r="B2760" s="545">
        <v>3214</v>
      </c>
      <c r="C2760" s="545" t="s">
        <v>1805</v>
      </c>
      <c r="D2760" s="669" t="s">
        <v>418</v>
      </c>
      <c r="E2760" s="546">
        <v>636.25998500000003</v>
      </c>
    </row>
    <row r="2761" spans="2:5" x14ac:dyDescent="0.25">
      <c r="B2761" s="545">
        <v>3215</v>
      </c>
      <c r="C2761" s="545" t="s">
        <v>1730</v>
      </c>
      <c r="D2761" s="669" t="s">
        <v>418</v>
      </c>
      <c r="E2761" s="546">
        <v>633.59998599999994</v>
      </c>
    </row>
    <row r="2762" spans="2:5" x14ac:dyDescent="0.25">
      <c r="B2762" s="545">
        <v>3216</v>
      </c>
      <c r="C2762" s="545" t="s">
        <v>2044</v>
      </c>
      <c r="D2762" s="669" t="s">
        <v>418</v>
      </c>
      <c r="E2762" s="546">
        <v>645.18571299999996</v>
      </c>
    </row>
    <row r="2763" spans="2:5" x14ac:dyDescent="0.25">
      <c r="B2763" s="545">
        <v>3217</v>
      </c>
      <c r="C2763" s="545" t="s">
        <v>1516</v>
      </c>
      <c r="D2763" s="669" t="s">
        <v>418</v>
      </c>
      <c r="E2763" s="546">
        <v>621.5</v>
      </c>
    </row>
    <row r="2764" spans="2:5" x14ac:dyDescent="0.25">
      <c r="B2764" s="545">
        <v>3218</v>
      </c>
      <c r="C2764" s="545" t="s">
        <v>1436</v>
      </c>
      <c r="D2764" s="669" t="s">
        <v>418</v>
      </c>
      <c r="E2764" s="546">
        <v>617.02498600000001</v>
      </c>
    </row>
    <row r="2765" spans="2:5" x14ac:dyDescent="0.25">
      <c r="B2765" s="545">
        <v>3219</v>
      </c>
      <c r="C2765" s="545" t="s">
        <v>2075</v>
      </c>
      <c r="D2765" s="669" t="s">
        <v>418</v>
      </c>
      <c r="E2765" s="546">
        <v>646.95999800000004</v>
      </c>
    </row>
    <row r="2766" spans="2:5" x14ac:dyDescent="0.25">
      <c r="B2766" s="545">
        <v>3220</v>
      </c>
      <c r="C2766" s="545" t="s">
        <v>861</v>
      </c>
      <c r="D2766" s="669" t="s">
        <v>418</v>
      </c>
      <c r="E2766" s="546">
        <v>575.5625</v>
      </c>
    </row>
    <row r="2767" spans="2:5" x14ac:dyDescent="0.25">
      <c r="B2767" s="545">
        <v>3221</v>
      </c>
      <c r="C2767" s="545" t="s">
        <v>1147</v>
      </c>
      <c r="D2767" s="669" t="s">
        <v>418</v>
      </c>
      <c r="E2767" s="546">
        <v>600.70001200000002</v>
      </c>
    </row>
    <row r="2768" spans="2:5" x14ac:dyDescent="0.25">
      <c r="B2768" s="545">
        <v>3222</v>
      </c>
      <c r="C2768" s="545" t="s">
        <v>943</v>
      </c>
      <c r="D2768" s="669" t="s">
        <v>418</v>
      </c>
      <c r="E2768" s="546">
        <v>583.66666699999996</v>
      </c>
    </row>
    <row r="2769" spans="2:5" x14ac:dyDescent="0.25">
      <c r="B2769" s="545">
        <v>3223</v>
      </c>
      <c r="C2769" s="545" t="s">
        <v>769</v>
      </c>
      <c r="D2769" s="669" t="s">
        <v>418</v>
      </c>
      <c r="E2769" s="546">
        <v>618.02000699999996</v>
      </c>
    </row>
    <row r="2770" spans="2:5" x14ac:dyDescent="0.25">
      <c r="B2770" s="545">
        <v>3224</v>
      </c>
      <c r="C2770" s="545" t="s">
        <v>1648</v>
      </c>
      <c r="D2770" s="669" t="s">
        <v>418</v>
      </c>
      <c r="E2770" s="546">
        <v>629.06669099999999</v>
      </c>
    </row>
    <row r="2771" spans="2:5" x14ac:dyDescent="0.25">
      <c r="B2771" s="545">
        <v>3225</v>
      </c>
      <c r="C2771" s="545" t="s">
        <v>1337</v>
      </c>
      <c r="D2771" s="669" t="s">
        <v>418</v>
      </c>
      <c r="E2771" s="546">
        <v>611.86665900000003</v>
      </c>
    </row>
    <row r="2772" spans="2:5" x14ac:dyDescent="0.25">
      <c r="B2772" s="545">
        <v>3226</v>
      </c>
      <c r="C2772" s="545" t="s">
        <v>1036</v>
      </c>
      <c r="D2772" s="669" t="s">
        <v>418</v>
      </c>
      <c r="E2772" s="546">
        <v>649.99999000000003</v>
      </c>
    </row>
    <row r="2773" spans="2:5" x14ac:dyDescent="0.25">
      <c r="B2773" s="545">
        <v>3227</v>
      </c>
      <c r="C2773" s="545" t="s">
        <v>1279</v>
      </c>
      <c r="D2773" s="669" t="s">
        <v>418</v>
      </c>
      <c r="E2773" s="546">
        <v>608.34999900000003</v>
      </c>
    </row>
    <row r="2774" spans="2:5" x14ac:dyDescent="0.25">
      <c r="B2774" s="545">
        <v>3228</v>
      </c>
      <c r="C2774" s="545" t="s">
        <v>1606</v>
      </c>
      <c r="D2774" s="669" t="s">
        <v>418</v>
      </c>
      <c r="E2774" s="546">
        <v>626.85999800000002</v>
      </c>
    </row>
    <row r="2775" spans="2:5" x14ac:dyDescent="0.25">
      <c r="B2775" s="545">
        <v>3229</v>
      </c>
      <c r="C2775" s="545" t="s">
        <v>1657</v>
      </c>
      <c r="D2775" s="669" t="s">
        <v>418</v>
      </c>
      <c r="E2775" s="546">
        <v>629.58000500000003</v>
      </c>
    </row>
    <row r="2776" spans="2:5" x14ac:dyDescent="0.25">
      <c r="B2776" s="545">
        <v>3230</v>
      </c>
      <c r="C2776" s="545" t="s">
        <v>1753</v>
      </c>
      <c r="D2776" s="669" t="s">
        <v>418</v>
      </c>
      <c r="E2776" s="546">
        <v>634.16249800000003</v>
      </c>
    </row>
    <row r="2777" spans="2:5" x14ac:dyDescent="0.25">
      <c r="B2777" s="545">
        <v>3231</v>
      </c>
      <c r="C2777" s="545" t="s">
        <v>1504</v>
      </c>
      <c r="D2777" s="669" t="s">
        <v>418</v>
      </c>
      <c r="E2777" s="546">
        <v>620.74001499999997</v>
      </c>
    </row>
    <row r="2778" spans="2:5" x14ac:dyDescent="0.25">
      <c r="B2778" s="545">
        <v>3232</v>
      </c>
      <c r="C2778" s="545" t="s">
        <v>1293</v>
      </c>
      <c r="D2778" s="669" t="s">
        <v>418</v>
      </c>
      <c r="E2778" s="546">
        <v>609.29999999999995</v>
      </c>
    </row>
    <row r="2779" spans="2:5" x14ac:dyDescent="0.25">
      <c r="B2779" s="545">
        <v>3233</v>
      </c>
      <c r="C2779" s="545" t="s">
        <v>1841</v>
      </c>
      <c r="D2779" s="669" t="s">
        <v>418</v>
      </c>
      <c r="E2779" s="546">
        <v>637.39999399999999</v>
      </c>
    </row>
    <row r="2780" spans="2:5" x14ac:dyDescent="0.25">
      <c r="B2780" s="545">
        <v>3234</v>
      </c>
      <c r="C2780" s="545" t="s">
        <v>1977</v>
      </c>
      <c r="D2780" s="669" t="s">
        <v>418</v>
      </c>
      <c r="E2780" s="546">
        <v>642.64999399999999</v>
      </c>
    </row>
    <row r="2781" spans="2:5" x14ac:dyDescent="0.25">
      <c r="B2781" s="545">
        <v>3235</v>
      </c>
      <c r="C2781" s="545" t="s">
        <v>908</v>
      </c>
      <c r="D2781" s="669" t="s">
        <v>418</v>
      </c>
      <c r="E2781" s="546">
        <v>580.32499700000005</v>
      </c>
    </row>
    <row r="2782" spans="2:5" x14ac:dyDescent="0.25">
      <c r="B2782" s="545">
        <v>3236</v>
      </c>
      <c r="C2782" s="545" t="s">
        <v>1175</v>
      </c>
      <c r="D2782" s="669" t="s">
        <v>418</v>
      </c>
      <c r="E2782" s="546">
        <v>602.69091800000001</v>
      </c>
    </row>
    <row r="2783" spans="2:5" x14ac:dyDescent="0.25">
      <c r="B2783" s="545">
        <v>3237</v>
      </c>
      <c r="C2783" s="545" t="s">
        <v>2753</v>
      </c>
      <c r="D2783" s="669" t="s">
        <v>418</v>
      </c>
      <c r="E2783" s="546">
        <v>678.45000300000004</v>
      </c>
    </row>
    <row r="2784" spans="2:5" x14ac:dyDescent="0.25">
      <c r="B2784" s="545">
        <v>3238</v>
      </c>
      <c r="C2784" s="545" t="s">
        <v>7585</v>
      </c>
      <c r="D2784" s="669" t="s">
        <v>418</v>
      </c>
      <c r="E2784" s="546">
        <v>620.11249499999997</v>
      </c>
    </row>
    <row r="2785" spans="2:5" x14ac:dyDescent="0.25">
      <c r="B2785" s="545">
        <v>3239</v>
      </c>
      <c r="C2785" s="545" t="s">
        <v>1398</v>
      </c>
      <c r="D2785" s="669" t="s">
        <v>418</v>
      </c>
      <c r="E2785" s="546">
        <v>615</v>
      </c>
    </row>
    <row r="2786" spans="2:5" x14ac:dyDescent="0.25">
      <c r="B2786" s="545">
        <v>3240</v>
      </c>
      <c r="C2786" s="545" t="s">
        <v>1870</v>
      </c>
      <c r="D2786" s="669" t="s">
        <v>418</v>
      </c>
      <c r="E2786" s="546">
        <v>638.68750799999998</v>
      </c>
    </row>
    <row r="2787" spans="2:5" x14ac:dyDescent="0.25">
      <c r="B2787" s="545">
        <v>3241</v>
      </c>
      <c r="C2787" s="545" t="s">
        <v>1218</v>
      </c>
      <c r="D2787" s="669" t="s">
        <v>418</v>
      </c>
      <c r="E2787" s="546">
        <v>605.08333300000004</v>
      </c>
    </row>
    <row r="2788" spans="2:5" x14ac:dyDescent="0.25">
      <c r="B2788" s="545">
        <v>3242</v>
      </c>
      <c r="C2788" s="545" t="s">
        <v>1600</v>
      </c>
      <c r="D2788" s="669" t="s">
        <v>418</v>
      </c>
      <c r="E2788" s="546">
        <v>626.45001200000002</v>
      </c>
    </row>
    <row r="2789" spans="2:5" x14ac:dyDescent="0.25">
      <c r="B2789" s="545">
        <v>3243</v>
      </c>
      <c r="C2789" s="545" t="s">
        <v>1290</v>
      </c>
      <c r="D2789" s="669" t="s">
        <v>418</v>
      </c>
      <c r="E2789" s="546">
        <v>609.07499700000005</v>
      </c>
    </row>
    <row r="2790" spans="2:5" x14ac:dyDescent="0.25">
      <c r="B2790" s="545">
        <v>3244</v>
      </c>
      <c r="C2790" s="545" t="s">
        <v>1947</v>
      </c>
      <c r="D2790" s="669" t="s">
        <v>418</v>
      </c>
      <c r="E2790" s="546">
        <v>641.66666699999996</v>
      </c>
    </row>
    <row r="2791" spans="2:5" x14ac:dyDescent="0.25">
      <c r="B2791" s="545">
        <v>3245</v>
      </c>
      <c r="C2791" s="545" t="s">
        <v>2270</v>
      </c>
      <c r="D2791" s="669" t="s">
        <v>418</v>
      </c>
      <c r="E2791" s="546">
        <v>656.15999799999997</v>
      </c>
    </row>
    <row r="2792" spans="2:5" x14ac:dyDescent="0.25">
      <c r="B2792" s="545">
        <v>3246</v>
      </c>
      <c r="C2792" s="545" t="s">
        <v>2032</v>
      </c>
      <c r="D2792" s="669" t="s">
        <v>418</v>
      </c>
      <c r="E2792" s="546">
        <v>644.389996</v>
      </c>
    </row>
    <row r="2793" spans="2:5" x14ac:dyDescent="0.25">
      <c r="B2793" s="545">
        <v>3247</v>
      </c>
      <c r="C2793" s="545" t="s">
        <v>1548</v>
      </c>
      <c r="D2793" s="669" t="s">
        <v>418</v>
      </c>
      <c r="E2793" s="546">
        <v>623.76667299999997</v>
      </c>
    </row>
    <row r="2794" spans="2:5" x14ac:dyDescent="0.25">
      <c r="B2794" s="545">
        <v>3251</v>
      </c>
      <c r="C2794" s="545" t="s">
        <v>1739</v>
      </c>
      <c r="D2794" s="669" t="s">
        <v>7750</v>
      </c>
      <c r="E2794" s="546">
        <v>633.75</v>
      </c>
    </row>
    <row r="2795" spans="2:5" x14ac:dyDescent="0.25">
      <c r="B2795" s="545">
        <v>3252</v>
      </c>
      <c r="C2795" s="545" t="s">
        <v>1292</v>
      </c>
      <c r="D2795" s="669" t="s">
        <v>7750</v>
      </c>
      <c r="E2795" s="546">
        <v>609.25</v>
      </c>
    </row>
    <row r="2796" spans="2:5" x14ac:dyDescent="0.25">
      <c r="B2796" s="545">
        <v>3253</v>
      </c>
      <c r="C2796" s="545" t="s">
        <v>7225</v>
      </c>
      <c r="D2796" s="669" t="s">
        <v>7750</v>
      </c>
      <c r="E2796" s="546">
        <v>657.19999199999995</v>
      </c>
    </row>
    <row r="2797" spans="2:5" x14ac:dyDescent="0.25">
      <c r="B2797" s="545">
        <v>3254</v>
      </c>
      <c r="C2797" s="545" t="s">
        <v>7183</v>
      </c>
      <c r="D2797" s="669" t="s">
        <v>7750</v>
      </c>
      <c r="E2797" s="546">
        <v>649.86665900000003</v>
      </c>
    </row>
    <row r="2798" spans="2:5" x14ac:dyDescent="0.25">
      <c r="B2798" s="545">
        <v>3255</v>
      </c>
      <c r="C2798" s="545" t="s">
        <v>6972</v>
      </c>
      <c r="D2798" s="669" t="s">
        <v>7750</v>
      </c>
      <c r="E2798" s="546">
        <v>601.6</v>
      </c>
    </row>
    <row r="2799" spans="2:5" x14ac:dyDescent="0.25">
      <c r="B2799" s="545">
        <v>3256</v>
      </c>
      <c r="C2799" s="545" t="s">
        <v>6476</v>
      </c>
      <c r="D2799" s="669" t="s">
        <v>7750</v>
      </c>
      <c r="E2799" s="546">
        <v>622.94999399999995</v>
      </c>
    </row>
    <row r="2800" spans="2:5" x14ac:dyDescent="0.25">
      <c r="B2800" s="545">
        <v>3257</v>
      </c>
      <c r="C2800" s="545" t="s">
        <v>2041</v>
      </c>
      <c r="D2800" s="669" t="s">
        <v>7750</v>
      </c>
      <c r="E2800" s="546">
        <v>644.96666500000003</v>
      </c>
    </row>
    <row r="2801" spans="2:5" x14ac:dyDescent="0.25">
      <c r="B2801" s="545">
        <v>3258</v>
      </c>
      <c r="C2801" s="545" t="s">
        <v>2054</v>
      </c>
      <c r="D2801" s="669" t="s">
        <v>7750</v>
      </c>
      <c r="E2801" s="546">
        <v>645.67142999999999</v>
      </c>
    </row>
    <row r="2802" spans="2:5" x14ac:dyDescent="0.25">
      <c r="B2802" s="545">
        <v>3259</v>
      </c>
      <c r="C2802" s="545" t="s">
        <v>1789</v>
      </c>
      <c r="D2802" s="669" t="s">
        <v>7750</v>
      </c>
      <c r="E2802" s="546">
        <v>635.625</v>
      </c>
    </row>
    <row r="2803" spans="2:5" x14ac:dyDescent="0.25">
      <c r="B2803" s="545">
        <v>3260</v>
      </c>
      <c r="C2803" s="545" t="s">
        <v>1130</v>
      </c>
      <c r="D2803" s="669" t="s">
        <v>7750</v>
      </c>
      <c r="E2803" s="546">
        <v>599.53636600000004</v>
      </c>
    </row>
    <row r="2804" spans="2:5" x14ac:dyDescent="0.25">
      <c r="B2804" s="545">
        <v>3261</v>
      </c>
      <c r="C2804" s="545" t="s">
        <v>1466</v>
      </c>
      <c r="D2804" s="669" t="s">
        <v>7750</v>
      </c>
      <c r="E2804" s="546">
        <v>618.40002400000003</v>
      </c>
    </row>
    <row r="2805" spans="2:5" x14ac:dyDescent="0.25">
      <c r="B2805" s="545">
        <v>3262</v>
      </c>
      <c r="C2805" s="545" t="s">
        <v>806</v>
      </c>
      <c r="D2805" s="669" t="s">
        <v>7750</v>
      </c>
      <c r="E2805" s="546">
        <v>605.80000800000005</v>
      </c>
    </row>
    <row r="2806" spans="2:5" x14ac:dyDescent="0.25">
      <c r="B2806" s="545">
        <v>3263</v>
      </c>
      <c r="C2806" s="545" t="s">
        <v>996</v>
      </c>
      <c r="D2806" s="669" t="s">
        <v>7750</v>
      </c>
      <c r="E2806" s="546">
        <v>588.69999700000005</v>
      </c>
    </row>
    <row r="2807" spans="2:5" x14ac:dyDescent="0.25">
      <c r="B2807" s="545">
        <v>3264</v>
      </c>
      <c r="C2807" s="545" t="s">
        <v>890</v>
      </c>
      <c r="D2807" s="669" t="s">
        <v>7750</v>
      </c>
      <c r="E2807" s="546">
        <v>578.66666699999996</v>
      </c>
    </row>
    <row r="2808" spans="2:5" x14ac:dyDescent="0.25">
      <c r="B2808" s="545">
        <v>3265</v>
      </c>
      <c r="C2808" s="545" t="s">
        <v>895</v>
      </c>
      <c r="D2808" s="669" t="s">
        <v>7750</v>
      </c>
      <c r="E2808" s="546">
        <v>579.33999600000004</v>
      </c>
    </row>
    <row r="2809" spans="2:5" x14ac:dyDescent="0.25">
      <c r="B2809" s="545">
        <v>3266</v>
      </c>
      <c r="C2809" s="545" t="s">
        <v>7500</v>
      </c>
      <c r="D2809" s="669" t="s">
        <v>7750</v>
      </c>
      <c r="E2809" s="546">
        <v>601.01249700000005</v>
      </c>
    </row>
    <row r="2810" spans="2:5" x14ac:dyDescent="0.25">
      <c r="B2810" s="545">
        <v>3267</v>
      </c>
      <c r="C2810" s="545" t="s">
        <v>1040</v>
      </c>
      <c r="D2810" s="669" t="s">
        <v>7750</v>
      </c>
      <c r="E2810" s="546">
        <v>592.52500899999995</v>
      </c>
    </row>
    <row r="2811" spans="2:5" x14ac:dyDescent="0.25">
      <c r="B2811" s="545">
        <v>3268</v>
      </c>
      <c r="C2811" s="545" t="s">
        <v>1077</v>
      </c>
      <c r="D2811" s="669" t="s">
        <v>7750</v>
      </c>
      <c r="E2811" s="546">
        <v>596.03999599999997</v>
      </c>
    </row>
    <row r="2812" spans="2:5" x14ac:dyDescent="0.25">
      <c r="B2812" s="545">
        <v>3269</v>
      </c>
      <c r="C2812" s="545" t="s">
        <v>1328</v>
      </c>
      <c r="D2812" s="669" t="s">
        <v>7750</v>
      </c>
      <c r="E2812" s="546">
        <v>611.28889300000003</v>
      </c>
    </row>
    <row r="2813" spans="2:5" x14ac:dyDescent="0.25">
      <c r="B2813" s="545">
        <v>3270</v>
      </c>
      <c r="C2813" s="545" t="s">
        <v>7528</v>
      </c>
      <c r="D2813" s="669" t="s">
        <v>7750</v>
      </c>
      <c r="E2813" s="546">
        <v>597.16666699999996</v>
      </c>
    </row>
    <row r="2814" spans="2:5" x14ac:dyDescent="0.25">
      <c r="B2814" s="545">
        <v>3271</v>
      </c>
      <c r="C2814" s="545" t="s">
        <v>6628</v>
      </c>
      <c r="D2814" s="669" t="s">
        <v>7750</v>
      </c>
      <c r="E2814" s="546">
        <v>571.42000700000006</v>
      </c>
    </row>
    <row r="2815" spans="2:5" x14ac:dyDescent="0.25">
      <c r="B2815" s="545">
        <v>3272</v>
      </c>
      <c r="C2815" s="545" t="s">
        <v>7306</v>
      </c>
      <c r="D2815" s="669" t="s">
        <v>7750</v>
      </c>
      <c r="E2815" s="546">
        <v>590.08334400000001</v>
      </c>
    </row>
    <row r="2816" spans="2:5" x14ac:dyDescent="0.25">
      <c r="B2816" s="545">
        <v>3273</v>
      </c>
      <c r="C2816" s="545" t="s">
        <v>831</v>
      </c>
      <c r="D2816" s="669" t="s">
        <v>7750</v>
      </c>
      <c r="E2816" s="546">
        <v>572.75001499999996</v>
      </c>
    </row>
    <row r="2817" spans="2:5" x14ac:dyDescent="0.25">
      <c r="B2817" s="545">
        <v>3274</v>
      </c>
      <c r="C2817" s="545" t="s">
        <v>1258</v>
      </c>
      <c r="D2817" s="669" t="s">
        <v>7750</v>
      </c>
      <c r="E2817" s="546">
        <v>607.04998799999998</v>
      </c>
    </row>
    <row r="2818" spans="2:5" x14ac:dyDescent="0.25">
      <c r="B2818" s="545">
        <v>3275</v>
      </c>
      <c r="C2818" s="545" t="s">
        <v>7270</v>
      </c>
      <c r="D2818" s="669" t="s">
        <v>7750</v>
      </c>
      <c r="E2818" s="546">
        <v>581.94999700000005</v>
      </c>
    </row>
    <row r="2819" spans="2:5" x14ac:dyDescent="0.25">
      <c r="B2819" s="545">
        <v>3276</v>
      </c>
      <c r="C2819" s="545" t="s">
        <v>7529</v>
      </c>
      <c r="D2819" s="669" t="s">
        <v>7750</v>
      </c>
      <c r="E2819" s="546">
        <v>596.37499200000002</v>
      </c>
    </row>
    <row r="2820" spans="2:5" x14ac:dyDescent="0.25">
      <c r="B2820" s="545">
        <v>3277</v>
      </c>
      <c r="C2820" s="545" t="s">
        <v>935</v>
      </c>
      <c r="D2820" s="669" t="s">
        <v>7750</v>
      </c>
      <c r="E2820" s="546">
        <v>582.93571699999995</v>
      </c>
    </row>
    <row r="2821" spans="2:5" x14ac:dyDescent="0.25">
      <c r="B2821" s="545">
        <v>3278</v>
      </c>
      <c r="C2821" s="545" t="s">
        <v>1022</v>
      </c>
      <c r="D2821" s="669" t="s">
        <v>7750</v>
      </c>
      <c r="E2821" s="546">
        <v>591.53332499999999</v>
      </c>
    </row>
    <row r="2822" spans="2:5" x14ac:dyDescent="0.25">
      <c r="B2822" s="545">
        <v>3279</v>
      </c>
      <c r="C2822" s="545" t="s">
        <v>7059</v>
      </c>
      <c r="D2822" s="669" t="s">
        <v>7750</v>
      </c>
      <c r="E2822" s="546">
        <v>610.00000899999998</v>
      </c>
    </row>
    <row r="2823" spans="2:5" x14ac:dyDescent="0.25">
      <c r="B2823" s="545">
        <v>3280</v>
      </c>
      <c r="C2823" s="545" t="s">
        <v>1257</v>
      </c>
      <c r="D2823" s="669" t="s">
        <v>7750</v>
      </c>
      <c r="E2823" s="546">
        <v>606.85000600000001</v>
      </c>
    </row>
    <row r="2824" spans="2:5" x14ac:dyDescent="0.25">
      <c r="B2824" s="545">
        <v>3281</v>
      </c>
      <c r="C2824" s="545" t="s">
        <v>6825</v>
      </c>
      <c r="D2824" s="669" t="s">
        <v>7750</v>
      </c>
      <c r="E2824" s="546">
        <v>600.5</v>
      </c>
    </row>
    <row r="2825" spans="2:5" x14ac:dyDescent="0.25">
      <c r="B2825" s="545">
        <v>3282</v>
      </c>
      <c r="C2825" s="545" t="s">
        <v>1128</v>
      </c>
      <c r="D2825" s="669" t="s">
        <v>7750</v>
      </c>
      <c r="E2825" s="546">
        <v>599.50499600000001</v>
      </c>
    </row>
    <row r="2826" spans="2:5" x14ac:dyDescent="0.25">
      <c r="B2826" s="545">
        <v>3283</v>
      </c>
      <c r="C2826" s="545" t="s">
        <v>1075</v>
      </c>
      <c r="D2826" s="669" t="s">
        <v>7750</v>
      </c>
      <c r="E2826" s="546">
        <v>608.73333700000001</v>
      </c>
    </row>
    <row r="2827" spans="2:5" x14ac:dyDescent="0.25">
      <c r="B2827" s="545">
        <v>3284</v>
      </c>
      <c r="C2827" s="545" t="s">
        <v>1215</v>
      </c>
      <c r="D2827" s="669" t="s">
        <v>7750</v>
      </c>
      <c r="E2827" s="546">
        <v>604.87141599999995</v>
      </c>
    </row>
    <row r="2828" spans="2:5" x14ac:dyDescent="0.25">
      <c r="B2828" s="545">
        <v>3285</v>
      </c>
      <c r="C2828" s="545" t="s">
        <v>933</v>
      </c>
      <c r="D2828" s="669" t="s">
        <v>7750</v>
      </c>
      <c r="E2828" s="546">
        <v>582.89999399999999</v>
      </c>
    </row>
    <row r="2829" spans="2:5" x14ac:dyDescent="0.25">
      <c r="B2829" s="545">
        <v>3286</v>
      </c>
      <c r="C2829" s="545" t="s">
        <v>1239</v>
      </c>
      <c r="D2829" s="669" t="s">
        <v>7750</v>
      </c>
      <c r="E2829" s="546">
        <v>606.05000299999995</v>
      </c>
    </row>
    <row r="2830" spans="2:5" x14ac:dyDescent="0.25">
      <c r="B2830" s="545">
        <v>3287</v>
      </c>
      <c r="C2830" s="545" t="s">
        <v>1182</v>
      </c>
      <c r="D2830" s="669" t="s">
        <v>7750</v>
      </c>
      <c r="E2830" s="546">
        <v>603.116669</v>
      </c>
    </row>
    <row r="2831" spans="2:5" x14ac:dyDescent="0.25">
      <c r="B2831" s="545">
        <v>3288</v>
      </c>
      <c r="C2831" s="545" t="s">
        <v>1438</v>
      </c>
      <c r="D2831" s="669" t="s">
        <v>7750</v>
      </c>
      <c r="E2831" s="546">
        <v>617.14999399999999</v>
      </c>
    </row>
    <row r="2832" spans="2:5" x14ac:dyDescent="0.25">
      <c r="B2832" s="545">
        <v>3289</v>
      </c>
      <c r="C2832" s="545" t="s">
        <v>1023</v>
      </c>
      <c r="D2832" s="669" t="s">
        <v>7750</v>
      </c>
      <c r="E2832" s="546">
        <v>591.65555099999995</v>
      </c>
    </row>
    <row r="2833" spans="2:5" x14ac:dyDescent="0.25">
      <c r="B2833" s="545">
        <v>3290</v>
      </c>
      <c r="C2833" s="545" t="s">
        <v>1432</v>
      </c>
      <c r="D2833" s="669" t="s">
        <v>7750</v>
      </c>
      <c r="E2833" s="546">
        <v>616.97143600000004</v>
      </c>
    </row>
    <row r="2834" spans="2:5" x14ac:dyDescent="0.25">
      <c r="B2834" s="545">
        <v>3291</v>
      </c>
      <c r="C2834" s="545" t="s">
        <v>1076</v>
      </c>
      <c r="D2834" s="669" t="s">
        <v>7750</v>
      </c>
      <c r="E2834" s="546">
        <v>595.9</v>
      </c>
    </row>
    <row r="2835" spans="2:5" x14ac:dyDescent="0.25">
      <c r="B2835" s="545">
        <v>3292</v>
      </c>
      <c r="C2835" s="545" t="s">
        <v>1472</v>
      </c>
      <c r="D2835" s="669" t="s">
        <v>7750</v>
      </c>
      <c r="E2835" s="546">
        <v>618.811103</v>
      </c>
    </row>
    <row r="2836" spans="2:5" x14ac:dyDescent="0.25">
      <c r="B2836" s="545">
        <v>3293</v>
      </c>
      <c r="C2836" s="545" t="s">
        <v>1203</v>
      </c>
      <c r="D2836" s="669" t="s">
        <v>7750</v>
      </c>
      <c r="E2836" s="546">
        <v>603.93998999999997</v>
      </c>
    </row>
    <row r="2837" spans="2:5" x14ac:dyDescent="0.25">
      <c r="B2837" s="545">
        <v>3294</v>
      </c>
      <c r="C2837" s="545" t="s">
        <v>1018</v>
      </c>
      <c r="D2837" s="669" t="s">
        <v>7750</v>
      </c>
      <c r="E2837" s="546">
        <v>591</v>
      </c>
    </row>
    <row r="2838" spans="2:5" x14ac:dyDescent="0.25">
      <c r="B2838" s="545">
        <v>3295</v>
      </c>
      <c r="C2838" s="545" t="s">
        <v>1073</v>
      </c>
      <c r="D2838" s="669" t="s">
        <v>7750</v>
      </c>
      <c r="E2838" s="546">
        <v>595.64999399999999</v>
      </c>
    </row>
    <row r="2839" spans="2:5" x14ac:dyDescent="0.25">
      <c r="B2839" s="545">
        <v>3296</v>
      </c>
      <c r="C2839" s="545" t="s">
        <v>1140</v>
      </c>
      <c r="D2839" s="669" t="s">
        <v>7750</v>
      </c>
      <c r="E2839" s="546">
        <v>600.13334099999997</v>
      </c>
    </row>
    <row r="2840" spans="2:5" x14ac:dyDescent="0.25">
      <c r="B2840" s="545">
        <v>3297</v>
      </c>
      <c r="C2840" s="545" t="s">
        <v>1248</v>
      </c>
      <c r="D2840" s="669" t="s">
        <v>7750</v>
      </c>
      <c r="E2840" s="546">
        <v>606.46250199999997</v>
      </c>
    </row>
    <row r="2841" spans="2:5" x14ac:dyDescent="0.25">
      <c r="B2841" s="545">
        <v>3298</v>
      </c>
      <c r="C2841" s="545" t="s">
        <v>1156</v>
      </c>
      <c r="D2841" s="669" t="s">
        <v>7750</v>
      </c>
      <c r="E2841" s="546">
        <v>601.33333300000004</v>
      </c>
    </row>
    <row r="2842" spans="2:5" x14ac:dyDescent="0.25">
      <c r="B2842" s="545">
        <v>3299</v>
      </c>
      <c r="C2842" s="545" t="s">
        <v>1172</v>
      </c>
      <c r="D2842" s="669" t="s">
        <v>7750</v>
      </c>
      <c r="E2842" s="546">
        <v>602.29999799999996</v>
      </c>
    </row>
    <row r="2843" spans="2:5" x14ac:dyDescent="0.25">
      <c r="B2843" s="545">
        <v>3300</v>
      </c>
      <c r="C2843" s="545" t="s">
        <v>6692</v>
      </c>
      <c r="D2843" s="669" t="s">
        <v>7750</v>
      </c>
      <c r="E2843" s="546">
        <v>593.46001000000001</v>
      </c>
    </row>
    <row r="2844" spans="2:5" x14ac:dyDescent="0.25">
      <c r="B2844" s="545">
        <v>3301</v>
      </c>
      <c r="C2844" s="545" t="s">
        <v>1092</v>
      </c>
      <c r="D2844" s="669" t="s">
        <v>7750</v>
      </c>
      <c r="E2844" s="546">
        <v>597</v>
      </c>
    </row>
    <row r="2845" spans="2:5" x14ac:dyDescent="0.25">
      <c r="B2845" s="545">
        <v>3302</v>
      </c>
      <c r="C2845" s="545" t="s">
        <v>1428</v>
      </c>
      <c r="D2845" s="669" t="s">
        <v>7750</v>
      </c>
      <c r="E2845" s="546">
        <v>616.81667100000004</v>
      </c>
    </row>
    <row r="2846" spans="2:5" x14ac:dyDescent="0.25">
      <c r="B2846" s="545">
        <v>3303</v>
      </c>
      <c r="C2846" s="545" t="s">
        <v>6581</v>
      </c>
      <c r="D2846" s="669" t="s">
        <v>7750</v>
      </c>
      <c r="E2846" s="546">
        <v>578.18572099999994</v>
      </c>
    </row>
    <row r="2847" spans="2:5" x14ac:dyDescent="0.25">
      <c r="B2847" s="545">
        <v>3304</v>
      </c>
      <c r="C2847" s="545" t="s">
        <v>6580</v>
      </c>
      <c r="D2847" s="669" t="s">
        <v>7750</v>
      </c>
      <c r="E2847" s="546">
        <v>580.39999399999999</v>
      </c>
    </row>
    <row r="2848" spans="2:5" x14ac:dyDescent="0.25">
      <c r="B2848" s="545">
        <v>3305</v>
      </c>
      <c r="C2848" s="545" t="s">
        <v>1173</v>
      </c>
      <c r="D2848" s="669" t="s">
        <v>7750</v>
      </c>
      <c r="E2848" s="546">
        <v>602.61429299999998</v>
      </c>
    </row>
    <row r="2849" spans="2:5" x14ac:dyDescent="0.25">
      <c r="B2849" s="545">
        <v>3306</v>
      </c>
      <c r="C2849" s="545" t="s">
        <v>1202</v>
      </c>
      <c r="D2849" s="669" t="s">
        <v>7750</v>
      </c>
      <c r="E2849" s="546">
        <v>603.87999300000001</v>
      </c>
    </row>
    <row r="2850" spans="2:5" x14ac:dyDescent="0.25">
      <c r="B2850" s="545">
        <v>3307</v>
      </c>
      <c r="C2850" s="545" t="s">
        <v>1264</v>
      </c>
      <c r="D2850" s="669" t="s">
        <v>7750</v>
      </c>
      <c r="E2850" s="546">
        <v>607.30000800000005</v>
      </c>
    </row>
    <row r="2851" spans="2:5" x14ac:dyDescent="0.25">
      <c r="B2851" s="545">
        <v>3308</v>
      </c>
      <c r="C2851" s="545" t="s">
        <v>1148</v>
      </c>
      <c r="D2851" s="669" t="s">
        <v>7750</v>
      </c>
      <c r="E2851" s="546">
        <v>600.84001499999999</v>
      </c>
    </row>
    <row r="2852" spans="2:5" x14ac:dyDescent="0.25">
      <c r="B2852" s="545">
        <v>3309</v>
      </c>
      <c r="C2852" s="545" t="s">
        <v>1237</v>
      </c>
      <c r="D2852" s="669" t="s">
        <v>7750</v>
      </c>
      <c r="E2852" s="546">
        <v>605.92500299999995</v>
      </c>
    </row>
    <row r="2853" spans="2:5" x14ac:dyDescent="0.25">
      <c r="B2853" s="545">
        <v>3310</v>
      </c>
      <c r="C2853" s="545" t="s">
        <v>1068</v>
      </c>
      <c r="D2853" s="669" t="s">
        <v>7750</v>
      </c>
      <c r="E2853" s="546">
        <v>595.22857699999997</v>
      </c>
    </row>
    <row r="2854" spans="2:5" x14ac:dyDescent="0.25">
      <c r="B2854" s="545">
        <v>3311</v>
      </c>
      <c r="C2854" s="545" t="s">
        <v>1136</v>
      </c>
      <c r="D2854" s="669" t="s">
        <v>7750</v>
      </c>
      <c r="E2854" s="546">
        <v>599.73637299999996</v>
      </c>
    </row>
    <row r="2855" spans="2:5" x14ac:dyDescent="0.25">
      <c r="B2855" s="545">
        <v>3312</v>
      </c>
      <c r="C2855" s="545" t="s">
        <v>1282</v>
      </c>
      <c r="D2855" s="669" t="s">
        <v>7750</v>
      </c>
      <c r="E2855" s="546">
        <v>608.63332100000002</v>
      </c>
    </row>
    <row r="2856" spans="2:5" x14ac:dyDescent="0.25">
      <c r="B2856" s="545">
        <v>3313</v>
      </c>
      <c r="C2856" s="545" t="s">
        <v>1243</v>
      </c>
      <c r="D2856" s="669" t="s">
        <v>7750</v>
      </c>
      <c r="E2856" s="546">
        <v>606.31667100000004</v>
      </c>
    </row>
    <row r="2857" spans="2:5" x14ac:dyDescent="0.25">
      <c r="B2857" s="545">
        <v>3314</v>
      </c>
      <c r="C2857" s="545" t="s">
        <v>971</v>
      </c>
      <c r="D2857" s="669" t="s">
        <v>7750</v>
      </c>
      <c r="E2857" s="546">
        <v>585.84286899999995</v>
      </c>
    </row>
    <row r="2858" spans="2:5" x14ac:dyDescent="0.25">
      <c r="B2858" s="545">
        <v>3315</v>
      </c>
      <c r="C2858" s="545" t="s">
        <v>1057</v>
      </c>
      <c r="D2858" s="669" t="s">
        <v>7750</v>
      </c>
      <c r="E2858" s="546">
        <v>594.53333899999996</v>
      </c>
    </row>
    <row r="2859" spans="2:5" x14ac:dyDescent="0.25">
      <c r="B2859" s="545">
        <v>3316</v>
      </c>
      <c r="C2859" s="545" t="s">
        <v>807</v>
      </c>
      <c r="D2859" s="669" t="s">
        <v>7750</v>
      </c>
      <c r="E2859" s="546">
        <v>575.53636600000004</v>
      </c>
    </row>
    <row r="2860" spans="2:5" x14ac:dyDescent="0.25">
      <c r="B2860" s="545">
        <v>3317</v>
      </c>
      <c r="C2860" s="545" t="s">
        <v>791</v>
      </c>
      <c r="D2860" s="669" t="s">
        <v>7750</v>
      </c>
      <c r="E2860" s="546">
        <v>566.04666299999997</v>
      </c>
    </row>
    <row r="2861" spans="2:5" x14ac:dyDescent="0.25">
      <c r="B2861" s="545">
        <v>3318</v>
      </c>
      <c r="C2861" s="545" t="s">
        <v>7249</v>
      </c>
      <c r="D2861" s="669" t="s">
        <v>7750</v>
      </c>
      <c r="E2861" s="546">
        <v>599.40002400000003</v>
      </c>
    </row>
    <row r="2862" spans="2:5" x14ac:dyDescent="0.25">
      <c r="B2862" s="545">
        <v>3319</v>
      </c>
      <c r="C2862" s="545" t="s">
        <v>891</v>
      </c>
      <c r="D2862" s="669" t="s">
        <v>7750</v>
      </c>
      <c r="E2862" s="546">
        <v>578.72221500000001</v>
      </c>
    </row>
    <row r="2863" spans="2:5" x14ac:dyDescent="0.25">
      <c r="B2863" s="545">
        <v>3320</v>
      </c>
      <c r="C2863" s="545" t="s">
        <v>810</v>
      </c>
      <c r="D2863" s="669" t="s">
        <v>7750</v>
      </c>
      <c r="E2863" s="546">
        <v>568.93332899999996</v>
      </c>
    </row>
    <row r="2864" spans="2:5" x14ac:dyDescent="0.25">
      <c r="B2864" s="545">
        <v>3321</v>
      </c>
      <c r="C2864" s="545" t="s">
        <v>814</v>
      </c>
      <c r="D2864" s="669" t="s">
        <v>421</v>
      </c>
      <c r="E2864" s="546">
        <v>569.85554999999999</v>
      </c>
    </row>
    <row r="2865" spans="2:5" x14ac:dyDescent="0.25">
      <c r="B2865" s="545">
        <v>3322</v>
      </c>
      <c r="C2865" s="545" t="s">
        <v>881</v>
      </c>
      <c r="D2865" s="669" t="s">
        <v>421</v>
      </c>
      <c r="E2865" s="546">
        <v>577.68572099999994</v>
      </c>
    </row>
    <row r="2866" spans="2:5" x14ac:dyDescent="0.25">
      <c r="B2866" s="545">
        <v>3323</v>
      </c>
      <c r="C2866" s="545" t="s">
        <v>901</v>
      </c>
      <c r="D2866" s="669" t="s">
        <v>421</v>
      </c>
      <c r="E2866" s="546">
        <v>579.64285700000005</v>
      </c>
    </row>
    <row r="2867" spans="2:5" x14ac:dyDescent="0.25">
      <c r="B2867" s="545">
        <v>3324</v>
      </c>
      <c r="C2867" s="545" t="s">
        <v>873</v>
      </c>
      <c r="D2867" s="669" t="s">
        <v>421</v>
      </c>
      <c r="E2867" s="546">
        <v>577.12857499999996</v>
      </c>
    </row>
    <row r="2868" spans="2:5" x14ac:dyDescent="0.25">
      <c r="B2868" s="545">
        <v>3325</v>
      </c>
      <c r="C2868" s="545" t="s">
        <v>765</v>
      </c>
      <c r="D2868" s="669" t="s">
        <v>421</v>
      </c>
      <c r="E2868" s="546">
        <v>561.41818499999999</v>
      </c>
    </row>
    <row r="2869" spans="2:5" x14ac:dyDescent="0.25">
      <c r="B2869" s="545">
        <v>3326</v>
      </c>
      <c r="C2869" s="545" t="s">
        <v>790</v>
      </c>
      <c r="D2869" s="669" t="s">
        <v>421</v>
      </c>
      <c r="E2869" s="546">
        <v>565.84546499999999</v>
      </c>
    </row>
    <row r="2870" spans="2:5" x14ac:dyDescent="0.25">
      <c r="B2870" s="545">
        <v>3327</v>
      </c>
      <c r="C2870" s="545" t="s">
        <v>874</v>
      </c>
      <c r="D2870" s="669" t="s">
        <v>421</v>
      </c>
      <c r="E2870" s="546">
        <v>577.17999299999997</v>
      </c>
    </row>
    <row r="2871" spans="2:5" x14ac:dyDescent="0.25">
      <c r="B2871" s="545">
        <v>3328</v>
      </c>
      <c r="C2871" s="545" t="s">
        <v>844</v>
      </c>
      <c r="D2871" s="669" t="s">
        <v>421</v>
      </c>
      <c r="E2871" s="546">
        <v>574.14285700000005</v>
      </c>
    </row>
    <row r="2872" spans="2:5" x14ac:dyDescent="0.25">
      <c r="B2872" s="545">
        <v>3329</v>
      </c>
      <c r="C2872" s="545" t="s">
        <v>956</v>
      </c>
      <c r="D2872" s="669" t="s">
        <v>421</v>
      </c>
      <c r="E2872" s="546">
        <v>584.72500100000002</v>
      </c>
    </row>
    <row r="2873" spans="2:5" x14ac:dyDescent="0.25">
      <c r="B2873" s="545">
        <v>3330</v>
      </c>
      <c r="C2873" s="545" t="s">
        <v>1286</v>
      </c>
      <c r="D2873" s="669" t="s">
        <v>421</v>
      </c>
      <c r="E2873" s="546">
        <v>608.73333700000001</v>
      </c>
    </row>
    <row r="2874" spans="2:5" x14ac:dyDescent="0.25">
      <c r="B2874" s="545">
        <v>3331</v>
      </c>
      <c r="C2874" s="545" t="s">
        <v>1238</v>
      </c>
      <c r="D2874" s="669" t="s">
        <v>421</v>
      </c>
      <c r="E2874" s="546">
        <v>605.93636300000003</v>
      </c>
    </row>
    <row r="2875" spans="2:5" x14ac:dyDescent="0.25">
      <c r="B2875" s="545">
        <v>3332</v>
      </c>
      <c r="C2875" s="545" t="s">
        <v>991</v>
      </c>
      <c r="D2875" s="669" t="s">
        <v>421</v>
      </c>
      <c r="E2875" s="546">
        <v>588.09090900000001</v>
      </c>
    </row>
    <row r="2876" spans="2:5" x14ac:dyDescent="0.25">
      <c r="B2876" s="545">
        <v>3333</v>
      </c>
      <c r="C2876" s="545" t="s">
        <v>1365</v>
      </c>
      <c r="D2876" s="669" t="s">
        <v>421</v>
      </c>
      <c r="E2876" s="546">
        <v>613.54999999999995</v>
      </c>
    </row>
    <row r="2877" spans="2:5" x14ac:dyDescent="0.25">
      <c r="B2877" s="545">
        <v>3334</v>
      </c>
      <c r="C2877" s="545" t="s">
        <v>946</v>
      </c>
      <c r="D2877" s="669" t="s">
        <v>421</v>
      </c>
      <c r="E2877" s="546">
        <v>583.82500500000003</v>
      </c>
    </row>
    <row r="2878" spans="2:5" x14ac:dyDescent="0.25">
      <c r="B2878" s="545">
        <v>3335</v>
      </c>
      <c r="C2878" s="545" t="s">
        <v>421</v>
      </c>
      <c r="D2878" s="669" t="s">
        <v>421</v>
      </c>
      <c r="E2878" s="546">
        <v>571.55453799999998</v>
      </c>
    </row>
    <row r="2879" spans="2:5" x14ac:dyDescent="0.25">
      <c r="B2879" s="545">
        <v>3336</v>
      </c>
      <c r="C2879" s="545" t="s">
        <v>1069</v>
      </c>
      <c r="D2879" s="669" t="s">
        <v>421</v>
      </c>
      <c r="E2879" s="546">
        <v>595.23750299999995</v>
      </c>
    </row>
    <row r="2880" spans="2:5" x14ac:dyDescent="0.25">
      <c r="B2880" s="545">
        <v>3337</v>
      </c>
      <c r="C2880" s="545" t="s">
        <v>855</v>
      </c>
      <c r="D2880" s="669" t="s">
        <v>421</v>
      </c>
      <c r="E2880" s="546">
        <v>575.18332899999996</v>
      </c>
    </row>
    <row r="2881" spans="2:5" x14ac:dyDescent="0.25">
      <c r="B2881" s="545">
        <v>3338</v>
      </c>
      <c r="C2881" s="545" t="s">
        <v>879</v>
      </c>
      <c r="D2881" s="669" t="s">
        <v>421</v>
      </c>
      <c r="E2881" s="546">
        <v>577.59997599999997</v>
      </c>
    </row>
    <row r="2882" spans="2:5" x14ac:dyDescent="0.25">
      <c r="B2882" s="545">
        <v>3339</v>
      </c>
      <c r="C2882" s="545" t="s">
        <v>925</v>
      </c>
      <c r="D2882" s="669" t="s">
        <v>421</v>
      </c>
      <c r="E2882" s="546">
        <v>582.33749399999999</v>
      </c>
    </row>
    <row r="2883" spans="2:5" x14ac:dyDescent="0.25">
      <c r="B2883" s="545">
        <v>3340</v>
      </c>
      <c r="C2883" s="545" t="s">
        <v>872</v>
      </c>
      <c r="D2883" s="669" t="s">
        <v>421</v>
      </c>
      <c r="E2883" s="546">
        <v>577.09999400000004</v>
      </c>
    </row>
    <row r="2884" spans="2:5" x14ac:dyDescent="0.25">
      <c r="B2884" s="545">
        <v>3341</v>
      </c>
      <c r="C2884" s="545" t="s">
        <v>858</v>
      </c>
      <c r="D2884" s="669" t="s">
        <v>421</v>
      </c>
      <c r="E2884" s="546">
        <v>575.32501200000002</v>
      </c>
    </row>
    <row r="2885" spans="2:5" x14ac:dyDescent="0.25">
      <c r="B2885" s="545">
        <v>3342</v>
      </c>
      <c r="C2885" s="545" t="s">
        <v>825</v>
      </c>
      <c r="D2885" s="669" t="s">
        <v>421</v>
      </c>
      <c r="E2885" s="546">
        <v>571.92500299999995</v>
      </c>
    </row>
    <row r="2886" spans="2:5" x14ac:dyDescent="0.25">
      <c r="B2886" s="545">
        <v>3343</v>
      </c>
      <c r="C2886" s="545" t="s">
        <v>6773</v>
      </c>
      <c r="D2886" s="669" t="s">
        <v>421</v>
      </c>
      <c r="E2886" s="546">
        <v>599.25</v>
      </c>
    </row>
    <row r="2887" spans="2:5" x14ac:dyDescent="0.25">
      <c r="B2887" s="545">
        <v>3344</v>
      </c>
      <c r="C2887" s="545" t="s">
        <v>823</v>
      </c>
      <c r="D2887" s="669" t="s">
        <v>421</v>
      </c>
      <c r="E2887" s="546">
        <v>571.72858499999995</v>
      </c>
    </row>
    <row r="2888" spans="2:5" x14ac:dyDescent="0.25">
      <c r="B2888" s="545">
        <v>3345</v>
      </c>
      <c r="C2888" s="545" t="s">
        <v>1041</v>
      </c>
      <c r="D2888" s="669" t="s">
        <v>421</v>
      </c>
      <c r="E2888" s="546">
        <v>592.616669</v>
      </c>
    </row>
    <row r="2889" spans="2:5" x14ac:dyDescent="0.25">
      <c r="B2889" s="545">
        <v>3346</v>
      </c>
      <c r="C2889" s="545" t="s">
        <v>7380</v>
      </c>
      <c r="D2889" s="669" t="s">
        <v>421</v>
      </c>
      <c r="E2889" s="546">
        <v>577.48181199999999</v>
      </c>
    </row>
    <row r="2890" spans="2:5" x14ac:dyDescent="0.25">
      <c r="B2890" s="545">
        <v>3347</v>
      </c>
      <c r="C2890" s="545" t="s">
        <v>916</v>
      </c>
      <c r="D2890" s="669" t="s">
        <v>421</v>
      </c>
      <c r="E2890" s="546">
        <v>580.93124799999998</v>
      </c>
    </row>
    <row r="2891" spans="2:5" x14ac:dyDescent="0.25">
      <c r="B2891" s="545">
        <v>3348</v>
      </c>
      <c r="C2891" s="545" t="s">
        <v>1042</v>
      </c>
      <c r="D2891" s="669" t="s">
        <v>421</v>
      </c>
      <c r="E2891" s="546">
        <v>592.72351800000001</v>
      </c>
    </row>
    <row r="2892" spans="2:5" x14ac:dyDescent="0.25">
      <c r="B2892" s="545">
        <v>3349</v>
      </c>
      <c r="C2892" s="545" t="s">
        <v>973</v>
      </c>
      <c r="D2892" s="669" t="s">
        <v>421</v>
      </c>
      <c r="E2892" s="546">
        <v>586</v>
      </c>
    </row>
    <row r="2893" spans="2:5" x14ac:dyDescent="0.25">
      <c r="B2893" s="545">
        <v>3350</v>
      </c>
      <c r="C2893" s="545" t="s">
        <v>1031</v>
      </c>
      <c r="D2893" s="669" t="s">
        <v>421</v>
      </c>
      <c r="E2893" s="546">
        <v>592.08571099999995</v>
      </c>
    </row>
    <row r="2894" spans="2:5" x14ac:dyDescent="0.25">
      <c r="B2894" s="545">
        <v>3351</v>
      </c>
      <c r="C2894" s="545" t="s">
        <v>737</v>
      </c>
      <c r="D2894" s="669" t="s">
        <v>421</v>
      </c>
      <c r="E2894" s="546">
        <v>552.21334200000001</v>
      </c>
    </row>
    <row r="2895" spans="2:5" x14ac:dyDescent="0.25">
      <c r="B2895" s="545">
        <v>3352</v>
      </c>
      <c r="C2895" s="545" t="s">
        <v>843</v>
      </c>
      <c r="D2895" s="669" t="s">
        <v>421</v>
      </c>
      <c r="E2895" s="546">
        <v>574.09167500000001</v>
      </c>
    </row>
    <row r="2896" spans="2:5" x14ac:dyDescent="0.25">
      <c r="B2896" s="545">
        <v>3353</v>
      </c>
      <c r="C2896" s="545" t="s">
        <v>833</v>
      </c>
      <c r="D2896" s="669" t="s">
        <v>421</v>
      </c>
      <c r="E2896" s="546">
        <v>573.25453900000002</v>
      </c>
    </row>
    <row r="2897" spans="2:5" x14ac:dyDescent="0.25">
      <c r="B2897" s="545">
        <v>3354</v>
      </c>
      <c r="C2897" s="545" t="s">
        <v>6625</v>
      </c>
      <c r="D2897" s="669" t="s">
        <v>421</v>
      </c>
      <c r="E2897" s="546">
        <v>555.22220900000002</v>
      </c>
    </row>
    <row r="2898" spans="2:5" x14ac:dyDescent="0.25">
      <c r="B2898" s="545">
        <v>3355</v>
      </c>
      <c r="C2898" s="545" t="s">
        <v>870</v>
      </c>
      <c r="D2898" s="669" t="s">
        <v>421</v>
      </c>
      <c r="E2898" s="546">
        <v>577.07000100000005</v>
      </c>
    </row>
    <row r="2899" spans="2:5" x14ac:dyDescent="0.25">
      <c r="B2899" s="545">
        <v>3356</v>
      </c>
      <c r="C2899" s="545" t="s">
        <v>6727</v>
      </c>
      <c r="D2899" s="669" t="s">
        <v>421</v>
      </c>
      <c r="E2899" s="546">
        <v>562.276926</v>
      </c>
    </row>
    <row r="2900" spans="2:5" ht="14.4" x14ac:dyDescent="0.25">
      <c r="B2900" s="543">
        <v>3357</v>
      </c>
      <c r="C2900" s="545" t="s">
        <v>714</v>
      </c>
      <c r="D2900" s="669" t="s">
        <v>421</v>
      </c>
      <c r="E2900" s="544">
        <v>542.77499399999999</v>
      </c>
    </row>
    <row r="2901" spans="2:5" x14ac:dyDescent="0.25">
      <c r="B2901" s="545">
        <v>3358</v>
      </c>
      <c r="C2901" s="545" t="s">
        <v>6603</v>
      </c>
      <c r="D2901" s="669" t="s">
        <v>421</v>
      </c>
      <c r="E2901" s="546">
        <v>570.08571099999995</v>
      </c>
    </row>
    <row r="2902" spans="2:5" x14ac:dyDescent="0.25">
      <c r="B2902" s="545">
        <v>3359</v>
      </c>
      <c r="C2902" s="545" t="s">
        <v>887</v>
      </c>
      <c r="D2902" s="669" t="s">
        <v>421</v>
      </c>
      <c r="E2902" s="546">
        <v>578.44285400000001</v>
      </c>
    </row>
    <row r="2903" spans="2:5" ht="14.4" x14ac:dyDescent="0.25">
      <c r="B2903" s="545">
        <v>3360</v>
      </c>
      <c r="C2903" s="543" t="s">
        <v>902</v>
      </c>
      <c r="D2903" s="669" t="s">
        <v>421</v>
      </c>
      <c r="E2903" s="546">
        <v>579.71538799999996</v>
      </c>
    </row>
    <row r="2904" spans="2:5" x14ac:dyDescent="0.25">
      <c r="B2904" s="545">
        <v>3361</v>
      </c>
      <c r="C2904" s="545" t="s">
        <v>6923</v>
      </c>
      <c r="D2904" s="669" t="s">
        <v>421</v>
      </c>
      <c r="E2904" s="546">
        <v>620.18572099999994</v>
      </c>
    </row>
    <row r="2905" spans="2:5" x14ac:dyDescent="0.25">
      <c r="B2905" s="545">
        <v>3362</v>
      </c>
      <c r="C2905" s="545" t="s">
        <v>1027</v>
      </c>
      <c r="D2905" s="669" t="s">
        <v>421</v>
      </c>
      <c r="E2905" s="546">
        <v>591.86666400000001</v>
      </c>
    </row>
    <row r="2906" spans="2:5" x14ac:dyDescent="0.25">
      <c r="B2906" s="545">
        <v>3363</v>
      </c>
      <c r="C2906" s="545" t="s">
        <v>1241</v>
      </c>
      <c r="D2906" s="669" t="s">
        <v>421</v>
      </c>
      <c r="E2906" s="546">
        <v>606.214294</v>
      </c>
    </row>
    <row r="2907" spans="2:5" x14ac:dyDescent="0.25">
      <c r="B2907" s="545">
        <v>3401</v>
      </c>
      <c r="C2907" s="545" t="s">
        <v>1035</v>
      </c>
      <c r="D2907" s="669" t="s">
        <v>423</v>
      </c>
      <c r="E2907" s="546">
        <v>592.33333300000004</v>
      </c>
    </row>
    <row r="2908" spans="2:5" x14ac:dyDescent="0.25">
      <c r="B2908" s="545">
        <v>3402</v>
      </c>
      <c r="C2908" s="545" t="s">
        <v>6484</v>
      </c>
      <c r="D2908" s="669" t="s">
        <v>428</v>
      </c>
      <c r="E2908" s="546">
        <v>769.69091200000003</v>
      </c>
    </row>
    <row r="2909" spans="2:5" x14ac:dyDescent="0.25">
      <c r="B2909" s="545">
        <v>3403</v>
      </c>
      <c r="C2909" s="545" t="s">
        <v>3302</v>
      </c>
      <c r="D2909" s="669" t="s">
        <v>428</v>
      </c>
      <c r="E2909" s="546">
        <v>763</v>
      </c>
    </row>
    <row r="2910" spans="2:5" x14ac:dyDescent="0.25">
      <c r="B2910" s="545">
        <v>3404</v>
      </c>
      <c r="C2910" s="545" t="s">
        <v>2309</v>
      </c>
      <c r="D2910" s="669" t="s">
        <v>428</v>
      </c>
      <c r="E2910" s="546">
        <v>657.75</v>
      </c>
    </row>
    <row r="2911" spans="2:5" x14ac:dyDescent="0.25">
      <c r="B2911" s="545">
        <v>3405</v>
      </c>
      <c r="C2911" s="545" t="s">
        <v>898</v>
      </c>
      <c r="D2911" s="669" t="s">
        <v>423</v>
      </c>
      <c r="E2911" s="546">
        <v>579.52500899999995</v>
      </c>
    </row>
    <row r="2912" spans="2:5" x14ac:dyDescent="0.25">
      <c r="B2912" s="545">
        <v>3406</v>
      </c>
      <c r="C2912" s="545" t="s">
        <v>1076</v>
      </c>
      <c r="D2912" s="669" t="s">
        <v>423</v>
      </c>
      <c r="E2912" s="546">
        <v>765.82143299999996</v>
      </c>
    </row>
    <row r="2913" spans="2:5" x14ac:dyDescent="0.25">
      <c r="B2913" s="715">
        <v>3406</v>
      </c>
      <c r="C2913" s="715" t="s">
        <v>1076</v>
      </c>
      <c r="D2913" s="669" t="s">
        <v>428</v>
      </c>
      <c r="E2913" s="546">
        <v>765.82143299999996</v>
      </c>
    </row>
    <row r="2914" spans="2:5" x14ac:dyDescent="0.25">
      <c r="B2914" s="545">
        <v>3407</v>
      </c>
      <c r="C2914" s="545" t="s">
        <v>807</v>
      </c>
      <c r="D2914" s="669" t="s">
        <v>423</v>
      </c>
      <c r="E2914" s="546">
        <v>567.69999199999995</v>
      </c>
    </row>
    <row r="2915" spans="2:5" x14ac:dyDescent="0.25">
      <c r="B2915" s="545">
        <v>3408</v>
      </c>
      <c r="C2915" s="545" t="s">
        <v>3994</v>
      </c>
      <c r="D2915" s="669" t="s">
        <v>428</v>
      </c>
      <c r="E2915" s="546">
        <v>744.46000400000003</v>
      </c>
    </row>
    <row r="2916" spans="2:5" x14ac:dyDescent="0.25">
      <c r="B2916" s="545">
        <v>3409</v>
      </c>
      <c r="C2916" s="545" t="s">
        <v>5237</v>
      </c>
      <c r="D2916" s="669" t="s">
        <v>428</v>
      </c>
      <c r="E2916" s="546">
        <v>851.82499700000005</v>
      </c>
    </row>
    <row r="2917" spans="2:5" x14ac:dyDescent="0.25">
      <c r="B2917" s="545">
        <v>3410</v>
      </c>
      <c r="C2917" s="545" t="s">
        <v>6658</v>
      </c>
      <c r="D2917" s="669" t="s">
        <v>428</v>
      </c>
      <c r="E2917" s="546">
        <v>765.65999799999997</v>
      </c>
    </row>
    <row r="2918" spans="2:5" x14ac:dyDescent="0.25">
      <c r="B2918" s="545">
        <v>3411</v>
      </c>
      <c r="C2918" s="545" t="s">
        <v>913</v>
      </c>
      <c r="D2918" s="669" t="s">
        <v>423</v>
      </c>
      <c r="E2918" s="546">
        <v>580.84444199999996</v>
      </c>
    </row>
    <row r="2919" spans="2:5" x14ac:dyDescent="0.25">
      <c r="B2919" s="545">
        <v>3412</v>
      </c>
      <c r="C2919" s="545" t="s">
        <v>1256</v>
      </c>
      <c r="D2919" s="669" t="s">
        <v>423</v>
      </c>
      <c r="E2919" s="546">
        <v>606.771432</v>
      </c>
    </row>
    <row r="2920" spans="2:5" x14ac:dyDescent="0.25">
      <c r="B2920" s="545">
        <v>3413</v>
      </c>
      <c r="C2920" s="545" t="s">
        <v>4332</v>
      </c>
      <c r="D2920" s="669" t="s">
        <v>428</v>
      </c>
      <c r="E2920" s="546">
        <v>839.78333499999997</v>
      </c>
    </row>
    <row r="2921" spans="2:5" x14ac:dyDescent="0.25">
      <c r="B2921" s="545">
        <v>3414</v>
      </c>
      <c r="C2921" s="545" t="s">
        <v>5226</v>
      </c>
      <c r="D2921" s="669" t="s">
        <v>428</v>
      </c>
      <c r="E2921" s="546">
        <v>849.90002400000003</v>
      </c>
    </row>
    <row r="2922" spans="2:5" x14ac:dyDescent="0.25">
      <c r="B2922" s="545">
        <v>3415</v>
      </c>
      <c r="C2922" s="545" t="s">
        <v>1716</v>
      </c>
      <c r="D2922" s="669" t="s">
        <v>423</v>
      </c>
      <c r="E2922" s="546">
        <v>632.90000899999995</v>
      </c>
    </row>
    <row r="2923" spans="2:5" x14ac:dyDescent="0.25">
      <c r="B2923" s="545">
        <v>3416</v>
      </c>
      <c r="C2923" s="545" t="s">
        <v>4517</v>
      </c>
      <c r="D2923" s="669" t="s">
        <v>428</v>
      </c>
      <c r="E2923" s="546">
        <v>780.83334400000001</v>
      </c>
    </row>
    <row r="2924" spans="2:5" x14ac:dyDescent="0.25">
      <c r="B2924" s="545">
        <v>3417</v>
      </c>
      <c r="C2924" s="545" t="s">
        <v>2703</v>
      </c>
      <c r="D2924" s="669" t="s">
        <v>428</v>
      </c>
      <c r="E2924" s="546">
        <v>675.95714499999997</v>
      </c>
    </row>
    <row r="2925" spans="2:5" x14ac:dyDescent="0.25">
      <c r="B2925" s="545">
        <v>3418</v>
      </c>
      <c r="C2925" s="545" t="s">
        <v>6729</v>
      </c>
      <c r="D2925" s="669" t="s">
        <v>423</v>
      </c>
      <c r="E2925" s="546">
        <v>705.03214400000002</v>
      </c>
    </row>
    <row r="2926" spans="2:5" x14ac:dyDescent="0.25">
      <c r="B2926" s="545">
        <v>3418</v>
      </c>
      <c r="C2926" s="545" t="s">
        <v>6729</v>
      </c>
      <c r="D2926" s="669" t="s">
        <v>428</v>
      </c>
      <c r="E2926" s="546">
        <v>705.03214400000002</v>
      </c>
    </row>
    <row r="2927" spans="2:5" x14ac:dyDescent="0.25">
      <c r="B2927" s="545">
        <v>3419</v>
      </c>
      <c r="C2927" s="545" t="s">
        <v>6783</v>
      </c>
      <c r="D2927" s="669" t="s">
        <v>423</v>
      </c>
      <c r="E2927" s="546">
        <v>604.09997599999997</v>
      </c>
    </row>
    <row r="2928" spans="2:5" x14ac:dyDescent="0.25">
      <c r="B2928" s="545">
        <v>3420</v>
      </c>
      <c r="C2928" s="545" t="s">
        <v>6784</v>
      </c>
      <c r="D2928" s="669" t="s">
        <v>423</v>
      </c>
      <c r="E2928" s="546">
        <v>612.59997599999997</v>
      </c>
    </row>
    <row r="2929" spans="2:5" x14ac:dyDescent="0.25">
      <c r="B2929" s="545">
        <v>3421</v>
      </c>
      <c r="C2929" s="545" t="s">
        <v>1037</v>
      </c>
      <c r="D2929" s="669" t="s">
        <v>423</v>
      </c>
      <c r="E2929" s="546">
        <v>592.40002400000003</v>
      </c>
    </row>
    <row r="2930" spans="2:5" x14ac:dyDescent="0.25">
      <c r="B2930" s="545">
        <v>3422</v>
      </c>
      <c r="C2930" s="545" t="s">
        <v>3961</v>
      </c>
      <c r="D2930" s="669" t="s">
        <v>428</v>
      </c>
      <c r="E2930" s="546">
        <v>789.86249499999997</v>
      </c>
    </row>
    <row r="2931" spans="2:5" x14ac:dyDescent="0.25">
      <c r="B2931" s="545">
        <v>3423</v>
      </c>
      <c r="C2931" s="545" t="s">
        <v>1083</v>
      </c>
      <c r="D2931" s="669" t="s">
        <v>423</v>
      </c>
      <c r="E2931" s="546">
        <v>596.24375499999996</v>
      </c>
    </row>
    <row r="2932" spans="2:5" x14ac:dyDescent="0.25">
      <c r="B2932" s="545">
        <v>3424</v>
      </c>
      <c r="C2932" s="545" t="s">
        <v>6797</v>
      </c>
      <c r="D2932" s="669" t="s">
        <v>423</v>
      </c>
      <c r="E2932" s="546">
        <v>610.51999499999999</v>
      </c>
    </row>
    <row r="2933" spans="2:5" x14ac:dyDescent="0.25">
      <c r="B2933" s="545">
        <v>3425</v>
      </c>
      <c r="C2933" s="545" t="s">
        <v>893</v>
      </c>
      <c r="D2933" s="669" t="s">
        <v>423</v>
      </c>
      <c r="E2933" s="546">
        <v>578.93332899999996</v>
      </c>
    </row>
    <row r="2934" spans="2:5" x14ac:dyDescent="0.25">
      <c r="B2934" s="545">
        <v>3426</v>
      </c>
      <c r="C2934" s="545" t="s">
        <v>6886</v>
      </c>
      <c r="D2934" s="669" t="s">
        <v>423</v>
      </c>
      <c r="E2934" s="546">
        <v>592.62000699999999</v>
      </c>
    </row>
    <row r="2935" spans="2:5" x14ac:dyDescent="0.25">
      <c r="B2935" s="545">
        <v>3427</v>
      </c>
      <c r="C2935" s="545" t="s">
        <v>6913</v>
      </c>
      <c r="D2935" s="669" t="s">
        <v>423</v>
      </c>
      <c r="E2935" s="546">
        <v>570.91666699999996</v>
      </c>
    </row>
    <row r="2936" spans="2:5" x14ac:dyDescent="0.25">
      <c r="B2936" s="545">
        <v>3428</v>
      </c>
      <c r="C2936" s="545" t="s">
        <v>6914</v>
      </c>
      <c r="D2936" s="669" t="s">
        <v>423</v>
      </c>
      <c r="E2936" s="546">
        <v>627.76000999999997</v>
      </c>
    </row>
    <row r="2937" spans="2:5" x14ac:dyDescent="0.25">
      <c r="B2937" s="545">
        <v>3429</v>
      </c>
      <c r="C2937" s="545" t="s">
        <v>2513</v>
      </c>
      <c r="D2937" s="669" t="s">
        <v>428</v>
      </c>
      <c r="E2937" s="546">
        <v>832.82000700000003</v>
      </c>
    </row>
    <row r="2938" spans="2:5" x14ac:dyDescent="0.25">
      <c r="B2938" s="545">
        <v>3430</v>
      </c>
      <c r="C2938" s="545" t="s">
        <v>6936</v>
      </c>
      <c r="D2938" s="669" t="s">
        <v>428</v>
      </c>
      <c r="E2938" s="546">
        <v>770.85000600000001</v>
      </c>
    </row>
    <row r="2939" spans="2:5" x14ac:dyDescent="0.25">
      <c r="B2939" s="545">
        <v>3431</v>
      </c>
      <c r="C2939" s="545" t="s">
        <v>4227</v>
      </c>
      <c r="D2939" s="669" t="s">
        <v>428</v>
      </c>
      <c r="E2939" s="546">
        <v>759.64000199999998</v>
      </c>
    </row>
    <row r="2940" spans="2:5" x14ac:dyDescent="0.25">
      <c r="B2940" s="545">
        <v>3432</v>
      </c>
      <c r="C2940" s="545" t="s">
        <v>6998</v>
      </c>
      <c r="D2940" s="669" t="s">
        <v>423</v>
      </c>
      <c r="E2940" s="546">
        <v>573.73332700000003</v>
      </c>
    </row>
    <row r="2941" spans="2:5" x14ac:dyDescent="0.25">
      <c r="B2941" s="545">
        <v>3433</v>
      </c>
      <c r="C2941" s="545" t="s">
        <v>7002</v>
      </c>
      <c r="D2941" s="669" t="s">
        <v>423</v>
      </c>
      <c r="E2941" s="546">
        <v>573.54998799999998</v>
      </c>
    </row>
    <row r="2942" spans="2:5" x14ac:dyDescent="0.25">
      <c r="B2942" s="545">
        <v>3434</v>
      </c>
      <c r="C2942" s="545" t="s">
        <v>922</v>
      </c>
      <c r="D2942" s="669" t="s">
        <v>423</v>
      </c>
      <c r="E2942" s="546">
        <v>582</v>
      </c>
    </row>
    <row r="2943" spans="2:5" x14ac:dyDescent="0.25">
      <c r="B2943" s="545">
        <v>3435</v>
      </c>
      <c r="C2943" s="545" t="s">
        <v>988</v>
      </c>
      <c r="D2943" s="669" t="s">
        <v>423</v>
      </c>
      <c r="E2943" s="546">
        <v>587.81429600000001</v>
      </c>
    </row>
    <row r="2944" spans="2:5" x14ac:dyDescent="0.25">
      <c r="B2944" s="545">
        <v>3436</v>
      </c>
      <c r="C2944" s="545" t="s">
        <v>1296</v>
      </c>
      <c r="D2944" s="669" t="s">
        <v>423</v>
      </c>
      <c r="E2944" s="546">
        <v>609.42500299999995</v>
      </c>
    </row>
    <row r="2945" spans="2:5" x14ac:dyDescent="0.25">
      <c r="B2945" s="545">
        <v>3437</v>
      </c>
      <c r="C2945" s="545" t="s">
        <v>7077</v>
      </c>
      <c r="D2945" s="669" t="s">
        <v>423</v>
      </c>
      <c r="E2945" s="546">
        <v>580.55001800000002</v>
      </c>
    </row>
    <row r="2946" spans="2:5" x14ac:dyDescent="0.25">
      <c r="B2946" s="545">
        <v>3438</v>
      </c>
      <c r="C2946" s="545" t="s">
        <v>1288</v>
      </c>
      <c r="D2946" s="669" t="s">
        <v>423</v>
      </c>
      <c r="E2946" s="546">
        <v>608.97502099999997</v>
      </c>
    </row>
    <row r="2947" spans="2:5" x14ac:dyDescent="0.25">
      <c r="B2947" s="545">
        <v>3439</v>
      </c>
      <c r="C2947" s="545" t="s">
        <v>903</v>
      </c>
      <c r="D2947" s="669" t="s">
        <v>423</v>
      </c>
      <c r="E2947" s="546">
        <v>579.75</v>
      </c>
    </row>
    <row r="2948" spans="2:5" x14ac:dyDescent="0.25">
      <c r="B2948" s="545">
        <v>3440</v>
      </c>
      <c r="C2948" s="545" t="s">
        <v>1819</v>
      </c>
      <c r="D2948" s="669" t="s">
        <v>423</v>
      </c>
      <c r="E2948" s="546">
        <v>636.75</v>
      </c>
    </row>
    <row r="2949" spans="2:5" x14ac:dyDescent="0.25">
      <c r="B2949" s="545">
        <v>3441</v>
      </c>
      <c r="C2949" s="545" t="s">
        <v>1897</v>
      </c>
      <c r="D2949" s="669" t="s">
        <v>423</v>
      </c>
      <c r="E2949" s="546">
        <v>639.759998</v>
      </c>
    </row>
    <row r="2950" spans="2:5" x14ac:dyDescent="0.25">
      <c r="B2950" s="545">
        <v>3442</v>
      </c>
      <c r="C2950" s="545" t="s">
        <v>4538</v>
      </c>
      <c r="D2950" s="669" t="s">
        <v>428</v>
      </c>
      <c r="E2950" s="546">
        <v>782.84444199999996</v>
      </c>
    </row>
    <row r="2951" spans="2:5" x14ac:dyDescent="0.25">
      <c r="B2951" s="545">
        <v>3443</v>
      </c>
      <c r="C2951" s="545" t="s">
        <v>3585</v>
      </c>
      <c r="D2951" s="669" t="s">
        <v>428</v>
      </c>
      <c r="E2951" s="546">
        <v>720.55713800000001</v>
      </c>
    </row>
    <row r="2952" spans="2:5" x14ac:dyDescent="0.25">
      <c r="B2952" s="545">
        <v>3444</v>
      </c>
      <c r="C2952" s="545" t="s">
        <v>1442</v>
      </c>
      <c r="D2952" s="669" t="s">
        <v>423</v>
      </c>
      <c r="E2952" s="546">
        <v>617.29998799999998</v>
      </c>
    </row>
    <row r="2953" spans="2:5" x14ac:dyDescent="0.25">
      <c r="B2953" s="545">
        <v>3445</v>
      </c>
      <c r="C2953" s="545" t="s">
        <v>7172</v>
      </c>
      <c r="D2953" s="669" t="s">
        <v>423</v>
      </c>
      <c r="E2953" s="546">
        <v>628.85714299999995</v>
      </c>
    </row>
    <row r="2954" spans="2:5" x14ac:dyDescent="0.25">
      <c r="B2954" s="545">
        <v>3446</v>
      </c>
      <c r="C2954" s="545" t="s">
        <v>1920</v>
      </c>
      <c r="D2954" s="669" t="s">
        <v>428</v>
      </c>
      <c r="E2954" s="546">
        <v>743.76666299999999</v>
      </c>
    </row>
    <row r="2955" spans="2:5" x14ac:dyDescent="0.25">
      <c r="B2955" s="545">
        <v>3447</v>
      </c>
      <c r="C2955" s="545" t="s">
        <v>7206</v>
      </c>
      <c r="D2955" s="669" t="s">
        <v>423</v>
      </c>
      <c r="E2955" s="546">
        <v>604.45001200000002</v>
      </c>
    </row>
    <row r="2956" spans="2:5" x14ac:dyDescent="0.25">
      <c r="B2956" s="545">
        <v>3448</v>
      </c>
      <c r="C2956" s="545" t="s">
        <v>1134</v>
      </c>
      <c r="D2956" s="669" t="s">
        <v>423</v>
      </c>
      <c r="E2956" s="546">
        <v>599.64999399999999</v>
      </c>
    </row>
    <row r="2957" spans="2:5" x14ac:dyDescent="0.25">
      <c r="B2957" s="545">
        <v>3449</v>
      </c>
      <c r="C2957" s="545" t="s">
        <v>7257</v>
      </c>
      <c r="D2957" s="669" t="s">
        <v>423</v>
      </c>
      <c r="E2957" s="546">
        <v>588.59997599999997</v>
      </c>
    </row>
    <row r="2958" spans="2:5" x14ac:dyDescent="0.25">
      <c r="B2958" s="545">
        <v>3450</v>
      </c>
      <c r="C2958" s="545" t="s">
        <v>7258</v>
      </c>
      <c r="D2958" s="669" t="s">
        <v>423</v>
      </c>
      <c r="E2958" s="546">
        <v>590</v>
      </c>
    </row>
    <row r="2959" spans="2:5" x14ac:dyDescent="0.25">
      <c r="B2959" s="545">
        <v>3451</v>
      </c>
      <c r="C2959" s="545" t="s">
        <v>4156</v>
      </c>
      <c r="D2959" s="669" t="s">
        <v>428</v>
      </c>
      <c r="E2959" s="546">
        <v>754.33331299999998</v>
      </c>
    </row>
    <row r="2960" spans="2:5" x14ac:dyDescent="0.25">
      <c r="B2960" s="545">
        <v>3452</v>
      </c>
      <c r="C2960" s="545" t="s">
        <v>4591</v>
      </c>
      <c r="D2960" s="669" t="s">
        <v>428</v>
      </c>
      <c r="E2960" s="546">
        <v>787</v>
      </c>
    </row>
    <row r="2961" spans="2:5" x14ac:dyDescent="0.25">
      <c r="B2961" s="545">
        <v>3453</v>
      </c>
      <c r="C2961" s="545" t="s">
        <v>4341</v>
      </c>
      <c r="D2961" s="669" t="s">
        <v>428</v>
      </c>
      <c r="E2961" s="546">
        <v>767.49998000000005</v>
      </c>
    </row>
    <row r="2962" spans="2:5" x14ac:dyDescent="0.25">
      <c r="B2962" s="545">
        <v>3454</v>
      </c>
      <c r="C2962" s="545" t="s">
        <v>1091</v>
      </c>
      <c r="D2962" s="669" t="s">
        <v>423</v>
      </c>
      <c r="E2962" s="546">
        <v>596.90002400000003</v>
      </c>
    </row>
    <row r="2963" spans="2:5" x14ac:dyDescent="0.25">
      <c r="B2963" s="545">
        <v>3455</v>
      </c>
      <c r="C2963" s="545" t="s">
        <v>7337</v>
      </c>
      <c r="D2963" s="669" t="s">
        <v>428</v>
      </c>
      <c r="E2963" s="546">
        <v>849.96666500000003</v>
      </c>
    </row>
    <row r="2964" spans="2:5" x14ac:dyDescent="0.25">
      <c r="B2964" s="545">
        <v>3456</v>
      </c>
      <c r="C2964" s="545" t="s">
        <v>4326</v>
      </c>
      <c r="D2964" s="669" t="s">
        <v>428</v>
      </c>
      <c r="E2964" s="546">
        <v>766.83334400000001</v>
      </c>
    </row>
    <row r="2965" spans="2:5" x14ac:dyDescent="0.25">
      <c r="B2965" s="545">
        <v>3457</v>
      </c>
      <c r="C2965" s="545" t="s">
        <v>920</v>
      </c>
      <c r="D2965" s="669" t="s">
        <v>423</v>
      </c>
      <c r="E2965" s="546">
        <v>581.43335000000002</v>
      </c>
    </row>
    <row r="2966" spans="2:5" x14ac:dyDescent="0.25">
      <c r="B2966" s="545">
        <v>3458</v>
      </c>
      <c r="C2966" s="545" t="s">
        <v>1368</v>
      </c>
      <c r="D2966" s="669" t="s">
        <v>423</v>
      </c>
      <c r="E2966" s="546">
        <v>613.69998199999998</v>
      </c>
    </row>
    <row r="2967" spans="2:5" x14ac:dyDescent="0.25">
      <c r="B2967" s="545">
        <v>3459</v>
      </c>
      <c r="C2967" s="545" t="s">
        <v>1047</v>
      </c>
      <c r="D2967" s="669" t="s">
        <v>428</v>
      </c>
      <c r="E2967" s="546">
        <v>814.04285500000003</v>
      </c>
    </row>
    <row r="2968" spans="2:5" x14ac:dyDescent="0.25">
      <c r="B2968" s="545">
        <v>3460</v>
      </c>
      <c r="C2968" s="545" t="s">
        <v>7390</v>
      </c>
      <c r="D2968" s="669" t="s">
        <v>428</v>
      </c>
      <c r="E2968" s="546">
        <v>774.53332499999999</v>
      </c>
    </row>
    <row r="2969" spans="2:5" x14ac:dyDescent="0.25">
      <c r="B2969" s="545">
        <v>3461</v>
      </c>
      <c r="C2969" s="545" t="s">
        <v>7392</v>
      </c>
      <c r="D2969" s="669" t="s">
        <v>423</v>
      </c>
      <c r="E2969" s="546">
        <v>574.86667899999998</v>
      </c>
    </row>
    <row r="2970" spans="2:5" x14ac:dyDescent="0.25">
      <c r="B2970" s="545">
        <v>3462</v>
      </c>
      <c r="C2970" s="545" t="s">
        <v>931</v>
      </c>
      <c r="D2970" s="669" t="s">
        <v>423</v>
      </c>
      <c r="E2970" s="546">
        <v>582.80001800000002</v>
      </c>
    </row>
    <row r="2971" spans="2:5" x14ac:dyDescent="0.25">
      <c r="B2971" s="545">
        <v>3463</v>
      </c>
      <c r="C2971" s="545" t="s">
        <v>939</v>
      </c>
      <c r="D2971" s="669" t="s">
        <v>423</v>
      </c>
      <c r="E2971" s="546">
        <v>583.29998799999998</v>
      </c>
    </row>
    <row r="2972" spans="2:5" x14ac:dyDescent="0.25">
      <c r="B2972" s="545">
        <v>3464</v>
      </c>
      <c r="C2972" s="545" t="s">
        <v>1560</v>
      </c>
      <c r="D2972" s="669" t="s">
        <v>423</v>
      </c>
      <c r="E2972" s="546">
        <v>624.26666299999999</v>
      </c>
    </row>
    <row r="2973" spans="2:5" x14ac:dyDescent="0.25">
      <c r="B2973" s="545">
        <v>3465</v>
      </c>
      <c r="C2973" s="545" t="s">
        <v>6548</v>
      </c>
      <c r="D2973" s="669" t="s">
        <v>428</v>
      </c>
      <c r="E2973" s="546">
        <v>668.5</v>
      </c>
    </row>
    <row r="2974" spans="2:5" x14ac:dyDescent="0.25">
      <c r="B2974" s="545">
        <v>3466</v>
      </c>
      <c r="C2974" s="545" t="s">
        <v>921</v>
      </c>
      <c r="D2974" s="669" t="s">
        <v>428</v>
      </c>
      <c r="E2974" s="546">
        <v>773.14999399999999</v>
      </c>
    </row>
    <row r="2975" spans="2:5" x14ac:dyDescent="0.25">
      <c r="B2975" s="545">
        <v>3467</v>
      </c>
      <c r="C2975" s="545" t="s">
        <v>3271</v>
      </c>
      <c r="D2975" s="669" t="s">
        <v>428</v>
      </c>
      <c r="E2975" s="546">
        <v>704.14443600000004</v>
      </c>
    </row>
    <row r="2976" spans="2:5" x14ac:dyDescent="0.25">
      <c r="B2976" s="545">
        <v>3468</v>
      </c>
      <c r="C2976" s="545" t="s">
        <v>905</v>
      </c>
      <c r="D2976" s="669" t="s">
        <v>423</v>
      </c>
      <c r="E2976" s="546">
        <v>580</v>
      </c>
    </row>
    <row r="2977" spans="2:5" x14ac:dyDescent="0.25">
      <c r="B2977" s="545">
        <v>3469</v>
      </c>
      <c r="C2977" s="545" t="s">
        <v>7484</v>
      </c>
      <c r="D2977" s="669" t="s">
        <v>423</v>
      </c>
      <c r="E2977" s="546">
        <v>584.04001500000004</v>
      </c>
    </row>
    <row r="2978" spans="2:5" x14ac:dyDescent="0.25">
      <c r="B2978" s="545">
        <v>3470</v>
      </c>
      <c r="C2978" s="545" t="s">
        <v>7505</v>
      </c>
      <c r="D2978" s="669" t="s">
        <v>423</v>
      </c>
      <c r="E2978" s="546">
        <v>577.06667100000004</v>
      </c>
    </row>
    <row r="2979" spans="2:5" x14ac:dyDescent="0.25">
      <c r="B2979" s="545">
        <v>3471</v>
      </c>
      <c r="C2979" s="545" t="s">
        <v>994</v>
      </c>
      <c r="D2979" s="669" t="s">
        <v>423</v>
      </c>
      <c r="E2979" s="546">
        <v>588.59997599999997</v>
      </c>
    </row>
    <row r="2980" spans="2:5" x14ac:dyDescent="0.25">
      <c r="B2980" s="545">
        <v>3472</v>
      </c>
      <c r="C2980" s="545" t="s">
        <v>1174</v>
      </c>
      <c r="D2980" s="669" t="s">
        <v>423</v>
      </c>
      <c r="E2980" s="546">
        <v>602.64999399999999</v>
      </c>
    </row>
    <row r="2981" spans="2:5" x14ac:dyDescent="0.25">
      <c r="B2981" s="545">
        <v>3473</v>
      </c>
      <c r="C2981" s="545" t="s">
        <v>4134</v>
      </c>
      <c r="D2981" s="669" t="s">
        <v>428</v>
      </c>
      <c r="E2981" s="546">
        <v>752.82999900000004</v>
      </c>
    </row>
    <row r="2982" spans="2:5" x14ac:dyDescent="0.25">
      <c r="B2982" s="545">
        <v>3474</v>
      </c>
      <c r="C2982" s="545" t="s">
        <v>4887</v>
      </c>
      <c r="D2982" s="669" t="s">
        <v>428</v>
      </c>
      <c r="E2982" s="546">
        <v>810.05001800000002</v>
      </c>
    </row>
    <row r="2983" spans="2:5" x14ac:dyDescent="0.25">
      <c r="B2983" s="545">
        <v>3475</v>
      </c>
      <c r="C2983" s="545" t="s">
        <v>6703</v>
      </c>
      <c r="D2983" s="669" t="s">
        <v>428</v>
      </c>
      <c r="E2983" s="546">
        <v>802.375</v>
      </c>
    </row>
    <row r="2984" spans="2:5" x14ac:dyDescent="0.25">
      <c r="B2984" s="545">
        <v>3476</v>
      </c>
      <c r="C2984" s="545" t="s">
        <v>961</v>
      </c>
      <c r="D2984" s="669" t="s">
        <v>423</v>
      </c>
      <c r="E2984" s="546">
        <v>585.15000899999995</v>
      </c>
    </row>
    <row r="2985" spans="2:5" x14ac:dyDescent="0.25">
      <c r="B2985" s="545">
        <v>3477</v>
      </c>
      <c r="C2985" s="545" t="s">
        <v>2270</v>
      </c>
      <c r="D2985" s="669" t="s">
        <v>428</v>
      </c>
      <c r="E2985" s="546">
        <v>768.39048000000003</v>
      </c>
    </row>
    <row r="2986" spans="2:5" x14ac:dyDescent="0.25">
      <c r="B2986" s="545">
        <v>3478</v>
      </c>
      <c r="C2986" s="545" t="s">
        <v>7600</v>
      </c>
      <c r="D2986" s="669" t="s">
        <v>423</v>
      </c>
      <c r="E2986" s="546">
        <v>605.79998799999998</v>
      </c>
    </row>
    <row r="2987" spans="2:5" x14ac:dyDescent="0.25">
      <c r="B2987" s="545">
        <v>3479</v>
      </c>
      <c r="C2987" s="545" t="s">
        <v>1088</v>
      </c>
      <c r="D2987" s="669" t="s">
        <v>423</v>
      </c>
      <c r="E2987" s="546">
        <v>596.70000300000004</v>
      </c>
    </row>
    <row r="2988" spans="2:5" x14ac:dyDescent="0.25">
      <c r="B2988" s="545">
        <v>3480</v>
      </c>
      <c r="C2988" s="545" t="s">
        <v>1751</v>
      </c>
      <c r="D2988" s="669" t="s">
        <v>423</v>
      </c>
      <c r="E2988" s="546">
        <v>634.11110399999995</v>
      </c>
    </row>
    <row r="2989" spans="2:5" x14ac:dyDescent="0.25">
      <c r="B2989" s="545">
        <v>3481</v>
      </c>
      <c r="C2989" s="545" t="s">
        <v>5334</v>
      </c>
      <c r="D2989" s="669" t="s">
        <v>428</v>
      </c>
      <c r="E2989" s="546">
        <v>868.40002400000003</v>
      </c>
    </row>
    <row r="2990" spans="2:5" x14ac:dyDescent="0.25">
      <c r="B2990" s="545">
        <v>3482</v>
      </c>
      <c r="C2990" s="545" t="s">
        <v>3676</v>
      </c>
      <c r="D2990" s="669" t="s">
        <v>428</v>
      </c>
      <c r="E2990" s="546">
        <v>725.87142800000004</v>
      </c>
    </row>
    <row r="2991" spans="2:5" x14ac:dyDescent="0.25">
      <c r="B2991" s="545">
        <v>3483</v>
      </c>
      <c r="C2991" s="545" t="s">
        <v>2245</v>
      </c>
      <c r="D2991" s="669" t="s">
        <v>428</v>
      </c>
      <c r="E2991" s="546">
        <v>655.02856399999996</v>
      </c>
    </row>
    <row r="2992" spans="2:5" x14ac:dyDescent="0.25">
      <c r="B2992" s="545">
        <v>3484</v>
      </c>
      <c r="C2992" s="545" t="s">
        <v>3838</v>
      </c>
      <c r="D2992" s="669" t="s">
        <v>428</v>
      </c>
      <c r="E2992" s="546">
        <v>735.01250500000003</v>
      </c>
    </row>
    <row r="2993" spans="2:5" x14ac:dyDescent="0.25">
      <c r="B2993" s="545">
        <v>3485</v>
      </c>
      <c r="C2993" s="545" t="s">
        <v>2811</v>
      </c>
      <c r="D2993" s="669" t="s">
        <v>428</v>
      </c>
      <c r="E2993" s="546">
        <v>681.79999799999996</v>
      </c>
    </row>
    <row r="2994" spans="2:5" x14ac:dyDescent="0.25">
      <c r="B2994" s="545">
        <v>3486</v>
      </c>
      <c r="C2994" s="545" t="s">
        <v>2288</v>
      </c>
      <c r="D2994" s="669" t="s">
        <v>428</v>
      </c>
      <c r="E2994" s="546">
        <v>656.84999600000003</v>
      </c>
    </row>
    <row r="2995" spans="2:5" x14ac:dyDescent="0.25">
      <c r="B2995" s="545">
        <v>3501</v>
      </c>
      <c r="C2995" s="545" t="s">
        <v>4719</v>
      </c>
      <c r="D2995" s="669" t="s">
        <v>428</v>
      </c>
      <c r="E2995" s="546">
        <v>797.58332299999995</v>
      </c>
    </row>
    <row r="2996" spans="2:5" x14ac:dyDescent="0.25">
      <c r="B2996" s="545">
        <v>3502</v>
      </c>
      <c r="C2996" s="545" t="s">
        <v>4579</v>
      </c>
      <c r="D2996" s="669" t="s">
        <v>428</v>
      </c>
      <c r="E2996" s="546">
        <v>786.44998899999996</v>
      </c>
    </row>
    <row r="2997" spans="2:5" x14ac:dyDescent="0.25">
      <c r="B2997" s="545">
        <v>3503</v>
      </c>
      <c r="C2997" s="545" t="s">
        <v>5471</v>
      </c>
      <c r="D2997" s="669" t="s">
        <v>428</v>
      </c>
      <c r="E2997" s="546">
        <v>891.57692299999997</v>
      </c>
    </row>
    <row r="2998" spans="2:5" x14ac:dyDescent="0.25">
      <c r="B2998" s="545">
        <v>3504</v>
      </c>
      <c r="C2998" s="545" t="s">
        <v>4417</v>
      </c>
      <c r="D2998" s="669" t="s">
        <v>428</v>
      </c>
      <c r="E2998" s="546">
        <v>773.98333700000001</v>
      </c>
    </row>
    <row r="2999" spans="2:5" x14ac:dyDescent="0.25">
      <c r="B2999" s="545">
        <v>3505</v>
      </c>
      <c r="C2999" s="545" t="s">
        <v>5355</v>
      </c>
      <c r="D2999" s="669" t="s">
        <v>428</v>
      </c>
      <c r="E2999" s="546">
        <v>871.31999499999995</v>
      </c>
    </row>
    <row r="3000" spans="2:5" x14ac:dyDescent="0.25">
      <c r="B3000" s="545">
        <v>3506</v>
      </c>
      <c r="C3000" s="545" t="s">
        <v>4260</v>
      </c>
      <c r="D3000" s="669" t="s">
        <v>428</v>
      </c>
      <c r="E3000" s="546">
        <v>761.95999800000004</v>
      </c>
    </row>
    <row r="3001" spans="2:5" x14ac:dyDescent="0.25">
      <c r="B3001" s="545">
        <v>3507</v>
      </c>
      <c r="C3001" s="545" t="s">
        <v>5041</v>
      </c>
      <c r="D3001" s="669" t="s">
        <v>428</v>
      </c>
      <c r="E3001" s="546">
        <v>827.20001200000002</v>
      </c>
    </row>
    <row r="3002" spans="2:5" x14ac:dyDescent="0.25">
      <c r="B3002" s="545">
        <v>3508</v>
      </c>
      <c r="C3002" s="545" t="s">
        <v>1190</v>
      </c>
      <c r="D3002" s="669" t="s">
        <v>428</v>
      </c>
      <c r="E3002" s="546">
        <v>718.57499700000005</v>
      </c>
    </row>
    <row r="3003" spans="2:5" x14ac:dyDescent="0.25">
      <c r="B3003" s="545">
        <v>3509</v>
      </c>
      <c r="C3003" s="545" t="s">
        <v>2866</v>
      </c>
      <c r="D3003" s="669" t="s">
        <v>428</v>
      </c>
      <c r="E3003" s="546">
        <v>684.66666699999996</v>
      </c>
    </row>
    <row r="3004" spans="2:5" x14ac:dyDescent="0.25">
      <c r="B3004" s="545">
        <v>3510</v>
      </c>
      <c r="C3004" s="545" t="s">
        <v>5595</v>
      </c>
      <c r="D3004" s="669" t="s">
        <v>428</v>
      </c>
      <c r="E3004" s="546">
        <v>910.64999399999999</v>
      </c>
    </row>
    <row r="3005" spans="2:5" x14ac:dyDescent="0.25">
      <c r="B3005" s="545">
        <v>3511</v>
      </c>
      <c r="C3005" s="545" t="s">
        <v>1609</v>
      </c>
      <c r="D3005" s="669" t="s">
        <v>428</v>
      </c>
      <c r="E3005" s="546">
        <v>840.65713900000003</v>
      </c>
    </row>
    <row r="3006" spans="2:5" x14ac:dyDescent="0.25">
      <c r="B3006" s="545">
        <v>3512</v>
      </c>
      <c r="C3006" s="545" t="s">
        <v>3257</v>
      </c>
      <c r="D3006" s="669" t="s">
        <v>428</v>
      </c>
      <c r="E3006" s="546">
        <v>703.5</v>
      </c>
    </row>
    <row r="3007" spans="2:5" x14ac:dyDescent="0.25">
      <c r="B3007" s="545">
        <v>3513</v>
      </c>
      <c r="C3007" s="545" t="s">
        <v>3861</v>
      </c>
      <c r="D3007" s="669" t="s">
        <v>428</v>
      </c>
      <c r="E3007" s="546">
        <v>736.42498799999998</v>
      </c>
    </row>
    <row r="3008" spans="2:5" x14ac:dyDescent="0.25">
      <c r="B3008" s="545">
        <v>3514</v>
      </c>
      <c r="C3008" s="545" t="s">
        <v>5351</v>
      </c>
      <c r="D3008" s="669" t="s">
        <v>428</v>
      </c>
      <c r="E3008" s="546">
        <v>870.67500299999995</v>
      </c>
    </row>
    <row r="3009" spans="2:5" x14ac:dyDescent="0.25">
      <c r="B3009" s="545">
        <v>3515</v>
      </c>
      <c r="C3009" s="545" t="s">
        <v>5035</v>
      </c>
      <c r="D3009" s="669" t="s">
        <v>428</v>
      </c>
      <c r="E3009" s="546">
        <v>826.385716</v>
      </c>
    </row>
    <row r="3010" spans="2:5" x14ac:dyDescent="0.25">
      <c r="B3010" s="545">
        <v>3516</v>
      </c>
      <c r="C3010" s="545" t="s">
        <v>4816</v>
      </c>
      <c r="D3010" s="669" t="s">
        <v>428</v>
      </c>
      <c r="E3010" s="546">
        <v>804.53333499999997</v>
      </c>
    </row>
    <row r="3011" spans="2:5" x14ac:dyDescent="0.25">
      <c r="B3011" s="545">
        <v>3517</v>
      </c>
      <c r="C3011" s="545" t="s">
        <v>5550</v>
      </c>
      <c r="D3011" s="669" t="s">
        <v>428</v>
      </c>
      <c r="E3011" s="546">
        <v>904.50000799999998</v>
      </c>
    </row>
    <row r="3012" spans="2:5" x14ac:dyDescent="0.25">
      <c r="B3012" s="545">
        <v>3518</v>
      </c>
      <c r="C3012" s="545" t="s">
        <v>971</v>
      </c>
      <c r="D3012" s="669" t="s">
        <v>428</v>
      </c>
      <c r="E3012" s="546">
        <v>830.5</v>
      </c>
    </row>
    <row r="3013" spans="2:5" x14ac:dyDescent="0.25">
      <c r="B3013" s="545">
        <v>3519</v>
      </c>
      <c r="C3013" s="545" t="s">
        <v>6738</v>
      </c>
      <c r="D3013" s="669" t="s">
        <v>428</v>
      </c>
      <c r="E3013" s="546">
        <v>776.70000100000004</v>
      </c>
    </row>
    <row r="3014" spans="2:5" x14ac:dyDescent="0.25">
      <c r="B3014" s="545">
        <v>3520</v>
      </c>
      <c r="C3014" s="545" t="s">
        <v>6753</v>
      </c>
      <c r="D3014" s="669" t="s">
        <v>428</v>
      </c>
      <c r="E3014" s="546">
        <v>794.59999100000005</v>
      </c>
    </row>
    <row r="3015" spans="2:5" x14ac:dyDescent="0.25">
      <c r="B3015" s="545">
        <v>3521</v>
      </c>
      <c r="C3015" s="545" t="s">
        <v>3024</v>
      </c>
      <c r="D3015" s="669" t="s">
        <v>428</v>
      </c>
      <c r="E3015" s="546">
        <v>692.14000199999998</v>
      </c>
    </row>
    <row r="3016" spans="2:5" x14ac:dyDescent="0.25">
      <c r="B3016" s="545">
        <v>3522</v>
      </c>
      <c r="C3016" s="545" t="s">
        <v>6860</v>
      </c>
      <c r="D3016" s="669" t="s">
        <v>428</v>
      </c>
      <c r="E3016" s="546">
        <v>729.95999800000004</v>
      </c>
    </row>
    <row r="3017" spans="2:5" x14ac:dyDescent="0.25">
      <c r="B3017" s="545">
        <v>3523</v>
      </c>
      <c r="C3017" s="545" t="s">
        <v>6873</v>
      </c>
      <c r="D3017" s="669" t="s">
        <v>428</v>
      </c>
      <c r="E3017" s="546">
        <v>928.64545799999996</v>
      </c>
    </row>
    <row r="3018" spans="2:5" x14ac:dyDescent="0.25">
      <c r="B3018" s="545">
        <v>3524</v>
      </c>
      <c r="C3018" s="545" t="s">
        <v>6935</v>
      </c>
      <c r="D3018" s="669" t="s">
        <v>428</v>
      </c>
      <c r="E3018" s="546">
        <v>862.125</v>
      </c>
    </row>
    <row r="3019" spans="2:5" x14ac:dyDescent="0.25">
      <c r="B3019" s="545">
        <v>3525</v>
      </c>
      <c r="C3019" s="545" t="s">
        <v>6951</v>
      </c>
      <c r="D3019" s="669" t="s">
        <v>428</v>
      </c>
      <c r="E3019" s="546">
        <v>744.79998799999998</v>
      </c>
    </row>
    <row r="3020" spans="2:5" x14ac:dyDescent="0.25">
      <c r="B3020" s="545">
        <v>3526</v>
      </c>
      <c r="C3020" s="545" t="s">
        <v>6952</v>
      </c>
      <c r="D3020" s="669" t="s">
        <v>428</v>
      </c>
      <c r="E3020" s="546">
        <v>703.94000200000005</v>
      </c>
    </row>
    <row r="3021" spans="2:5" x14ac:dyDescent="0.25">
      <c r="B3021" s="545">
        <v>3527</v>
      </c>
      <c r="C3021" s="545" t="s">
        <v>5571</v>
      </c>
      <c r="D3021" s="669" t="s">
        <v>428</v>
      </c>
      <c r="E3021" s="546">
        <v>907.14999399999999</v>
      </c>
    </row>
    <row r="3022" spans="2:5" x14ac:dyDescent="0.25">
      <c r="B3022" s="545">
        <v>3528</v>
      </c>
      <c r="C3022" s="545" t="s">
        <v>4997</v>
      </c>
      <c r="D3022" s="669" t="s">
        <v>428</v>
      </c>
      <c r="E3022" s="546">
        <v>822.86665900000003</v>
      </c>
    </row>
    <row r="3023" spans="2:5" x14ac:dyDescent="0.25">
      <c r="B3023" s="545">
        <v>3529</v>
      </c>
      <c r="C3023" s="545" t="s">
        <v>4895</v>
      </c>
      <c r="D3023" s="669" t="s">
        <v>428</v>
      </c>
      <c r="E3023" s="546">
        <v>811.63076999999998</v>
      </c>
    </row>
    <row r="3024" spans="2:5" x14ac:dyDescent="0.25">
      <c r="B3024" s="545">
        <v>3530</v>
      </c>
      <c r="C3024" s="545" t="s">
        <v>5408</v>
      </c>
      <c r="D3024" s="669" t="s">
        <v>428</v>
      </c>
      <c r="E3024" s="546">
        <v>880.17000099999996</v>
      </c>
    </row>
    <row r="3025" spans="2:5" x14ac:dyDescent="0.25">
      <c r="B3025" s="545">
        <v>3531</v>
      </c>
      <c r="C3025" s="545" t="s">
        <v>3826</v>
      </c>
      <c r="D3025" s="669" t="s">
        <v>428</v>
      </c>
      <c r="E3025" s="546">
        <v>734.16666699999996</v>
      </c>
    </row>
    <row r="3026" spans="2:5" x14ac:dyDescent="0.25">
      <c r="B3026" s="545">
        <v>3532</v>
      </c>
      <c r="C3026" s="545" t="s">
        <v>4492</v>
      </c>
      <c r="D3026" s="669" t="s">
        <v>428</v>
      </c>
      <c r="E3026" s="546">
        <v>779.45999800000004</v>
      </c>
    </row>
    <row r="3027" spans="2:5" x14ac:dyDescent="0.25">
      <c r="B3027" s="545">
        <v>3533</v>
      </c>
      <c r="C3027" s="545" t="s">
        <v>3905</v>
      </c>
      <c r="D3027" s="669" t="s">
        <v>428</v>
      </c>
      <c r="E3027" s="546">
        <v>739.41427999999996</v>
      </c>
    </row>
    <row r="3028" spans="2:5" x14ac:dyDescent="0.25">
      <c r="B3028" s="545">
        <v>3534</v>
      </c>
      <c r="C3028" s="545" t="s">
        <v>4180</v>
      </c>
      <c r="D3028" s="669" t="s">
        <v>428</v>
      </c>
      <c r="E3028" s="546">
        <v>756.05712900000003</v>
      </c>
    </row>
    <row r="3029" spans="2:5" x14ac:dyDescent="0.25">
      <c r="B3029" s="545">
        <v>3535</v>
      </c>
      <c r="C3029" s="545" t="s">
        <v>4020</v>
      </c>
      <c r="D3029" s="669" t="s">
        <v>428</v>
      </c>
      <c r="E3029" s="546">
        <v>746.52500199999997</v>
      </c>
    </row>
    <row r="3030" spans="2:5" x14ac:dyDescent="0.25">
      <c r="B3030" s="545">
        <v>3536</v>
      </c>
      <c r="C3030" s="545" t="s">
        <v>3931</v>
      </c>
      <c r="D3030" s="669" t="s">
        <v>428</v>
      </c>
      <c r="E3030" s="546">
        <v>740.50001499999996</v>
      </c>
    </row>
    <row r="3031" spans="2:5" x14ac:dyDescent="0.25">
      <c r="B3031" s="545">
        <v>3537</v>
      </c>
      <c r="C3031" s="545" t="s">
        <v>6998</v>
      </c>
      <c r="D3031" s="669" t="s">
        <v>428</v>
      </c>
      <c r="E3031" s="546">
        <v>800.41427999999996</v>
      </c>
    </row>
    <row r="3032" spans="2:5" x14ac:dyDescent="0.25">
      <c r="B3032" s="545">
        <v>3538</v>
      </c>
      <c r="C3032" s="545" t="s">
        <v>4711</v>
      </c>
      <c r="D3032" s="669" t="s">
        <v>428</v>
      </c>
      <c r="E3032" s="546">
        <v>797.12499200000002</v>
      </c>
    </row>
    <row r="3033" spans="2:5" x14ac:dyDescent="0.25">
      <c r="B3033" s="545">
        <v>3539</v>
      </c>
      <c r="C3033" s="545" t="s">
        <v>5618</v>
      </c>
      <c r="D3033" s="669" t="s">
        <v>428</v>
      </c>
      <c r="E3033" s="546">
        <v>916.088888</v>
      </c>
    </row>
    <row r="3034" spans="2:5" x14ac:dyDescent="0.25">
      <c r="B3034" s="545">
        <v>3540</v>
      </c>
      <c r="C3034" s="545" t="s">
        <v>5113</v>
      </c>
      <c r="D3034" s="669" t="s">
        <v>428</v>
      </c>
      <c r="E3034" s="546">
        <v>834.66154100000006</v>
      </c>
    </row>
    <row r="3035" spans="2:5" x14ac:dyDescent="0.25">
      <c r="B3035" s="545">
        <v>3541</v>
      </c>
      <c r="C3035" s="545" t="s">
        <v>7042</v>
      </c>
      <c r="D3035" s="669" t="s">
        <v>428</v>
      </c>
      <c r="E3035" s="546">
        <v>859.99998500000004</v>
      </c>
    </row>
    <row r="3036" spans="2:5" x14ac:dyDescent="0.25">
      <c r="B3036" s="545">
        <v>3542</v>
      </c>
      <c r="C3036" s="545" t="s">
        <v>5056</v>
      </c>
      <c r="D3036" s="669" t="s">
        <v>428</v>
      </c>
      <c r="E3036" s="546">
        <v>828.97000100000002</v>
      </c>
    </row>
    <row r="3037" spans="2:5" x14ac:dyDescent="0.25">
      <c r="B3037" s="545">
        <v>3543</v>
      </c>
      <c r="C3037" s="545" t="s">
        <v>2105</v>
      </c>
      <c r="D3037" s="669" t="s">
        <v>428</v>
      </c>
      <c r="E3037" s="546">
        <v>832.66666699999996</v>
      </c>
    </row>
    <row r="3038" spans="2:5" x14ac:dyDescent="0.25">
      <c r="B3038" s="545">
        <v>3544</v>
      </c>
      <c r="C3038" s="545" t="s">
        <v>5234</v>
      </c>
      <c r="D3038" s="669" t="s">
        <v>428</v>
      </c>
      <c r="E3038" s="546">
        <v>851.375</v>
      </c>
    </row>
    <row r="3039" spans="2:5" x14ac:dyDescent="0.25">
      <c r="B3039" s="545">
        <v>3545</v>
      </c>
      <c r="C3039" s="545" t="s">
        <v>7066</v>
      </c>
      <c r="D3039" s="669" t="s">
        <v>428</v>
      </c>
      <c r="E3039" s="546">
        <v>732.90002400000003</v>
      </c>
    </row>
    <row r="3040" spans="2:5" x14ac:dyDescent="0.25">
      <c r="B3040" s="545">
        <v>3546</v>
      </c>
      <c r="C3040" s="545" t="s">
        <v>4950</v>
      </c>
      <c r="D3040" s="669" t="s">
        <v>428</v>
      </c>
      <c r="E3040" s="546">
        <v>816.5</v>
      </c>
    </row>
    <row r="3041" spans="2:5" x14ac:dyDescent="0.25">
      <c r="B3041" s="545">
        <v>3547</v>
      </c>
      <c r="C3041" s="545" t="s">
        <v>4516</v>
      </c>
      <c r="D3041" s="669" t="s">
        <v>428</v>
      </c>
      <c r="E3041" s="546">
        <v>780.82857000000001</v>
      </c>
    </row>
    <row r="3042" spans="2:5" x14ac:dyDescent="0.25">
      <c r="B3042" s="545">
        <v>3548</v>
      </c>
      <c r="C3042" s="545" t="s">
        <v>2980</v>
      </c>
      <c r="D3042" s="669" t="s">
        <v>428</v>
      </c>
      <c r="E3042" s="546">
        <v>841.92000700000006</v>
      </c>
    </row>
    <row r="3043" spans="2:5" x14ac:dyDescent="0.25">
      <c r="B3043" s="545">
        <v>3549</v>
      </c>
      <c r="C3043" s="545" t="s">
        <v>5102</v>
      </c>
      <c r="D3043" s="669" t="s">
        <v>428</v>
      </c>
      <c r="E3043" s="546">
        <v>833.29998799999998</v>
      </c>
    </row>
    <row r="3044" spans="2:5" x14ac:dyDescent="0.25">
      <c r="B3044" s="545">
        <v>3550</v>
      </c>
      <c r="C3044" s="545" t="s">
        <v>3712</v>
      </c>
      <c r="D3044" s="669" t="s">
        <v>428</v>
      </c>
      <c r="E3044" s="546">
        <v>727.83333300000004</v>
      </c>
    </row>
    <row r="3045" spans="2:5" x14ac:dyDescent="0.25">
      <c r="B3045" s="545">
        <v>3551</v>
      </c>
      <c r="C3045" s="545" t="s">
        <v>4586</v>
      </c>
      <c r="D3045" s="669" t="s">
        <v>428</v>
      </c>
      <c r="E3045" s="546">
        <v>786.73999000000003</v>
      </c>
    </row>
    <row r="3046" spans="2:5" x14ac:dyDescent="0.25">
      <c r="B3046" s="545">
        <v>3552</v>
      </c>
      <c r="C3046" s="545" t="s">
        <v>1134</v>
      </c>
      <c r="D3046" s="669" t="s">
        <v>428</v>
      </c>
      <c r="E3046" s="546">
        <v>723.35999800000002</v>
      </c>
    </row>
    <row r="3047" spans="2:5" x14ac:dyDescent="0.25">
      <c r="B3047" s="545">
        <v>3553</v>
      </c>
      <c r="C3047" s="545" t="s">
        <v>3576</v>
      </c>
      <c r="D3047" s="669" t="s">
        <v>428</v>
      </c>
      <c r="E3047" s="546">
        <v>719.96667500000001</v>
      </c>
    </row>
    <row r="3048" spans="2:5" x14ac:dyDescent="0.25">
      <c r="B3048" s="545">
        <v>3554</v>
      </c>
      <c r="C3048" s="545" t="s">
        <v>5190</v>
      </c>
      <c r="D3048" s="669" t="s">
        <v>428</v>
      </c>
      <c r="E3048" s="546">
        <v>844.66666699999996</v>
      </c>
    </row>
    <row r="3049" spans="2:5" x14ac:dyDescent="0.25">
      <c r="B3049" s="545">
        <v>3555</v>
      </c>
      <c r="C3049" s="545" t="s">
        <v>700</v>
      </c>
      <c r="D3049" s="669" t="s">
        <v>428</v>
      </c>
      <c r="E3049" s="546">
        <v>889.26666899999998</v>
      </c>
    </row>
    <row r="3050" spans="2:5" x14ac:dyDescent="0.25">
      <c r="B3050" s="545">
        <v>3556</v>
      </c>
      <c r="C3050" s="545" t="s">
        <v>3767</v>
      </c>
      <c r="D3050" s="669" t="s">
        <v>428</v>
      </c>
      <c r="E3050" s="546">
        <v>731.09997599999997</v>
      </c>
    </row>
    <row r="3051" spans="2:5" x14ac:dyDescent="0.25">
      <c r="B3051" s="545">
        <v>3557</v>
      </c>
      <c r="C3051" s="545" t="s">
        <v>4949</v>
      </c>
      <c r="D3051" s="669" t="s">
        <v>428</v>
      </c>
      <c r="E3051" s="546">
        <v>816.48999600000002</v>
      </c>
    </row>
    <row r="3052" spans="2:5" x14ac:dyDescent="0.25">
      <c r="B3052" s="545">
        <v>3558</v>
      </c>
      <c r="C3052" s="545" t="s">
        <v>5353</v>
      </c>
      <c r="D3052" s="669" t="s">
        <v>428</v>
      </c>
      <c r="E3052" s="546">
        <v>870.9</v>
      </c>
    </row>
    <row r="3053" spans="2:5" x14ac:dyDescent="0.25">
      <c r="B3053" s="545">
        <v>3559</v>
      </c>
      <c r="C3053" s="545" t="s">
        <v>3583</v>
      </c>
      <c r="D3053" s="669" t="s">
        <v>428</v>
      </c>
      <c r="E3053" s="546">
        <v>720.40000699999996</v>
      </c>
    </row>
    <row r="3054" spans="2:5" x14ac:dyDescent="0.25">
      <c r="B3054" s="545">
        <v>3560</v>
      </c>
      <c r="C3054" s="545" t="s">
        <v>4767</v>
      </c>
      <c r="D3054" s="669" t="s">
        <v>428</v>
      </c>
      <c r="E3054" s="546">
        <v>801.52666399999998</v>
      </c>
    </row>
    <row r="3055" spans="2:5" x14ac:dyDescent="0.25">
      <c r="B3055" s="545">
        <v>3561</v>
      </c>
      <c r="C3055" s="545" t="s">
        <v>4790</v>
      </c>
      <c r="D3055" s="669" t="s">
        <v>428</v>
      </c>
      <c r="E3055" s="546">
        <v>802.78332499999999</v>
      </c>
    </row>
    <row r="3056" spans="2:5" x14ac:dyDescent="0.25">
      <c r="B3056" s="545">
        <v>3562</v>
      </c>
      <c r="C3056" s="545" t="s">
        <v>5324</v>
      </c>
      <c r="D3056" s="669" t="s">
        <v>428</v>
      </c>
      <c r="E3056" s="546">
        <v>866.56667100000004</v>
      </c>
    </row>
    <row r="3057" spans="2:5" x14ac:dyDescent="0.25">
      <c r="B3057" s="545">
        <v>3563</v>
      </c>
      <c r="C3057" s="545" t="s">
        <v>4424</v>
      </c>
      <c r="D3057" s="669" t="s">
        <v>428</v>
      </c>
      <c r="E3057" s="546">
        <v>774.77500199999997</v>
      </c>
    </row>
    <row r="3058" spans="2:5" x14ac:dyDescent="0.25">
      <c r="B3058" s="545">
        <v>3564</v>
      </c>
      <c r="C3058" s="545" t="s">
        <v>6968</v>
      </c>
      <c r="D3058" s="669" t="s">
        <v>428</v>
      </c>
      <c r="E3058" s="546">
        <v>721.76363900000001</v>
      </c>
    </row>
    <row r="3059" spans="2:5" x14ac:dyDescent="0.25">
      <c r="B3059" s="545">
        <v>3565</v>
      </c>
      <c r="C3059" s="545" t="s">
        <v>3762</v>
      </c>
      <c r="D3059" s="669" t="s">
        <v>428</v>
      </c>
      <c r="E3059" s="546">
        <v>730.75</v>
      </c>
    </row>
    <row r="3060" spans="2:5" x14ac:dyDescent="0.25">
      <c r="B3060" s="545">
        <v>3566</v>
      </c>
      <c r="C3060" s="545" t="s">
        <v>4914</v>
      </c>
      <c r="D3060" s="669" t="s">
        <v>428</v>
      </c>
      <c r="E3060" s="546">
        <v>813.55000299999995</v>
      </c>
    </row>
    <row r="3061" spans="2:5" x14ac:dyDescent="0.25">
      <c r="B3061" s="545">
        <v>3567</v>
      </c>
      <c r="C3061" s="545" t="s">
        <v>7399</v>
      </c>
      <c r="D3061" s="669" t="s">
        <v>428</v>
      </c>
      <c r="E3061" s="546">
        <v>696.36667899999998</v>
      </c>
    </row>
    <row r="3062" spans="2:5" x14ac:dyDescent="0.25">
      <c r="B3062" s="545">
        <v>3568</v>
      </c>
      <c r="C3062" s="545" t="s">
        <v>7400</v>
      </c>
      <c r="D3062" s="669" t="s">
        <v>428</v>
      </c>
      <c r="E3062" s="546">
        <v>718.53332499999999</v>
      </c>
    </row>
    <row r="3063" spans="2:5" x14ac:dyDescent="0.25">
      <c r="B3063" s="545">
        <v>3569</v>
      </c>
      <c r="C3063" s="545" t="s">
        <v>4349</v>
      </c>
      <c r="D3063" s="669" t="s">
        <v>428</v>
      </c>
      <c r="E3063" s="546">
        <v>768.11249499999997</v>
      </c>
    </row>
    <row r="3064" spans="2:5" x14ac:dyDescent="0.25">
      <c r="B3064" s="545">
        <v>3570</v>
      </c>
      <c r="C3064" s="545" t="s">
        <v>6514</v>
      </c>
      <c r="D3064" s="669" t="s">
        <v>428</v>
      </c>
      <c r="E3064" s="546">
        <v>746.10001399999999</v>
      </c>
    </row>
    <row r="3065" spans="2:5" x14ac:dyDescent="0.25">
      <c r="B3065" s="545">
        <v>3571</v>
      </c>
      <c r="C3065" s="545" t="s">
        <v>1440</v>
      </c>
      <c r="D3065" s="669" t="s">
        <v>428</v>
      </c>
      <c r="E3065" s="546">
        <v>763.09999600000003</v>
      </c>
    </row>
    <row r="3066" spans="2:5" x14ac:dyDescent="0.25">
      <c r="B3066" s="545">
        <v>3572</v>
      </c>
      <c r="C3066" s="545" t="s">
        <v>5460</v>
      </c>
      <c r="D3066" s="669" t="s">
        <v>428</v>
      </c>
      <c r="E3066" s="546">
        <v>890.10000600000001</v>
      </c>
    </row>
    <row r="3067" spans="2:5" x14ac:dyDescent="0.25">
      <c r="B3067" s="545">
        <v>3573</v>
      </c>
      <c r="C3067" s="545" t="s">
        <v>4462</v>
      </c>
      <c r="D3067" s="669" t="s">
        <v>428</v>
      </c>
      <c r="E3067" s="546">
        <v>777.53332499999999</v>
      </c>
    </row>
    <row r="3068" spans="2:5" x14ac:dyDescent="0.25">
      <c r="B3068" s="545">
        <v>3574</v>
      </c>
      <c r="C3068" s="545" t="s">
        <v>3580</v>
      </c>
      <c r="D3068" s="669" t="s">
        <v>428</v>
      </c>
      <c r="E3068" s="546">
        <v>720.28000499999996</v>
      </c>
    </row>
    <row r="3069" spans="2:5" x14ac:dyDescent="0.25">
      <c r="B3069" s="545">
        <v>3575</v>
      </c>
      <c r="C3069" s="545" t="s">
        <v>4055</v>
      </c>
      <c r="D3069" s="669" t="s">
        <v>428</v>
      </c>
      <c r="E3069" s="546">
        <v>748.64999399999999</v>
      </c>
    </row>
    <row r="3070" spans="2:5" x14ac:dyDescent="0.25">
      <c r="B3070" s="545">
        <v>3576</v>
      </c>
      <c r="C3070" s="545" t="s">
        <v>2732</v>
      </c>
      <c r="D3070" s="669" t="s">
        <v>428</v>
      </c>
      <c r="E3070" s="546">
        <v>753.32499700000005</v>
      </c>
    </row>
    <row r="3071" spans="2:5" x14ac:dyDescent="0.25">
      <c r="B3071" s="545">
        <v>3577</v>
      </c>
      <c r="C3071" s="545" t="s">
        <v>5669</v>
      </c>
      <c r="D3071" s="669" t="s">
        <v>428</v>
      </c>
      <c r="E3071" s="546">
        <v>930.56666700000005</v>
      </c>
    </row>
    <row r="3072" spans="2:5" x14ac:dyDescent="0.25">
      <c r="B3072" s="545">
        <v>3578</v>
      </c>
      <c r="C3072" s="545" t="s">
        <v>5686</v>
      </c>
      <c r="D3072" s="669" t="s">
        <v>428</v>
      </c>
      <c r="E3072" s="546">
        <v>934.70001200000002</v>
      </c>
    </row>
    <row r="3073" spans="2:5" x14ac:dyDescent="0.25">
      <c r="B3073" s="545">
        <v>3579</v>
      </c>
      <c r="C3073" s="545" t="s">
        <v>4475</v>
      </c>
      <c r="D3073" s="669" t="s">
        <v>428</v>
      </c>
      <c r="E3073" s="546">
        <v>867.40000399999997</v>
      </c>
    </row>
    <row r="3074" spans="2:5" x14ac:dyDescent="0.25">
      <c r="B3074" s="545">
        <v>3580</v>
      </c>
      <c r="C3074" s="545" t="s">
        <v>3632</v>
      </c>
      <c r="D3074" s="669" t="s">
        <v>428</v>
      </c>
      <c r="E3074" s="546">
        <v>723.66667700000005</v>
      </c>
    </row>
    <row r="3075" spans="2:5" x14ac:dyDescent="0.25">
      <c r="B3075" s="545">
        <v>3581</v>
      </c>
      <c r="C3075" s="545" t="s">
        <v>5386</v>
      </c>
      <c r="D3075" s="669" t="s">
        <v>428</v>
      </c>
      <c r="E3075" s="546">
        <v>875.81111699999997</v>
      </c>
    </row>
    <row r="3076" spans="2:5" x14ac:dyDescent="0.25">
      <c r="B3076" s="545">
        <v>3582</v>
      </c>
      <c r="C3076" s="545" t="s">
        <v>5249</v>
      </c>
      <c r="D3076" s="669" t="s">
        <v>428</v>
      </c>
      <c r="E3076" s="546">
        <v>853.41818499999999</v>
      </c>
    </row>
    <row r="3077" spans="2:5" x14ac:dyDescent="0.25">
      <c r="B3077" s="545">
        <v>3583</v>
      </c>
      <c r="C3077" s="545" t="s">
        <v>5569</v>
      </c>
      <c r="D3077" s="669" t="s">
        <v>428</v>
      </c>
      <c r="E3077" s="546">
        <v>907.07499700000005</v>
      </c>
    </row>
    <row r="3078" spans="2:5" x14ac:dyDescent="0.25">
      <c r="B3078" s="545">
        <v>3584</v>
      </c>
      <c r="C3078" s="545" t="s">
        <v>4302</v>
      </c>
      <c r="D3078" s="669" t="s">
        <v>428</v>
      </c>
      <c r="E3078" s="546">
        <v>764.83749399999999</v>
      </c>
    </row>
    <row r="3079" spans="2:5" x14ac:dyDescent="0.25">
      <c r="B3079" s="545">
        <v>3585</v>
      </c>
      <c r="C3079" s="545" t="s">
        <v>961</v>
      </c>
      <c r="D3079" s="669" t="s">
        <v>428</v>
      </c>
      <c r="E3079" s="546">
        <v>733.96667500000001</v>
      </c>
    </row>
    <row r="3080" spans="2:5" x14ac:dyDescent="0.25">
      <c r="B3080" s="545">
        <v>3586</v>
      </c>
      <c r="C3080" s="545" t="s">
        <v>5503</v>
      </c>
      <c r="D3080" s="669" t="s">
        <v>428</v>
      </c>
      <c r="E3080" s="546">
        <v>896.16665599999999</v>
      </c>
    </row>
    <row r="3081" spans="2:5" x14ac:dyDescent="0.25">
      <c r="B3081" s="545">
        <v>3587</v>
      </c>
      <c r="C3081" s="545" t="s">
        <v>7339</v>
      </c>
      <c r="D3081" s="669" t="s">
        <v>428</v>
      </c>
      <c r="E3081" s="546">
        <v>876.29998799999998</v>
      </c>
    </row>
    <row r="3082" spans="2:5" x14ac:dyDescent="0.25">
      <c r="B3082" s="545">
        <v>3601</v>
      </c>
      <c r="C3082" s="545" t="s">
        <v>1536</v>
      </c>
      <c r="D3082" s="669" t="s">
        <v>432</v>
      </c>
      <c r="E3082" s="546">
        <v>622.62221999999997</v>
      </c>
    </row>
    <row r="3083" spans="2:5" x14ac:dyDescent="0.25">
      <c r="B3083" s="545">
        <v>3602</v>
      </c>
      <c r="C3083" s="545" t="s">
        <v>1463</v>
      </c>
      <c r="D3083" s="669" t="s">
        <v>432</v>
      </c>
      <c r="E3083" s="546">
        <v>618.35555699999998</v>
      </c>
    </row>
    <row r="3084" spans="2:5" x14ac:dyDescent="0.25">
      <c r="B3084" s="545">
        <v>3603</v>
      </c>
      <c r="C3084" s="545" t="s">
        <v>6598</v>
      </c>
      <c r="D3084" s="669" t="s">
        <v>432</v>
      </c>
      <c r="E3084" s="546">
        <v>609.43335000000002</v>
      </c>
    </row>
    <row r="3085" spans="2:5" x14ac:dyDescent="0.25">
      <c r="B3085" s="545">
        <v>3604</v>
      </c>
      <c r="C3085" s="545" t="s">
        <v>1179</v>
      </c>
      <c r="D3085" s="669" t="s">
        <v>432</v>
      </c>
      <c r="E3085" s="546">
        <v>602.89999799999998</v>
      </c>
    </row>
    <row r="3086" spans="2:5" x14ac:dyDescent="0.25">
      <c r="B3086" s="545">
        <v>3605</v>
      </c>
      <c r="C3086" s="545" t="s">
        <v>1152</v>
      </c>
      <c r="D3086" s="669" t="s">
        <v>432</v>
      </c>
      <c r="E3086" s="546">
        <v>601.19998199999998</v>
      </c>
    </row>
    <row r="3087" spans="2:5" x14ac:dyDescent="0.25">
      <c r="B3087" s="545">
        <v>3606</v>
      </c>
      <c r="C3087" s="545" t="s">
        <v>1309</v>
      </c>
      <c r="D3087" s="669" t="s">
        <v>432</v>
      </c>
      <c r="E3087" s="546">
        <v>610.31000400000005</v>
      </c>
    </row>
    <row r="3088" spans="2:5" x14ac:dyDescent="0.25">
      <c r="B3088" s="545">
        <v>3607</v>
      </c>
      <c r="C3088" s="545" t="s">
        <v>1709</v>
      </c>
      <c r="D3088" s="669" t="s">
        <v>432</v>
      </c>
      <c r="E3088" s="546">
        <v>632.65000899999995</v>
      </c>
    </row>
    <row r="3089" spans="2:5" x14ac:dyDescent="0.25">
      <c r="B3089" s="545">
        <v>3608</v>
      </c>
      <c r="C3089" s="545" t="s">
        <v>2165</v>
      </c>
      <c r="D3089" s="669" t="s">
        <v>432</v>
      </c>
      <c r="E3089" s="546">
        <v>651.44445099999996</v>
      </c>
    </row>
    <row r="3090" spans="2:5" x14ac:dyDescent="0.25">
      <c r="B3090" s="545">
        <v>3609</v>
      </c>
      <c r="C3090" s="545" t="s">
        <v>1596</v>
      </c>
      <c r="D3090" s="669" t="s">
        <v>432</v>
      </c>
      <c r="E3090" s="546">
        <v>626.17501100000004</v>
      </c>
    </row>
    <row r="3091" spans="2:5" x14ac:dyDescent="0.25">
      <c r="B3091" s="545">
        <v>3610</v>
      </c>
      <c r="C3091" s="545" t="s">
        <v>1490</v>
      </c>
      <c r="D3091" s="669" t="s">
        <v>432</v>
      </c>
      <c r="E3091" s="546">
        <v>619.61427500000002</v>
      </c>
    </row>
    <row r="3092" spans="2:5" x14ac:dyDescent="0.25">
      <c r="B3092" s="545">
        <v>3611</v>
      </c>
      <c r="C3092" s="545" t="s">
        <v>833</v>
      </c>
      <c r="D3092" s="669" t="s">
        <v>432</v>
      </c>
      <c r="E3092" s="546">
        <v>645.89999399999999</v>
      </c>
    </row>
    <row r="3093" spans="2:5" x14ac:dyDescent="0.25">
      <c r="B3093" s="545">
        <v>3612</v>
      </c>
      <c r="C3093" s="545" t="s">
        <v>1869</v>
      </c>
      <c r="D3093" s="669" t="s">
        <v>432</v>
      </c>
      <c r="E3093" s="546">
        <v>645.77499399999999</v>
      </c>
    </row>
    <row r="3094" spans="2:5" x14ac:dyDescent="0.25">
      <c r="B3094" s="545">
        <v>3613</v>
      </c>
      <c r="C3094" s="545" t="s">
        <v>1807</v>
      </c>
      <c r="D3094" s="669" t="s">
        <v>432</v>
      </c>
      <c r="E3094" s="546">
        <v>636.43332899999996</v>
      </c>
    </row>
    <row r="3095" spans="2:5" x14ac:dyDescent="0.25">
      <c r="B3095" s="545">
        <v>3614</v>
      </c>
      <c r="C3095" s="545" t="s">
        <v>2081</v>
      </c>
      <c r="D3095" s="669" t="s">
        <v>432</v>
      </c>
      <c r="E3095" s="546">
        <v>647.259998</v>
      </c>
    </row>
    <row r="3096" spans="2:5" x14ac:dyDescent="0.25">
      <c r="B3096" s="545">
        <v>3615</v>
      </c>
      <c r="C3096" s="545" t="s">
        <v>1217</v>
      </c>
      <c r="D3096" s="669" t="s">
        <v>432</v>
      </c>
      <c r="E3096" s="546">
        <v>605</v>
      </c>
    </row>
    <row r="3097" spans="2:5" x14ac:dyDescent="0.25">
      <c r="B3097" s="545">
        <v>3616</v>
      </c>
      <c r="C3097" s="545" t="s">
        <v>1263</v>
      </c>
      <c r="D3097" s="669" t="s">
        <v>432</v>
      </c>
      <c r="E3097" s="546">
        <v>607.28749800000003</v>
      </c>
    </row>
    <row r="3098" spans="2:5" x14ac:dyDescent="0.25">
      <c r="B3098" s="545">
        <v>3617</v>
      </c>
      <c r="C3098" s="545" t="s">
        <v>1211</v>
      </c>
      <c r="D3098" s="669" t="s">
        <v>432</v>
      </c>
      <c r="E3098" s="546">
        <v>604.44998199999998</v>
      </c>
    </row>
    <row r="3099" spans="2:5" x14ac:dyDescent="0.25">
      <c r="B3099" s="545">
        <v>3618</v>
      </c>
      <c r="C3099" s="545" t="s">
        <v>1306</v>
      </c>
      <c r="D3099" s="669" t="s">
        <v>432</v>
      </c>
      <c r="E3099" s="546">
        <v>669.16666199999997</v>
      </c>
    </row>
    <row r="3100" spans="2:5" x14ac:dyDescent="0.25">
      <c r="B3100" s="545">
        <v>3619</v>
      </c>
      <c r="C3100" s="545" t="s">
        <v>3197</v>
      </c>
      <c r="D3100" s="669" t="s">
        <v>432</v>
      </c>
      <c r="E3100" s="546">
        <v>701</v>
      </c>
    </row>
    <row r="3101" spans="2:5" x14ac:dyDescent="0.25">
      <c r="B3101" s="545">
        <v>3620</v>
      </c>
      <c r="C3101" s="545" t="s">
        <v>6837</v>
      </c>
      <c r="D3101" s="669" t="s">
        <v>432</v>
      </c>
      <c r="E3101" s="546">
        <v>654.00454200000001</v>
      </c>
    </row>
    <row r="3102" spans="2:5" x14ac:dyDescent="0.25">
      <c r="B3102" s="545">
        <v>3621</v>
      </c>
      <c r="C3102" s="545" t="s">
        <v>3321</v>
      </c>
      <c r="D3102" s="669" t="s">
        <v>432</v>
      </c>
      <c r="E3102" s="546">
        <v>707.12222599999996</v>
      </c>
    </row>
    <row r="3103" spans="2:5" x14ac:dyDescent="0.25">
      <c r="B3103" s="545">
        <v>3622</v>
      </c>
      <c r="C3103" s="545" t="s">
        <v>1721</v>
      </c>
      <c r="D3103" s="669" t="s">
        <v>432</v>
      </c>
      <c r="E3103" s="546">
        <v>633.22499800000003</v>
      </c>
    </row>
    <row r="3104" spans="2:5" x14ac:dyDescent="0.25">
      <c r="B3104" s="545">
        <v>3623</v>
      </c>
      <c r="C3104" s="545" t="s">
        <v>1863</v>
      </c>
      <c r="D3104" s="669" t="s">
        <v>432</v>
      </c>
      <c r="E3104" s="546">
        <v>638.52857300000005</v>
      </c>
    </row>
    <row r="3105" spans="2:5" x14ac:dyDescent="0.25">
      <c r="B3105" s="545">
        <v>3624</v>
      </c>
      <c r="C3105" s="545" t="s">
        <v>1598</v>
      </c>
      <c r="D3105" s="669" t="s">
        <v>432</v>
      </c>
      <c r="E3105" s="546">
        <v>626.21998900000006</v>
      </c>
    </row>
    <row r="3106" spans="2:5" x14ac:dyDescent="0.25">
      <c r="B3106" s="545">
        <v>3625</v>
      </c>
      <c r="C3106" s="545" t="s">
        <v>1690</v>
      </c>
      <c r="D3106" s="669" t="s">
        <v>432</v>
      </c>
      <c r="E3106" s="546">
        <v>631.9</v>
      </c>
    </row>
    <row r="3107" spans="2:5" x14ac:dyDescent="0.25">
      <c r="B3107" s="545">
        <v>3626</v>
      </c>
      <c r="C3107" s="545" t="s">
        <v>1853</v>
      </c>
      <c r="D3107" s="669" t="s">
        <v>432</v>
      </c>
      <c r="E3107" s="546">
        <v>637.83331299999998</v>
      </c>
    </row>
    <row r="3108" spans="2:5" x14ac:dyDescent="0.25">
      <c r="B3108" s="545">
        <v>3627</v>
      </c>
      <c r="C3108" s="545" t="s">
        <v>2354</v>
      </c>
      <c r="D3108" s="669" t="s">
        <v>432</v>
      </c>
      <c r="E3108" s="546">
        <v>659.73331700000006</v>
      </c>
    </row>
    <row r="3109" spans="2:5" x14ac:dyDescent="0.25">
      <c r="B3109" s="545">
        <v>3628</v>
      </c>
      <c r="C3109" s="545" t="s">
        <v>6947</v>
      </c>
      <c r="D3109" s="669" t="s">
        <v>432</v>
      </c>
      <c r="E3109" s="546">
        <v>620.54000199999996</v>
      </c>
    </row>
    <row r="3110" spans="2:5" x14ac:dyDescent="0.25">
      <c r="B3110" s="545">
        <v>3629</v>
      </c>
      <c r="C3110" s="545" t="s">
        <v>1814</v>
      </c>
      <c r="D3110" s="669" t="s">
        <v>432</v>
      </c>
      <c r="E3110" s="546">
        <v>636.66666699999996</v>
      </c>
    </row>
    <row r="3111" spans="2:5" x14ac:dyDescent="0.25">
      <c r="B3111" s="545">
        <v>3630</v>
      </c>
      <c r="C3111" s="545" t="s">
        <v>1250</v>
      </c>
      <c r="D3111" s="669" t="s">
        <v>432</v>
      </c>
      <c r="E3111" s="546">
        <v>606.53998999999999</v>
      </c>
    </row>
    <row r="3112" spans="2:5" x14ac:dyDescent="0.25">
      <c r="B3112" s="545">
        <v>3631</v>
      </c>
      <c r="C3112" s="545" t="s">
        <v>2900</v>
      </c>
      <c r="D3112" s="669" t="s">
        <v>432</v>
      </c>
      <c r="E3112" s="546">
        <v>686</v>
      </c>
    </row>
    <row r="3113" spans="2:5" x14ac:dyDescent="0.25">
      <c r="B3113" s="545">
        <v>3632</v>
      </c>
      <c r="C3113" s="545" t="s">
        <v>1796</v>
      </c>
      <c r="D3113" s="669" t="s">
        <v>432</v>
      </c>
      <c r="E3113" s="546">
        <v>635.86154899999997</v>
      </c>
    </row>
    <row r="3114" spans="2:5" x14ac:dyDescent="0.25">
      <c r="B3114" s="545">
        <v>3633</v>
      </c>
      <c r="C3114" s="545" t="s">
        <v>2241</v>
      </c>
      <c r="D3114" s="669" t="s">
        <v>432</v>
      </c>
      <c r="E3114" s="546">
        <v>654.85000600000001</v>
      </c>
    </row>
    <row r="3115" spans="2:5" x14ac:dyDescent="0.25">
      <c r="B3115" s="545">
        <v>3634</v>
      </c>
      <c r="C3115" s="545" t="s">
        <v>2659</v>
      </c>
      <c r="D3115" s="669" t="s">
        <v>432</v>
      </c>
      <c r="E3115" s="546">
        <v>674.26923099999999</v>
      </c>
    </row>
    <row r="3116" spans="2:5" x14ac:dyDescent="0.25">
      <c r="B3116" s="545">
        <v>3635</v>
      </c>
      <c r="C3116" s="545" t="s">
        <v>1196</v>
      </c>
      <c r="D3116" s="669" t="s">
        <v>432</v>
      </c>
      <c r="E3116" s="546">
        <v>603.56667100000004</v>
      </c>
    </row>
    <row r="3117" spans="2:5" x14ac:dyDescent="0.25">
      <c r="B3117" s="545">
        <v>3636</v>
      </c>
      <c r="C3117" s="545" t="s">
        <v>1294</v>
      </c>
      <c r="D3117" s="669" t="s">
        <v>432</v>
      </c>
      <c r="E3117" s="546">
        <v>609.30000099999995</v>
      </c>
    </row>
    <row r="3118" spans="2:5" x14ac:dyDescent="0.25">
      <c r="B3118" s="545">
        <v>3637</v>
      </c>
      <c r="C3118" s="545" t="s">
        <v>1492</v>
      </c>
      <c r="D3118" s="669" t="s">
        <v>432</v>
      </c>
      <c r="E3118" s="546">
        <v>619.67500299999995</v>
      </c>
    </row>
    <row r="3119" spans="2:5" x14ac:dyDescent="0.25">
      <c r="B3119" s="545">
        <v>3638</v>
      </c>
      <c r="C3119" s="545" t="s">
        <v>2995</v>
      </c>
      <c r="D3119" s="669" t="s">
        <v>432</v>
      </c>
      <c r="E3119" s="546">
        <v>690.360006</v>
      </c>
    </row>
    <row r="3120" spans="2:5" x14ac:dyDescent="0.25">
      <c r="B3120" s="545">
        <v>3639</v>
      </c>
      <c r="C3120" s="545" t="s">
        <v>3060</v>
      </c>
      <c r="D3120" s="669" t="s">
        <v>432</v>
      </c>
      <c r="E3120" s="546">
        <v>694.06154200000003</v>
      </c>
    </row>
    <row r="3121" spans="2:5" x14ac:dyDescent="0.25">
      <c r="B3121" s="545">
        <v>3640</v>
      </c>
      <c r="C3121" s="545" t="s">
        <v>1280</v>
      </c>
      <c r="D3121" s="669" t="s">
        <v>432</v>
      </c>
      <c r="E3121" s="546">
        <v>659.28000499999996</v>
      </c>
    </row>
    <row r="3122" spans="2:5" x14ac:dyDescent="0.25">
      <c r="B3122" s="545">
        <v>3641</v>
      </c>
      <c r="C3122" s="545" t="s">
        <v>909</v>
      </c>
      <c r="D3122" s="669" t="s">
        <v>432</v>
      </c>
      <c r="E3122" s="546">
        <v>612.87691600000005</v>
      </c>
    </row>
    <row r="3123" spans="2:5" x14ac:dyDescent="0.25">
      <c r="B3123" s="545">
        <v>3642</v>
      </c>
      <c r="C3123" s="545" t="s">
        <v>7040</v>
      </c>
      <c r="D3123" s="669" t="s">
        <v>432</v>
      </c>
      <c r="E3123" s="546">
        <v>666.01430000000005</v>
      </c>
    </row>
    <row r="3124" spans="2:5" x14ac:dyDescent="0.25">
      <c r="B3124" s="545">
        <v>3643</v>
      </c>
      <c r="C3124" s="545" t="s">
        <v>3859</v>
      </c>
      <c r="D3124" s="669" t="s">
        <v>432</v>
      </c>
      <c r="E3124" s="546">
        <v>736.18946900000003</v>
      </c>
    </row>
    <row r="3125" spans="2:5" x14ac:dyDescent="0.25">
      <c r="B3125" s="545">
        <v>3644</v>
      </c>
      <c r="C3125" s="545" t="s">
        <v>7018</v>
      </c>
      <c r="D3125" s="669" t="s">
        <v>432</v>
      </c>
      <c r="E3125" s="546">
        <v>637.633331</v>
      </c>
    </row>
    <row r="3126" spans="2:5" x14ac:dyDescent="0.25">
      <c r="B3126" s="545">
        <v>3645</v>
      </c>
      <c r="C3126" s="545" t="s">
        <v>3639</v>
      </c>
      <c r="D3126" s="669" t="s">
        <v>432</v>
      </c>
      <c r="E3126" s="546">
        <v>723.87500399999999</v>
      </c>
    </row>
    <row r="3127" spans="2:5" x14ac:dyDescent="0.25">
      <c r="B3127" s="545">
        <v>3646</v>
      </c>
      <c r="C3127" s="545" t="s">
        <v>4455</v>
      </c>
      <c r="D3127" s="669" t="s">
        <v>432</v>
      </c>
      <c r="E3127" s="546">
        <v>777.19999600000006</v>
      </c>
    </row>
    <row r="3128" spans="2:5" x14ac:dyDescent="0.25">
      <c r="B3128" s="545">
        <v>3647</v>
      </c>
      <c r="C3128" s="545" t="s">
        <v>3154</v>
      </c>
      <c r="D3128" s="669" t="s">
        <v>432</v>
      </c>
      <c r="E3128" s="546">
        <v>699.17999299999997</v>
      </c>
    </row>
    <row r="3129" spans="2:5" x14ac:dyDescent="0.25">
      <c r="B3129" s="545">
        <v>3648</v>
      </c>
      <c r="C3129" s="545" t="s">
        <v>6640</v>
      </c>
      <c r="D3129" s="669" t="s">
        <v>432</v>
      </c>
      <c r="E3129" s="546">
        <v>765.15713900000003</v>
      </c>
    </row>
    <row r="3130" spans="2:5" x14ac:dyDescent="0.25">
      <c r="B3130" s="545">
        <v>3649</v>
      </c>
      <c r="C3130" s="545" t="s">
        <v>1874</v>
      </c>
      <c r="D3130" s="669" t="s">
        <v>432</v>
      </c>
      <c r="E3130" s="546">
        <v>638.82498199999998</v>
      </c>
    </row>
    <row r="3131" spans="2:5" x14ac:dyDescent="0.25">
      <c r="B3131" s="545">
        <v>3650</v>
      </c>
      <c r="C3131" s="545" t="s">
        <v>2644</v>
      </c>
      <c r="D3131" s="669" t="s">
        <v>432</v>
      </c>
      <c r="E3131" s="546">
        <v>673.57142899999997</v>
      </c>
    </row>
    <row r="3132" spans="2:5" x14ac:dyDescent="0.25">
      <c r="B3132" s="545">
        <v>3651</v>
      </c>
      <c r="C3132" s="545" t="s">
        <v>2585</v>
      </c>
      <c r="D3132" s="669" t="s">
        <v>418</v>
      </c>
      <c r="E3132" s="546">
        <v>669.93333399999995</v>
      </c>
    </row>
    <row r="3133" spans="2:5" x14ac:dyDescent="0.25">
      <c r="B3133" s="545">
        <v>3652</v>
      </c>
      <c r="C3133" s="545" t="s">
        <v>3007</v>
      </c>
      <c r="D3133" s="669" t="s">
        <v>418</v>
      </c>
      <c r="E3133" s="546">
        <v>691.08333300000004</v>
      </c>
    </row>
    <row r="3134" spans="2:5" x14ac:dyDescent="0.25">
      <c r="B3134" s="545">
        <v>3653</v>
      </c>
      <c r="C3134" s="545" t="s">
        <v>2588</v>
      </c>
      <c r="D3134" s="669" t="s">
        <v>418</v>
      </c>
      <c r="E3134" s="546">
        <v>669.97499100000005</v>
      </c>
    </row>
    <row r="3135" spans="2:5" x14ac:dyDescent="0.25">
      <c r="B3135" s="545">
        <v>3654</v>
      </c>
      <c r="C3135" s="545" t="s">
        <v>2840</v>
      </c>
      <c r="D3135" s="669" t="s">
        <v>418</v>
      </c>
      <c r="E3135" s="546">
        <v>683.66666699999996</v>
      </c>
    </row>
    <row r="3136" spans="2:5" x14ac:dyDescent="0.25">
      <c r="B3136" s="545">
        <v>3655</v>
      </c>
      <c r="C3136" s="545" t="s">
        <v>3040</v>
      </c>
      <c r="D3136" s="669" t="s">
        <v>418</v>
      </c>
      <c r="E3136" s="546">
        <v>692.87499600000001</v>
      </c>
    </row>
    <row r="3137" spans="2:5" x14ac:dyDescent="0.25">
      <c r="B3137" s="545">
        <v>3656</v>
      </c>
      <c r="C3137" s="545" t="s">
        <v>823</v>
      </c>
      <c r="D3137" s="669" t="s">
        <v>418</v>
      </c>
      <c r="E3137" s="546">
        <v>655.64999399999999</v>
      </c>
    </row>
    <row r="3138" spans="2:5" x14ac:dyDescent="0.25">
      <c r="B3138" s="545">
        <v>3657</v>
      </c>
      <c r="C3138" s="545" t="s">
        <v>2536</v>
      </c>
      <c r="D3138" s="669" t="s">
        <v>418</v>
      </c>
      <c r="E3138" s="546">
        <v>668.02000099999998</v>
      </c>
    </row>
    <row r="3139" spans="2:5" x14ac:dyDescent="0.25">
      <c r="B3139" s="545">
        <v>3658</v>
      </c>
      <c r="C3139" s="545" t="s">
        <v>2024</v>
      </c>
      <c r="D3139" s="669" t="s">
        <v>418</v>
      </c>
      <c r="E3139" s="546">
        <v>644.08333300000004</v>
      </c>
    </row>
    <row r="3140" spans="2:5" x14ac:dyDescent="0.25">
      <c r="B3140" s="545">
        <v>3659</v>
      </c>
      <c r="C3140" s="545" t="s">
        <v>2293</v>
      </c>
      <c r="D3140" s="669" t="s">
        <v>418</v>
      </c>
      <c r="E3140" s="546">
        <v>657</v>
      </c>
    </row>
    <row r="3141" spans="2:5" x14ac:dyDescent="0.25">
      <c r="B3141" s="545">
        <v>3660</v>
      </c>
      <c r="C3141" s="545" t="s">
        <v>2096</v>
      </c>
      <c r="D3141" s="669" t="s">
        <v>418</v>
      </c>
      <c r="E3141" s="546">
        <v>648.02000699999996</v>
      </c>
    </row>
    <row r="3142" spans="2:5" x14ac:dyDescent="0.25">
      <c r="B3142" s="545">
        <v>3661</v>
      </c>
      <c r="C3142" s="545" t="s">
        <v>7107</v>
      </c>
      <c r="D3142" s="669" t="s">
        <v>418</v>
      </c>
      <c r="E3142" s="546">
        <v>663.36665900000003</v>
      </c>
    </row>
    <row r="3143" spans="2:5" x14ac:dyDescent="0.25">
      <c r="B3143" s="545">
        <v>3662</v>
      </c>
      <c r="C3143" s="545" t="s">
        <v>6670</v>
      </c>
      <c r="D3143" s="669" t="s">
        <v>418</v>
      </c>
      <c r="E3143" s="546">
        <v>693.86667899999998</v>
      </c>
    </row>
    <row r="3144" spans="2:5" x14ac:dyDescent="0.25">
      <c r="B3144" s="545">
        <v>3663</v>
      </c>
      <c r="C3144" s="545" t="s">
        <v>2515</v>
      </c>
      <c r="D3144" s="669" t="s">
        <v>418</v>
      </c>
      <c r="E3144" s="546">
        <v>666.58000500000003</v>
      </c>
    </row>
    <row r="3145" spans="2:5" x14ac:dyDescent="0.25">
      <c r="B3145" s="545">
        <v>3664</v>
      </c>
      <c r="C3145" s="545" t="s">
        <v>3346</v>
      </c>
      <c r="D3145" s="669" t="s">
        <v>418</v>
      </c>
      <c r="E3145" s="546">
        <v>708.36000999999999</v>
      </c>
    </row>
    <row r="3146" spans="2:5" x14ac:dyDescent="0.25">
      <c r="B3146" s="545">
        <v>3665</v>
      </c>
      <c r="C3146" s="545" t="s">
        <v>1365</v>
      </c>
      <c r="D3146" s="669" t="s">
        <v>418</v>
      </c>
      <c r="E3146" s="546">
        <v>690.94999700000005</v>
      </c>
    </row>
    <row r="3147" spans="2:5" x14ac:dyDescent="0.25">
      <c r="B3147" s="545">
        <v>3666</v>
      </c>
      <c r="C3147" s="545" t="s">
        <v>2396</v>
      </c>
      <c r="D3147" s="669" t="s">
        <v>418</v>
      </c>
      <c r="E3147" s="546">
        <v>661.97500600000001</v>
      </c>
    </row>
    <row r="3148" spans="2:5" x14ac:dyDescent="0.25">
      <c r="B3148" s="545">
        <v>3667</v>
      </c>
      <c r="C3148" s="545" t="s">
        <v>3106</v>
      </c>
      <c r="D3148" s="669" t="s">
        <v>418</v>
      </c>
      <c r="E3148" s="546">
        <v>696.58334400000001</v>
      </c>
    </row>
    <row r="3149" spans="2:5" x14ac:dyDescent="0.25">
      <c r="B3149" s="545">
        <v>3668</v>
      </c>
      <c r="C3149" s="545" t="s">
        <v>2445</v>
      </c>
      <c r="D3149" s="669" t="s">
        <v>418</v>
      </c>
      <c r="E3149" s="546">
        <v>664.03332499999999</v>
      </c>
    </row>
    <row r="3150" spans="2:5" x14ac:dyDescent="0.25">
      <c r="B3150" s="545">
        <v>3669</v>
      </c>
      <c r="C3150" s="545" t="s">
        <v>3090</v>
      </c>
      <c r="D3150" s="669" t="s">
        <v>418</v>
      </c>
      <c r="E3150" s="546">
        <v>695.50001999999995</v>
      </c>
    </row>
    <row r="3151" spans="2:5" x14ac:dyDescent="0.25">
      <c r="B3151" s="545">
        <v>3670</v>
      </c>
      <c r="C3151" s="545" t="s">
        <v>7359</v>
      </c>
      <c r="D3151" s="669" t="s">
        <v>418</v>
      </c>
      <c r="E3151" s="546">
        <v>670.45</v>
      </c>
    </row>
    <row r="3152" spans="2:5" x14ac:dyDescent="0.25">
      <c r="B3152" s="545">
        <v>3672</v>
      </c>
      <c r="C3152" s="545" t="s">
        <v>2865</v>
      </c>
      <c r="D3152" s="669" t="s">
        <v>418</v>
      </c>
      <c r="E3152" s="546">
        <v>684.65002400000003</v>
      </c>
    </row>
    <row r="3153" spans="2:5" x14ac:dyDescent="0.25">
      <c r="B3153" s="545">
        <v>3673</v>
      </c>
      <c r="C3153" s="545" t="s">
        <v>3212</v>
      </c>
      <c r="D3153" s="669" t="s">
        <v>418</v>
      </c>
      <c r="E3153" s="546">
        <v>701.72857699999997</v>
      </c>
    </row>
    <row r="3154" spans="2:5" x14ac:dyDescent="0.25">
      <c r="B3154" s="545">
        <v>3674</v>
      </c>
      <c r="C3154" s="545" t="s">
        <v>6632</v>
      </c>
      <c r="D3154" s="669" t="s">
        <v>418</v>
      </c>
      <c r="E3154" s="546">
        <v>704.81428700000004</v>
      </c>
    </row>
    <row r="3155" spans="2:5" x14ac:dyDescent="0.25">
      <c r="B3155" s="545">
        <v>3675</v>
      </c>
      <c r="C3155" s="545" t="s">
        <v>3054</v>
      </c>
      <c r="D3155" s="669" t="s">
        <v>418</v>
      </c>
      <c r="E3155" s="546">
        <v>693.75454999999999</v>
      </c>
    </row>
    <row r="3156" spans="2:5" x14ac:dyDescent="0.25">
      <c r="B3156" s="545">
        <v>3676</v>
      </c>
      <c r="C3156" s="545" t="s">
        <v>3652</v>
      </c>
      <c r="D3156" s="669" t="s">
        <v>418</v>
      </c>
      <c r="E3156" s="546">
        <v>724.44999700000005</v>
      </c>
    </row>
    <row r="3157" spans="2:5" x14ac:dyDescent="0.25">
      <c r="B3157" s="545">
        <v>3677</v>
      </c>
      <c r="C3157" s="545" t="s">
        <v>3672</v>
      </c>
      <c r="D3157" s="669" t="s">
        <v>418</v>
      </c>
      <c r="E3157" s="546">
        <v>725.65999799999997</v>
      </c>
    </row>
    <row r="3158" spans="2:5" x14ac:dyDescent="0.25">
      <c r="B3158" s="545">
        <v>3678</v>
      </c>
      <c r="C3158" s="545" t="s">
        <v>7412</v>
      </c>
      <c r="D3158" s="669" t="s">
        <v>418</v>
      </c>
      <c r="E3158" s="546">
        <v>739.54998799999998</v>
      </c>
    </row>
    <row r="3159" spans="2:5" x14ac:dyDescent="0.25">
      <c r="B3159" s="545">
        <v>3679</v>
      </c>
      <c r="C3159" s="545" t="s">
        <v>7609</v>
      </c>
      <c r="D3159" s="669" t="s">
        <v>418</v>
      </c>
      <c r="E3159" s="546">
        <v>686</v>
      </c>
    </row>
    <row r="3160" spans="2:5" x14ac:dyDescent="0.25">
      <c r="B3160" s="545">
        <v>3680</v>
      </c>
      <c r="C3160" s="545" t="s">
        <v>3333</v>
      </c>
      <c r="D3160" s="669" t="s">
        <v>418</v>
      </c>
      <c r="E3160" s="546">
        <v>707.54444699999999</v>
      </c>
    </row>
    <row r="3161" spans="2:5" x14ac:dyDescent="0.25">
      <c r="B3161" s="545">
        <v>3681</v>
      </c>
      <c r="C3161" s="545" t="s">
        <v>3226</v>
      </c>
      <c r="D3161" s="669" t="s">
        <v>418</v>
      </c>
      <c r="E3161" s="546">
        <v>702.38000499999998</v>
      </c>
    </row>
    <row r="3162" spans="2:5" x14ac:dyDescent="0.25">
      <c r="B3162" s="545">
        <v>3682</v>
      </c>
      <c r="C3162" s="545" t="s">
        <v>3663</v>
      </c>
      <c r="D3162" s="669" t="s">
        <v>418</v>
      </c>
      <c r="E3162" s="546">
        <v>724.92500299999995</v>
      </c>
    </row>
    <row r="3163" spans="2:5" x14ac:dyDescent="0.25">
      <c r="B3163" s="545">
        <v>3684</v>
      </c>
      <c r="C3163" s="545" t="s">
        <v>6495</v>
      </c>
      <c r="D3163" s="669" t="s">
        <v>418</v>
      </c>
      <c r="E3163" s="546">
        <v>667.97777599999995</v>
      </c>
    </row>
    <row r="3164" spans="2:5" x14ac:dyDescent="0.25">
      <c r="B3164" s="545">
        <v>3685</v>
      </c>
      <c r="C3164" s="545" t="s">
        <v>6494</v>
      </c>
      <c r="D3164" s="669" t="s">
        <v>418</v>
      </c>
      <c r="E3164" s="546">
        <v>660.9</v>
      </c>
    </row>
    <row r="3165" spans="2:5" x14ac:dyDescent="0.25">
      <c r="B3165" s="545">
        <v>3686</v>
      </c>
      <c r="C3165" s="545" t="s">
        <v>7277</v>
      </c>
      <c r="D3165" s="669" t="s">
        <v>418</v>
      </c>
      <c r="E3165" s="546">
        <v>677.38461500000005</v>
      </c>
    </row>
    <row r="3166" spans="2:5" x14ac:dyDescent="0.25">
      <c r="B3166" s="545">
        <v>3687</v>
      </c>
      <c r="C3166" s="545" t="s">
        <v>2389</v>
      </c>
      <c r="D3166" s="669" t="s">
        <v>418</v>
      </c>
      <c r="E3166" s="546">
        <v>661.56667100000004</v>
      </c>
    </row>
    <row r="3167" spans="2:5" x14ac:dyDescent="0.25">
      <c r="B3167" s="545">
        <v>3688</v>
      </c>
      <c r="C3167" s="545" t="s">
        <v>2577</v>
      </c>
      <c r="D3167" s="669" t="s">
        <v>418</v>
      </c>
      <c r="E3167" s="546">
        <v>669.41817400000002</v>
      </c>
    </row>
    <row r="3168" spans="2:5" x14ac:dyDescent="0.25">
      <c r="B3168" s="545">
        <v>3689</v>
      </c>
      <c r="C3168" s="545" t="s">
        <v>6766</v>
      </c>
      <c r="D3168" s="669" t="s">
        <v>418</v>
      </c>
      <c r="E3168" s="546">
        <v>706.90001099999995</v>
      </c>
    </row>
    <row r="3169" spans="2:5" x14ac:dyDescent="0.25">
      <c r="B3169" s="545">
        <v>3690</v>
      </c>
      <c r="C3169" s="545" t="s">
        <v>2240</v>
      </c>
      <c r="D3169" s="669" t="s">
        <v>418</v>
      </c>
      <c r="E3169" s="546">
        <v>665.10000600000001</v>
      </c>
    </row>
    <row r="3170" spans="2:5" x14ac:dyDescent="0.25">
      <c r="B3170" s="545">
        <v>3701</v>
      </c>
      <c r="C3170" s="545" t="s">
        <v>2125</v>
      </c>
      <c r="D3170" s="669" t="s">
        <v>432</v>
      </c>
      <c r="E3170" s="546">
        <v>649.68571299999996</v>
      </c>
    </row>
    <row r="3171" spans="2:5" x14ac:dyDescent="0.25">
      <c r="B3171" s="545">
        <v>3702</v>
      </c>
      <c r="C3171" s="545" t="s">
        <v>1494</v>
      </c>
      <c r="D3171" s="669" t="s">
        <v>432</v>
      </c>
      <c r="E3171" s="546">
        <v>619.879999</v>
      </c>
    </row>
    <row r="3172" spans="2:5" x14ac:dyDescent="0.25">
      <c r="B3172" s="545">
        <v>3703</v>
      </c>
      <c r="C3172" s="545" t="s">
        <v>1705</v>
      </c>
      <c r="D3172" s="669" t="s">
        <v>432</v>
      </c>
      <c r="E3172" s="546">
        <v>632.55713800000001</v>
      </c>
    </row>
    <row r="3173" spans="2:5" x14ac:dyDescent="0.25">
      <c r="B3173" s="545">
        <v>3704</v>
      </c>
      <c r="C3173" s="545" t="s">
        <v>2033</v>
      </c>
      <c r="D3173" s="669" t="s">
        <v>432</v>
      </c>
      <c r="E3173" s="546">
        <v>644.5</v>
      </c>
    </row>
    <row r="3174" spans="2:5" x14ac:dyDescent="0.25">
      <c r="B3174" s="545">
        <v>3705</v>
      </c>
      <c r="C3174" s="545" t="s">
        <v>1679</v>
      </c>
      <c r="D3174" s="669" t="s">
        <v>432</v>
      </c>
      <c r="E3174" s="546">
        <v>631.14445000000001</v>
      </c>
    </row>
    <row r="3175" spans="2:5" x14ac:dyDescent="0.25">
      <c r="B3175" s="545">
        <v>3706</v>
      </c>
      <c r="C3175" s="545" t="s">
        <v>1395</v>
      </c>
      <c r="D3175" s="669" t="s">
        <v>432</v>
      </c>
      <c r="E3175" s="546">
        <v>614.87778000000003</v>
      </c>
    </row>
    <row r="3176" spans="2:5" x14ac:dyDescent="0.25">
      <c r="B3176" s="545">
        <v>3707</v>
      </c>
      <c r="C3176" s="545" t="s">
        <v>2074</v>
      </c>
      <c r="D3176" s="669" t="s">
        <v>432</v>
      </c>
      <c r="E3176" s="546">
        <v>646.77499899999998</v>
      </c>
    </row>
    <row r="3177" spans="2:5" x14ac:dyDescent="0.25">
      <c r="B3177" s="545">
        <v>3708</v>
      </c>
      <c r="C3177" s="545" t="s">
        <v>3719</v>
      </c>
      <c r="D3177" s="669" t="s">
        <v>432</v>
      </c>
      <c r="E3177" s="546">
        <v>728.29998799999998</v>
      </c>
    </row>
    <row r="3178" spans="2:5" x14ac:dyDescent="0.25">
      <c r="B3178" s="545">
        <v>3709</v>
      </c>
      <c r="C3178" s="545" t="s">
        <v>1251</v>
      </c>
      <c r="D3178" s="669" t="s">
        <v>432</v>
      </c>
      <c r="E3178" s="546">
        <v>702.23749499999997</v>
      </c>
    </row>
    <row r="3179" spans="2:5" x14ac:dyDescent="0.25">
      <c r="B3179" s="545">
        <v>3710</v>
      </c>
      <c r="C3179" s="545" t="s">
        <v>1972</v>
      </c>
      <c r="D3179" s="669" t="s">
        <v>432</v>
      </c>
      <c r="E3179" s="546">
        <v>642.48461399999997</v>
      </c>
    </row>
    <row r="3180" spans="2:5" x14ac:dyDescent="0.25">
      <c r="B3180" s="545">
        <v>3711</v>
      </c>
      <c r="C3180" s="545" t="s">
        <v>1752</v>
      </c>
      <c r="D3180" s="669" t="s">
        <v>432</v>
      </c>
      <c r="E3180" s="546">
        <v>634.13332100000002</v>
      </c>
    </row>
    <row r="3181" spans="2:5" x14ac:dyDescent="0.25">
      <c r="B3181" s="545">
        <v>3712</v>
      </c>
      <c r="C3181" s="545" t="s">
        <v>1717</v>
      </c>
      <c r="D3181" s="669" t="s">
        <v>432</v>
      </c>
      <c r="E3181" s="546">
        <v>632.94167600000003</v>
      </c>
    </row>
    <row r="3182" spans="2:5" x14ac:dyDescent="0.25">
      <c r="B3182" s="545">
        <v>3713</v>
      </c>
      <c r="C3182" s="545" t="s">
        <v>6728</v>
      </c>
      <c r="D3182" s="669" t="s">
        <v>432</v>
      </c>
      <c r="E3182" s="546">
        <v>670.70000600000003</v>
      </c>
    </row>
    <row r="3183" spans="2:5" x14ac:dyDescent="0.25">
      <c r="B3183" s="545">
        <v>3714</v>
      </c>
      <c r="C3183" s="545" t="s">
        <v>2846</v>
      </c>
      <c r="D3183" s="669" t="s">
        <v>432</v>
      </c>
      <c r="E3183" s="546">
        <v>683.82857000000001</v>
      </c>
    </row>
    <row r="3184" spans="2:5" x14ac:dyDescent="0.25">
      <c r="B3184" s="545">
        <v>3715</v>
      </c>
      <c r="C3184" s="545" t="s">
        <v>3108</v>
      </c>
      <c r="D3184" s="669" t="s">
        <v>432</v>
      </c>
      <c r="E3184" s="546">
        <v>696.71665399999995</v>
      </c>
    </row>
    <row r="3185" spans="2:5" x14ac:dyDescent="0.25">
      <c r="B3185" s="545">
        <v>3716</v>
      </c>
      <c r="C3185" s="545" t="s">
        <v>3494</v>
      </c>
      <c r="D3185" s="669" t="s">
        <v>432</v>
      </c>
      <c r="E3185" s="546">
        <v>715.728568</v>
      </c>
    </row>
    <row r="3186" spans="2:5" x14ac:dyDescent="0.25">
      <c r="B3186" s="545">
        <v>3717</v>
      </c>
      <c r="C3186" s="545" t="s">
        <v>3616</v>
      </c>
      <c r="D3186" s="669" t="s">
        <v>432</v>
      </c>
      <c r="E3186" s="546">
        <v>722.85998500000005</v>
      </c>
    </row>
    <row r="3187" spans="2:5" x14ac:dyDescent="0.25">
      <c r="B3187" s="545">
        <v>3718</v>
      </c>
      <c r="C3187" s="545" t="s">
        <v>4514</v>
      </c>
      <c r="D3187" s="669" t="s">
        <v>432</v>
      </c>
      <c r="E3187" s="546">
        <v>780.72000700000001</v>
      </c>
    </row>
    <row r="3188" spans="2:5" x14ac:dyDescent="0.25">
      <c r="B3188" s="545">
        <v>3719</v>
      </c>
      <c r="C3188" s="545" t="s">
        <v>4070</v>
      </c>
      <c r="D3188" s="669" t="s">
        <v>432</v>
      </c>
      <c r="E3188" s="546">
        <v>749.40000899999995</v>
      </c>
    </row>
    <row r="3189" spans="2:5" x14ac:dyDescent="0.25">
      <c r="B3189" s="545">
        <v>3720</v>
      </c>
      <c r="C3189" s="545" t="s">
        <v>2298</v>
      </c>
      <c r="D3189" s="669" t="s">
        <v>432</v>
      </c>
      <c r="E3189" s="546">
        <v>738.02500199999997</v>
      </c>
    </row>
    <row r="3190" spans="2:5" x14ac:dyDescent="0.25">
      <c r="B3190" s="545">
        <v>3721</v>
      </c>
      <c r="C3190" s="545" t="s">
        <v>4431</v>
      </c>
      <c r="D3190" s="669" t="s">
        <v>432</v>
      </c>
      <c r="E3190" s="546">
        <v>775.32857000000001</v>
      </c>
    </row>
    <row r="3191" spans="2:5" x14ac:dyDescent="0.25">
      <c r="B3191" s="545">
        <v>3722</v>
      </c>
      <c r="C3191" s="545" t="s">
        <v>5134</v>
      </c>
      <c r="D3191" s="669" t="s">
        <v>432</v>
      </c>
      <c r="E3191" s="546">
        <v>836.89999399999999</v>
      </c>
    </row>
    <row r="3192" spans="2:5" x14ac:dyDescent="0.25">
      <c r="B3192" s="545">
        <v>3723</v>
      </c>
      <c r="C3192" s="545" t="s">
        <v>4732</v>
      </c>
      <c r="D3192" s="669" t="s">
        <v>432</v>
      </c>
      <c r="E3192" s="546">
        <v>799</v>
      </c>
    </row>
    <row r="3193" spans="2:5" x14ac:dyDescent="0.25">
      <c r="B3193" s="545">
        <v>3724</v>
      </c>
      <c r="C3193" s="545" t="s">
        <v>4509</v>
      </c>
      <c r="D3193" s="669" t="s">
        <v>432</v>
      </c>
      <c r="E3193" s="546">
        <v>780.48332700000003</v>
      </c>
    </row>
    <row r="3194" spans="2:5" x14ac:dyDescent="0.25">
      <c r="B3194" s="545">
        <v>3725</v>
      </c>
      <c r="C3194" s="545" t="s">
        <v>4640</v>
      </c>
      <c r="D3194" s="669" t="s">
        <v>432</v>
      </c>
      <c r="E3194" s="546">
        <v>791.45713999999998</v>
      </c>
    </row>
    <row r="3195" spans="2:5" x14ac:dyDescent="0.25">
      <c r="B3195" s="545">
        <v>3726</v>
      </c>
      <c r="C3195" s="545" t="s">
        <v>3851</v>
      </c>
      <c r="D3195" s="669" t="s">
        <v>432</v>
      </c>
      <c r="E3195" s="546">
        <v>735.62500799999998</v>
      </c>
    </row>
    <row r="3196" spans="2:5" x14ac:dyDescent="0.25">
      <c r="B3196" s="545">
        <v>3727</v>
      </c>
      <c r="C3196" s="545" t="s">
        <v>3521</v>
      </c>
      <c r="D3196" s="669" t="s">
        <v>432</v>
      </c>
      <c r="E3196" s="546">
        <v>770.80000299999995</v>
      </c>
    </row>
    <row r="3197" spans="2:5" x14ac:dyDescent="0.25">
      <c r="B3197" s="545">
        <v>3728</v>
      </c>
      <c r="C3197" s="545" t="s">
        <v>3961</v>
      </c>
      <c r="D3197" s="669" t="s">
        <v>432</v>
      </c>
      <c r="E3197" s="546">
        <v>742.38334099999997</v>
      </c>
    </row>
    <row r="3198" spans="2:5" x14ac:dyDescent="0.25">
      <c r="B3198" s="545">
        <v>3729</v>
      </c>
      <c r="C3198" s="545" t="s">
        <v>3284</v>
      </c>
      <c r="D3198" s="669" t="s">
        <v>432</v>
      </c>
      <c r="E3198" s="546">
        <v>772.13332100000002</v>
      </c>
    </row>
    <row r="3199" spans="2:5" x14ac:dyDescent="0.25">
      <c r="B3199" s="545">
        <v>3730</v>
      </c>
      <c r="C3199" s="545" t="s">
        <v>4239</v>
      </c>
      <c r="D3199" s="669" t="s">
        <v>432</v>
      </c>
      <c r="E3199" s="546">
        <v>760.32501200000002</v>
      </c>
    </row>
    <row r="3200" spans="2:5" x14ac:dyDescent="0.25">
      <c r="B3200" s="545">
        <v>3731</v>
      </c>
      <c r="C3200" s="545" t="s">
        <v>4448</v>
      </c>
      <c r="D3200" s="669" t="s">
        <v>432</v>
      </c>
      <c r="E3200" s="546">
        <v>776.70001200000002</v>
      </c>
    </row>
    <row r="3201" spans="2:5" x14ac:dyDescent="0.25">
      <c r="B3201" s="545">
        <v>3732</v>
      </c>
      <c r="C3201" s="545" t="s">
        <v>3469</v>
      </c>
      <c r="D3201" s="669" t="s">
        <v>432</v>
      </c>
      <c r="E3201" s="546">
        <v>782.57332599999995</v>
      </c>
    </row>
    <row r="3202" spans="2:5" x14ac:dyDescent="0.25">
      <c r="B3202" s="545">
        <v>3733</v>
      </c>
      <c r="C3202" s="545" t="s">
        <v>4502</v>
      </c>
      <c r="D3202" s="669" t="s">
        <v>432</v>
      </c>
      <c r="E3202" s="546">
        <v>780.17498799999998</v>
      </c>
    </row>
    <row r="3203" spans="2:5" x14ac:dyDescent="0.25">
      <c r="B3203" s="545">
        <v>3734</v>
      </c>
      <c r="C3203" s="545" t="s">
        <v>1884</v>
      </c>
      <c r="D3203" s="669" t="s">
        <v>432</v>
      </c>
      <c r="E3203" s="546">
        <v>639.35000600000001</v>
      </c>
    </row>
    <row r="3204" spans="2:5" x14ac:dyDescent="0.25">
      <c r="B3204" s="545">
        <v>3735</v>
      </c>
      <c r="C3204" s="545" t="s">
        <v>6631</v>
      </c>
      <c r="D3204" s="669" t="s">
        <v>432</v>
      </c>
      <c r="E3204" s="546">
        <v>724.41935699999999</v>
      </c>
    </row>
    <row r="3205" spans="2:5" x14ac:dyDescent="0.25">
      <c r="B3205" s="545">
        <v>3736</v>
      </c>
      <c r="C3205" s="545" t="s">
        <v>7620</v>
      </c>
      <c r="D3205" s="669" t="s">
        <v>432</v>
      </c>
      <c r="E3205" s="546">
        <v>776.09997599999997</v>
      </c>
    </row>
    <row r="3206" spans="2:5" x14ac:dyDescent="0.25">
      <c r="B3206" s="545">
        <v>3737</v>
      </c>
      <c r="C3206" s="545" t="s">
        <v>4474</v>
      </c>
      <c r="D3206" s="669" t="s">
        <v>432</v>
      </c>
      <c r="E3206" s="546">
        <v>778.46109999999999</v>
      </c>
    </row>
    <row r="3207" spans="2:5" x14ac:dyDescent="0.25">
      <c r="B3207" s="545">
        <v>3738</v>
      </c>
      <c r="C3207" s="545" t="s">
        <v>1637</v>
      </c>
      <c r="D3207" s="669" t="s">
        <v>432</v>
      </c>
      <c r="E3207" s="546">
        <v>628.22499100000005</v>
      </c>
    </row>
    <row r="3208" spans="2:5" x14ac:dyDescent="0.25">
      <c r="B3208" s="545">
        <v>3739</v>
      </c>
      <c r="C3208" s="545" t="s">
        <v>1722</v>
      </c>
      <c r="D3208" s="669" t="s">
        <v>432</v>
      </c>
      <c r="E3208" s="546">
        <v>633.25998500000003</v>
      </c>
    </row>
    <row r="3209" spans="2:5" x14ac:dyDescent="0.25">
      <c r="B3209" s="545">
        <v>3740</v>
      </c>
      <c r="C3209" s="545" t="s">
        <v>1612</v>
      </c>
      <c r="D3209" s="669" t="s">
        <v>432</v>
      </c>
      <c r="E3209" s="546">
        <v>627.11999500000002</v>
      </c>
    </row>
    <row r="3210" spans="2:5" x14ac:dyDescent="0.25">
      <c r="B3210" s="545">
        <v>3741</v>
      </c>
      <c r="C3210" s="545" t="s">
        <v>2933</v>
      </c>
      <c r="D3210" s="669" t="s">
        <v>432</v>
      </c>
      <c r="E3210" s="546">
        <v>687.27500199999997</v>
      </c>
    </row>
    <row r="3211" spans="2:5" x14ac:dyDescent="0.25">
      <c r="B3211" s="545">
        <v>3742</v>
      </c>
      <c r="C3211" s="545" t="s">
        <v>4409</v>
      </c>
      <c r="D3211" s="669" t="s">
        <v>432</v>
      </c>
      <c r="E3211" s="546">
        <v>773.45001200000002</v>
      </c>
    </row>
    <row r="3212" spans="2:5" x14ac:dyDescent="0.25">
      <c r="B3212" s="545">
        <v>3743</v>
      </c>
      <c r="C3212" s="545" t="s">
        <v>4360</v>
      </c>
      <c r="D3212" s="669" t="s">
        <v>432</v>
      </c>
      <c r="E3212" s="546">
        <v>768.875</v>
      </c>
    </row>
    <row r="3213" spans="2:5" x14ac:dyDescent="0.25">
      <c r="B3213" s="545">
        <v>3744</v>
      </c>
      <c r="C3213" s="545" t="s">
        <v>3229</v>
      </c>
      <c r="D3213" s="669" t="s">
        <v>432</v>
      </c>
      <c r="E3213" s="546">
        <v>702.60588900000005</v>
      </c>
    </row>
    <row r="3214" spans="2:5" x14ac:dyDescent="0.25">
      <c r="B3214" s="545">
        <v>3745</v>
      </c>
      <c r="C3214" s="545" t="s">
        <v>2023</v>
      </c>
      <c r="D3214" s="669" t="s">
        <v>432</v>
      </c>
      <c r="E3214" s="546">
        <v>644.08000500000003</v>
      </c>
    </row>
    <row r="3215" spans="2:5" x14ac:dyDescent="0.25">
      <c r="B3215" s="545">
        <v>3746</v>
      </c>
      <c r="C3215" s="545" t="s">
        <v>6849</v>
      </c>
      <c r="D3215" s="669" t="s">
        <v>432</v>
      </c>
      <c r="E3215" s="546">
        <v>656.47499100000005</v>
      </c>
    </row>
    <row r="3216" spans="2:5" x14ac:dyDescent="0.25">
      <c r="B3216" s="545">
        <v>3747</v>
      </c>
      <c r="C3216" s="545" t="s">
        <v>2137</v>
      </c>
      <c r="D3216" s="669" t="s">
        <v>432</v>
      </c>
      <c r="E3216" s="546">
        <v>650.29998799999998</v>
      </c>
    </row>
    <row r="3217" spans="2:5" x14ac:dyDescent="0.25">
      <c r="B3217" s="545">
        <v>3748</v>
      </c>
      <c r="C3217" s="545" t="s">
        <v>4233</v>
      </c>
      <c r="D3217" s="669" t="s">
        <v>432</v>
      </c>
      <c r="E3217" s="546">
        <v>759.94666700000005</v>
      </c>
    </row>
    <row r="3218" spans="2:5" x14ac:dyDescent="0.25">
      <c r="B3218" s="545">
        <v>3749</v>
      </c>
      <c r="C3218" s="545" t="s">
        <v>3867</v>
      </c>
      <c r="D3218" s="669" t="s">
        <v>432</v>
      </c>
      <c r="E3218" s="546">
        <v>736.629999</v>
      </c>
    </row>
    <row r="3219" spans="2:5" x14ac:dyDescent="0.25">
      <c r="B3219" s="545">
        <v>3750</v>
      </c>
      <c r="C3219" s="545" t="s">
        <v>3381</v>
      </c>
      <c r="D3219" s="669" t="s">
        <v>432</v>
      </c>
      <c r="E3219" s="546">
        <v>709.90000199999997</v>
      </c>
    </row>
    <row r="3220" spans="2:5" x14ac:dyDescent="0.25">
      <c r="B3220" s="545">
        <v>3751</v>
      </c>
      <c r="C3220" s="545" t="s">
        <v>1050</v>
      </c>
      <c r="D3220" s="669" t="s">
        <v>432</v>
      </c>
      <c r="E3220" s="546">
        <v>704.63750500000003</v>
      </c>
    </row>
    <row r="3221" spans="2:5" x14ac:dyDescent="0.25">
      <c r="B3221" s="545">
        <v>3752</v>
      </c>
      <c r="C3221" s="545" t="s">
        <v>7174</v>
      </c>
      <c r="D3221" s="669" t="s">
        <v>432</v>
      </c>
      <c r="E3221" s="546">
        <v>729.59090400000002</v>
      </c>
    </row>
    <row r="3222" spans="2:5" x14ac:dyDescent="0.25">
      <c r="B3222" s="545">
        <v>3753</v>
      </c>
      <c r="C3222" s="545" t="s">
        <v>3706</v>
      </c>
      <c r="D3222" s="669" t="s">
        <v>432</v>
      </c>
      <c r="E3222" s="546">
        <v>727.51999499999999</v>
      </c>
    </row>
    <row r="3223" spans="2:5" x14ac:dyDescent="0.25">
      <c r="B3223" s="545">
        <v>3754</v>
      </c>
      <c r="C3223" s="545" t="s">
        <v>2622</v>
      </c>
      <c r="D3223" s="669" t="s">
        <v>432</v>
      </c>
      <c r="E3223" s="546">
        <v>672.36665900000003</v>
      </c>
    </row>
    <row r="3224" spans="2:5" x14ac:dyDescent="0.25">
      <c r="B3224" s="545">
        <v>3755</v>
      </c>
      <c r="C3224" s="545" t="s">
        <v>1325</v>
      </c>
      <c r="D3224" s="669" t="s">
        <v>432</v>
      </c>
      <c r="E3224" s="546">
        <v>721.91249800000003</v>
      </c>
    </row>
    <row r="3225" spans="2:5" x14ac:dyDescent="0.25">
      <c r="B3225" s="545">
        <v>3756</v>
      </c>
      <c r="C3225" s="545" t="s">
        <v>4285</v>
      </c>
      <c r="D3225" s="669" t="s">
        <v>432</v>
      </c>
      <c r="E3225" s="546">
        <v>763.56666099999995</v>
      </c>
    </row>
    <row r="3226" spans="2:5" x14ac:dyDescent="0.25">
      <c r="B3226" s="545">
        <v>3757</v>
      </c>
      <c r="C3226" s="545" t="s">
        <v>4697</v>
      </c>
      <c r="D3226" s="669" t="s">
        <v>432</v>
      </c>
      <c r="E3226" s="546">
        <v>795.5</v>
      </c>
    </row>
    <row r="3227" spans="2:5" x14ac:dyDescent="0.25">
      <c r="B3227" s="545">
        <v>3758</v>
      </c>
      <c r="C3227" s="545" t="s">
        <v>848</v>
      </c>
      <c r="D3227" s="669" t="s">
        <v>432</v>
      </c>
      <c r="E3227" s="546">
        <v>779.31875200000002</v>
      </c>
    </row>
    <row r="3228" spans="2:5" x14ac:dyDescent="0.25">
      <c r="B3228" s="545">
        <v>3759</v>
      </c>
      <c r="C3228" s="545" t="s">
        <v>4058</v>
      </c>
      <c r="D3228" s="669" t="s">
        <v>432</v>
      </c>
      <c r="E3228" s="546">
        <v>748.73846400000002</v>
      </c>
    </row>
    <row r="3229" spans="2:5" x14ac:dyDescent="0.25">
      <c r="B3229" s="545">
        <v>3760</v>
      </c>
      <c r="C3229" s="545" t="s">
        <v>6807</v>
      </c>
      <c r="D3229" s="669" t="s">
        <v>432</v>
      </c>
      <c r="E3229" s="546">
        <v>794.59999100000005</v>
      </c>
    </row>
    <row r="3230" spans="2:5" x14ac:dyDescent="0.25">
      <c r="B3230" s="545">
        <v>3761</v>
      </c>
      <c r="C3230" s="545" t="s">
        <v>4973</v>
      </c>
      <c r="D3230" s="669" t="s">
        <v>432</v>
      </c>
      <c r="E3230" s="546">
        <v>819.27272200000004</v>
      </c>
    </row>
    <row r="3231" spans="2:5" x14ac:dyDescent="0.25">
      <c r="B3231" s="545">
        <v>3762</v>
      </c>
      <c r="C3231" s="545" t="s">
        <v>7544</v>
      </c>
      <c r="D3231" s="669" t="s">
        <v>432</v>
      </c>
      <c r="E3231" s="546">
        <v>781.633331</v>
      </c>
    </row>
    <row r="3232" spans="2:5" x14ac:dyDescent="0.25">
      <c r="B3232" s="545">
        <v>3763</v>
      </c>
      <c r="C3232" s="545" t="s">
        <v>2769</v>
      </c>
      <c r="D3232" s="669" t="s">
        <v>432</v>
      </c>
      <c r="E3232" s="546">
        <v>751.64999399999999</v>
      </c>
    </row>
    <row r="3233" spans="2:5" x14ac:dyDescent="0.25">
      <c r="B3233" s="545">
        <v>3764</v>
      </c>
      <c r="C3233" s="545" t="s">
        <v>4738</v>
      </c>
      <c r="D3233" s="669" t="s">
        <v>432</v>
      </c>
      <c r="E3233" s="546">
        <v>799.27499399999999</v>
      </c>
    </row>
    <row r="3234" spans="2:5" x14ac:dyDescent="0.25">
      <c r="B3234" s="545">
        <v>3765</v>
      </c>
      <c r="C3234" s="545" t="s">
        <v>4064</v>
      </c>
      <c r="D3234" s="669" t="s">
        <v>432</v>
      </c>
      <c r="E3234" s="546">
        <v>749.08333300000004</v>
      </c>
    </row>
    <row r="3235" spans="2:5" x14ac:dyDescent="0.25">
      <c r="B3235" s="545">
        <v>3766</v>
      </c>
      <c r="C3235" s="545" t="s">
        <v>6617</v>
      </c>
      <c r="D3235" s="669" t="s">
        <v>432</v>
      </c>
      <c r="E3235" s="546">
        <v>743.13334099999997</v>
      </c>
    </row>
    <row r="3236" spans="2:5" x14ac:dyDescent="0.25">
      <c r="B3236" s="545">
        <v>3767</v>
      </c>
      <c r="C3236" s="545" t="s">
        <v>4893</v>
      </c>
      <c r="D3236" s="669" t="s">
        <v>432</v>
      </c>
      <c r="E3236" s="546">
        <v>811.30000600000005</v>
      </c>
    </row>
    <row r="3237" spans="2:5" x14ac:dyDescent="0.25">
      <c r="B3237" s="545">
        <v>3768</v>
      </c>
      <c r="C3237" s="545" t="s">
        <v>5088</v>
      </c>
      <c r="D3237" s="669" t="s">
        <v>432</v>
      </c>
      <c r="E3237" s="546">
        <v>831.76664200000005</v>
      </c>
    </row>
    <row r="3238" spans="2:5" x14ac:dyDescent="0.25">
      <c r="B3238" s="545">
        <v>3769</v>
      </c>
      <c r="C3238" s="545" t="s">
        <v>4794</v>
      </c>
      <c r="D3238" s="669" t="s">
        <v>432</v>
      </c>
      <c r="E3238" s="546">
        <v>802.93333600000005</v>
      </c>
    </row>
    <row r="3239" spans="2:5" x14ac:dyDescent="0.25">
      <c r="B3239" s="545">
        <v>3770</v>
      </c>
      <c r="C3239" s="545" t="s">
        <v>6720</v>
      </c>
      <c r="D3239" s="669" t="s">
        <v>432</v>
      </c>
      <c r="E3239" s="546">
        <v>811.84999100000005</v>
      </c>
    </row>
    <row r="3240" spans="2:5" x14ac:dyDescent="0.25">
      <c r="B3240" s="545">
        <v>3801</v>
      </c>
      <c r="C3240" s="545" t="s">
        <v>1374</v>
      </c>
      <c r="D3240" s="669" t="s">
        <v>430</v>
      </c>
      <c r="E3240" s="546">
        <v>613.85716000000002</v>
      </c>
    </row>
    <row r="3241" spans="2:5" x14ac:dyDescent="0.25">
      <c r="B3241" s="545">
        <v>3802</v>
      </c>
      <c r="C3241" s="545" t="s">
        <v>1511</v>
      </c>
      <c r="D3241" s="669" t="s">
        <v>430</v>
      </c>
      <c r="E3241" s="546">
        <v>621.16666699999996</v>
      </c>
    </row>
    <row r="3242" spans="2:5" x14ac:dyDescent="0.25">
      <c r="B3242" s="545">
        <v>3803</v>
      </c>
      <c r="C3242" s="545" t="s">
        <v>3283</v>
      </c>
      <c r="D3242" s="669" t="s">
        <v>430</v>
      </c>
      <c r="E3242" s="546">
        <v>704.76666299999999</v>
      </c>
    </row>
    <row r="3243" spans="2:5" x14ac:dyDescent="0.25">
      <c r="B3243" s="545">
        <v>3804</v>
      </c>
      <c r="C3243" s="545" t="s">
        <v>3117</v>
      </c>
      <c r="D3243" s="669" t="s">
        <v>430</v>
      </c>
      <c r="E3243" s="546">
        <v>696.85715200000004</v>
      </c>
    </row>
    <row r="3244" spans="2:5" x14ac:dyDescent="0.25">
      <c r="B3244" s="545">
        <v>3805</v>
      </c>
      <c r="C3244" s="545" t="s">
        <v>3165</v>
      </c>
      <c r="D3244" s="669" t="s">
        <v>430</v>
      </c>
      <c r="E3244" s="546">
        <v>699.58181999999999</v>
      </c>
    </row>
    <row r="3245" spans="2:5" x14ac:dyDescent="0.25">
      <c r="B3245" s="545">
        <v>3806</v>
      </c>
      <c r="C3245" s="545" t="s">
        <v>3238</v>
      </c>
      <c r="D3245" s="669" t="s">
        <v>430</v>
      </c>
      <c r="E3245" s="546">
        <v>702.84614899999997</v>
      </c>
    </row>
    <row r="3246" spans="2:5" x14ac:dyDescent="0.25">
      <c r="B3246" s="545">
        <v>3807</v>
      </c>
      <c r="C3246" s="545" t="s">
        <v>3615</v>
      </c>
      <c r="D3246" s="669" t="s">
        <v>430</v>
      </c>
      <c r="E3246" s="546">
        <v>722.67999299999997</v>
      </c>
    </row>
    <row r="3247" spans="2:5" x14ac:dyDescent="0.25">
      <c r="B3247" s="545">
        <v>3808</v>
      </c>
      <c r="C3247" s="545" t="s">
        <v>1413</v>
      </c>
      <c r="D3247" s="669" t="s">
        <v>430</v>
      </c>
      <c r="E3247" s="546">
        <v>616.15713900000003</v>
      </c>
    </row>
    <row r="3248" spans="2:5" x14ac:dyDescent="0.25">
      <c r="B3248" s="545">
        <v>3809</v>
      </c>
      <c r="C3248" s="545" t="s">
        <v>1477</v>
      </c>
      <c r="D3248" s="669" t="s">
        <v>430</v>
      </c>
      <c r="E3248" s="546">
        <v>619.02221699999996</v>
      </c>
    </row>
    <row r="3249" spans="2:5" x14ac:dyDescent="0.25">
      <c r="B3249" s="545">
        <v>3810</v>
      </c>
      <c r="C3249" s="545" t="s">
        <v>1190</v>
      </c>
      <c r="D3249" s="669" t="s">
        <v>430</v>
      </c>
      <c r="E3249" s="546">
        <v>617.85999800000002</v>
      </c>
    </row>
    <row r="3250" spans="2:5" x14ac:dyDescent="0.25">
      <c r="B3250" s="545">
        <v>3811</v>
      </c>
      <c r="C3250" s="545" t="s">
        <v>1635</v>
      </c>
      <c r="D3250" s="669" t="s">
        <v>430</v>
      </c>
      <c r="E3250" s="546">
        <v>628.20588999999995</v>
      </c>
    </row>
    <row r="3251" spans="2:5" x14ac:dyDescent="0.25">
      <c r="B3251" s="545">
        <v>3812</v>
      </c>
      <c r="C3251" s="545" t="s">
        <v>1223</v>
      </c>
      <c r="D3251" s="669" t="s">
        <v>430</v>
      </c>
      <c r="E3251" s="546">
        <v>605.17500299999995</v>
      </c>
    </row>
    <row r="3252" spans="2:5" x14ac:dyDescent="0.25">
      <c r="B3252" s="545">
        <v>3813</v>
      </c>
      <c r="C3252" s="545" t="s">
        <v>1501</v>
      </c>
      <c r="D3252" s="669" t="s">
        <v>430</v>
      </c>
      <c r="E3252" s="546">
        <v>674.66000399999996</v>
      </c>
    </row>
    <row r="3253" spans="2:5" x14ac:dyDescent="0.25">
      <c r="B3253" s="545">
        <v>3814</v>
      </c>
      <c r="C3253" s="545" t="s">
        <v>2446</v>
      </c>
      <c r="D3253" s="669" t="s">
        <v>430</v>
      </c>
      <c r="E3253" s="546">
        <v>664.04166699999996</v>
      </c>
    </row>
    <row r="3254" spans="2:5" x14ac:dyDescent="0.25">
      <c r="B3254" s="545">
        <v>3815</v>
      </c>
      <c r="C3254" s="545" t="s">
        <v>6523</v>
      </c>
      <c r="D3254" s="669" t="s">
        <v>430</v>
      </c>
      <c r="E3254" s="546">
        <v>627.10000300000002</v>
      </c>
    </row>
    <row r="3255" spans="2:5" x14ac:dyDescent="0.25">
      <c r="B3255" s="545">
        <v>3816</v>
      </c>
      <c r="C3255" s="545" t="s">
        <v>3491</v>
      </c>
      <c r="D3255" s="669" t="s">
        <v>430</v>
      </c>
      <c r="E3255" s="546">
        <v>715.53334600000005</v>
      </c>
    </row>
    <row r="3256" spans="2:5" x14ac:dyDescent="0.25">
      <c r="B3256" s="545">
        <v>3817</v>
      </c>
      <c r="C3256" s="545" t="s">
        <v>6685</v>
      </c>
      <c r="D3256" s="669" t="s">
        <v>430</v>
      </c>
      <c r="E3256" s="546">
        <v>626.32857799999999</v>
      </c>
    </row>
    <row r="3257" spans="2:5" x14ac:dyDescent="0.25">
      <c r="B3257" s="545">
        <v>3818</v>
      </c>
      <c r="C3257" s="545" t="s">
        <v>3361</v>
      </c>
      <c r="D3257" s="669" t="s">
        <v>430</v>
      </c>
      <c r="E3257" s="546">
        <v>708.99333100000001</v>
      </c>
    </row>
    <row r="3258" spans="2:5" x14ac:dyDescent="0.25">
      <c r="B3258" s="545">
        <v>3819</v>
      </c>
      <c r="C3258" s="545" t="s">
        <v>1428</v>
      </c>
      <c r="D3258" s="669" t="s">
        <v>430</v>
      </c>
      <c r="E3258" s="546">
        <v>624.61667899999998</v>
      </c>
    </row>
    <row r="3259" spans="2:5" x14ac:dyDescent="0.25">
      <c r="B3259" s="545">
        <v>3820</v>
      </c>
      <c r="C3259" s="545" t="s">
        <v>6698</v>
      </c>
      <c r="D3259" s="669" t="s">
        <v>430</v>
      </c>
      <c r="E3259" s="546">
        <v>645.70714899999996</v>
      </c>
    </row>
    <row r="3260" spans="2:5" x14ac:dyDescent="0.25">
      <c r="B3260" s="545">
        <v>3821</v>
      </c>
      <c r="C3260" s="545" t="s">
        <v>2176</v>
      </c>
      <c r="D3260" s="669" t="s">
        <v>430</v>
      </c>
      <c r="E3260" s="546">
        <v>652.05554900000004</v>
      </c>
    </row>
    <row r="3261" spans="2:5" x14ac:dyDescent="0.25">
      <c r="B3261" s="545">
        <v>3822</v>
      </c>
      <c r="C3261" s="545" t="s">
        <v>4271</v>
      </c>
      <c r="D3261" s="669" t="s">
        <v>430</v>
      </c>
      <c r="E3261" s="546">
        <v>762.78332499999999</v>
      </c>
    </row>
    <row r="3262" spans="2:5" x14ac:dyDescent="0.25">
      <c r="B3262" s="545">
        <v>3823</v>
      </c>
      <c r="C3262" s="545" t="s">
        <v>4010</v>
      </c>
      <c r="D3262" s="669" t="s">
        <v>430</v>
      </c>
      <c r="E3262" s="546">
        <v>745.58333300000004</v>
      </c>
    </row>
    <row r="3263" spans="2:5" x14ac:dyDescent="0.25">
      <c r="B3263" s="545">
        <v>3824</v>
      </c>
      <c r="C3263" s="545" t="s">
        <v>6723</v>
      </c>
      <c r="D3263" s="669" t="s">
        <v>430</v>
      </c>
      <c r="E3263" s="546">
        <v>690.23332700000003</v>
      </c>
    </row>
    <row r="3264" spans="2:5" x14ac:dyDescent="0.25">
      <c r="B3264" s="545">
        <v>3825</v>
      </c>
      <c r="C3264" s="545" t="s">
        <v>1986</v>
      </c>
      <c r="D3264" s="669" t="s">
        <v>430</v>
      </c>
      <c r="E3264" s="546">
        <v>642.95832800000005</v>
      </c>
    </row>
    <row r="3265" spans="2:5" x14ac:dyDescent="0.25">
      <c r="B3265" s="545">
        <v>3826</v>
      </c>
      <c r="C3265" s="545" t="s">
        <v>6760</v>
      </c>
      <c r="D3265" s="669" t="s">
        <v>430</v>
      </c>
      <c r="E3265" s="546">
        <v>694.25000999999997</v>
      </c>
    </row>
    <row r="3266" spans="2:5" x14ac:dyDescent="0.25">
      <c r="B3266" s="545">
        <v>3827</v>
      </c>
      <c r="C3266" s="545" t="s">
        <v>6792</v>
      </c>
      <c r="D3266" s="669" t="s">
        <v>430</v>
      </c>
      <c r="E3266" s="546">
        <v>611.63999799999999</v>
      </c>
    </row>
    <row r="3267" spans="2:5" x14ac:dyDescent="0.25">
      <c r="B3267" s="545">
        <v>3828</v>
      </c>
      <c r="C3267" s="545" t="s">
        <v>6804</v>
      </c>
      <c r="D3267" s="669" t="s">
        <v>430</v>
      </c>
      <c r="E3267" s="546">
        <v>687.93332899999996</v>
      </c>
    </row>
    <row r="3268" spans="2:5" x14ac:dyDescent="0.25">
      <c r="B3268" s="545">
        <v>3829</v>
      </c>
      <c r="C3268" s="545" t="s">
        <v>3969</v>
      </c>
      <c r="D3268" s="669" t="s">
        <v>430</v>
      </c>
      <c r="E3268" s="546">
        <v>742.93332899999996</v>
      </c>
    </row>
    <row r="3269" spans="2:5" x14ac:dyDescent="0.25">
      <c r="B3269" s="545">
        <v>3830</v>
      </c>
      <c r="C3269" s="545" t="s">
        <v>2731</v>
      </c>
      <c r="D3269" s="669" t="s">
        <v>430</v>
      </c>
      <c r="E3269" s="546">
        <v>677.32142899999997</v>
      </c>
    </row>
    <row r="3270" spans="2:5" x14ac:dyDescent="0.25">
      <c r="B3270" s="545">
        <v>3831</v>
      </c>
      <c r="C3270" s="545" t="s">
        <v>6893</v>
      </c>
      <c r="D3270" s="669" t="s">
        <v>430</v>
      </c>
      <c r="E3270" s="546">
        <v>666.94000200000005</v>
      </c>
    </row>
    <row r="3271" spans="2:5" x14ac:dyDescent="0.25">
      <c r="B3271" s="545">
        <v>3832</v>
      </c>
      <c r="C3271" s="545" t="s">
        <v>6916</v>
      </c>
      <c r="D3271" s="669" t="s">
        <v>430</v>
      </c>
      <c r="E3271" s="546">
        <v>619.04999799999996</v>
      </c>
    </row>
    <row r="3272" spans="2:5" x14ac:dyDescent="0.25">
      <c r="B3272" s="545">
        <v>3832</v>
      </c>
      <c r="C3272" s="545" t="s">
        <v>6916</v>
      </c>
      <c r="D3272" s="669" t="s">
        <v>424</v>
      </c>
      <c r="E3272" s="546">
        <v>619.04999799999996</v>
      </c>
    </row>
    <row r="3273" spans="2:5" x14ac:dyDescent="0.25">
      <c r="B3273" s="545">
        <v>3833</v>
      </c>
      <c r="C3273" s="545" t="s">
        <v>6922</v>
      </c>
      <c r="D3273" s="669" t="s">
        <v>430</v>
      </c>
      <c r="E3273" s="546">
        <v>643.86364200000003</v>
      </c>
    </row>
    <row r="3274" spans="2:5" x14ac:dyDescent="0.25">
      <c r="B3274" s="545">
        <v>3834</v>
      </c>
      <c r="C3274" s="545" t="s">
        <v>6956</v>
      </c>
      <c r="D3274" s="669" t="s">
        <v>430</v>
      </c>
      <c r="E3274" s="546">
        <v>631.776926</v>
      </c>
    </row>
    <row r="3275" spans="2:5" x14ac:dyDescent="0.25">
      <c r="B3275" s="545">
        <v>3835</v>
      </c>
      <c r="C3275" s="545" t="s">
        <v>1329</v>
      </c>
      <c r="D3275" s="669" t="s">
        <v>430</v>
      </c>
      <c r="E3275" s="546">
        <v>611.32221800000002</v>
      </c>
    </row>
    <row r="3276" spans="2:5" x14ac:dyDescent="0.25">
      <c r="B3276" s="545">
        <v>3836</v>
      </c>
      <c r="C3276" s="545" t="s">
        <v>1512</v>
      </c>
      <c r="D3276" s="669" t="s">
        <v>430</v>
      </c>
      <c r="E3276" s="546">
        <v>621.32499700000005</v>
      </c>
    </row>
    <row r="3277" spans="2:5" x14ac:dyDescent="0.25">
      <c r="B3277" s="545">
        <v>3837</v>
      </c>
      <c r="C3277" s="545" t="s">
        <v>3016</v>
      </c>
      <c r="D3277" s="669" t="s">
        <v>430</v>
      </c>
      <c r="E3277" s="546">
        <v>691.53334600000005</v>
      </c>
    </row>
    <row r="3278" spans="2:5" x14ac:dyDescent="0.25">
      <c r="B3278" s="545">
        <v>3838</v>
      </c>
      <c r="C3278" s="545" t="s">
        <v>2686</v>
      </c>
      <c r="D3278" s="669" t="s">
        <v>430</v>
      </c>
      <c r="E3278" s="546">
        <v>675.30000800000005</v>
      </c>
    </row>
    <row r="3279" spans="2:5" x14ac:dyDescent="0.25">
      <c r="B3279" s="545">
        <v>3839</v>
      </c>
      <c r="C3279" s="545" t="s">
        <v>963</v>
      </c>
      <c r="D3279" s="669" t="s">
        <v>430</v>
      </c>
      <c r="E3279" s="546">
        <v>669.5</v>
      </c>
    </row>
    <row r="3280" spans="2:5" x14ac:dyDescent="0.25">
      <c r="B3280" s="545">
        <v>3840</v>
      </c>
      <c r="C3280" s="545" t="s">
        <v>2909</v>
      </c>
      <c r="D3280" s="669" t="s">
        <v>430</v>
      </c>
      <c r="E3280" s="546">
        <v>686.21999500000004</v>
      </c>
    </row>
    <row r="3281" spans="2:5" x14ac:dyDescent="0.25">
      <c r="B3281" s="545">
        <v>3841</v>
      </c>
      <c r="C3281" s="545" t="s">
        <v>3595</v>
      </c>
      <c r="D3281" s="669" t="s">
        <v>430</v>
      </c>
      <c r="E3281" s="546">
        <v>721</v>
      </c>
    </row>
    <row r="3282" spans="2:5" x14ac:dyDescent="0.25">
      <c r="B3282" s="545">
        <v>3842</v>
      </c>
      <c r="C3282" s="545" t="s">
        <v>3522</v>
      </c>
      <c r="D3282" s="669" t="s">
        <v>430</v>
      </c>
      <c r="E3282" s="546">
        <v>717.48331700000006</v>
      </c>
    </row>
    <row r="3283" spans="2:5" x14ac:dyDescent="0.25">
      <c r="B3283" s="545">
        <v>3843</v>
      </c>
      <c r="C3283" s="545" t="s">
        <v>1391</v>
      </c>
      <c r="D3283" s="669" t="s">
        <v>430</v>
      </c>
      <c r="E3283" s="546">
        <v>679.95999800000004</v>
      </c>
    </row>
    <row r="3284" spans="2:5" x14ac:dyDescent="0.25">
      <c r="B3284" s="545">
        <v>3844</v>
      </c>
      <c r="C3284" s="545" t="s">
        <v>2444</v>
      </c>
      <c r="D3284" s="669" t="s">
        <v>430</v>
      </c>
      <c r="E3284" s="546">
        <v>664</v>
      </c>
    </row>
    <row r="3285" spans="2:5" x14ac:dyDescent="0.25">
      <c r="B3285" s="545">
        <v>3845</v>
      </c>
      <c r="C3285" s="545" t="s">
        <v>1949</v>
      </c>
      <c r="D3285" s="669" t="s">
        <v>430</v>
      </c>
      <c r="E3285" s="546">
        <v>657.50908300000003</v>
      </c>
    </row>
    <row r="3286" spans="2:5" x14ac:dyDescent="0.25">
      <c r="B3286" s="545">
        <v>3846</v>
      </c>
      <c r="C3286" s="545" t="s">
        <v>3220</v>
      </c>
      <c r="D3286" s="669" t="s">
        <v>430</v>
      </c>
      <c r="E3286" s="546">
        <v>702.18332899999996</v>
      </c>
    </row>
    <row r="3287" spans="2:5" x14ac:dyDescent="0.25">
      <c r="B3287" s="545">
        <v>3847</v>
      </c>
      <c r="C3287" s="545" t="s">
        <v>3848</v>
      </c>
      <c r="D3287" s="669" t="s">
        <v>430</v>
      </c>
      <c r="E3287" s="546">
        <v>735.56667100000004</v>
      </c>
    </row>
    <row r="3288" spans="2:5" x14ac:dyDescent="0.25">
      <c r="B3288" s="545">
        <v>3848</v>
      </c>
      <c r="C3288" s="545" t="s">
        <v>1605</v>
      </c>
      <c r="D3288" s="669" t="s">
        <v>430</v>
      </c>
      <c r="E3288" s="546">
        <v>626.85455300000001</v>
      </c>
    </row>
    <row r="3289" spans="2:5" x14ac:dyDescent="0.25">
      <c r="B3289" s="545">
        <v>3849</v>
      </c>
      <c r="C3289" s="545" t="s">
        <v>1858</v>
      </c>
      <c r="D3289" s="669" t="s">
        <v>430</v>
      </c>
      <c r="E3289" s="546">
        <v>638.25001499999996</v>
      </c>
    </row>
    <row r="3290" spans="2:5" x14ac:dyDescent="0.25">
      <c r="B3290" s="545">
        <v>3850</v>
      </c>
      <c r="C3290" s="545" t="s">
        <v>7072</v>
      </c>
      <c r="D3290" s="669" t="s">
        <v>430</v>
      </c>
      <c r="E3290" s="546">
        <v>668.36665900000003</v>
      </c>
    </row>
    <row r="3291" spans="2:5" x14ac:dyDescent="0.25">
      <c r="B3291" s="545">
        <v>3851</v>
      </c>
      <c r="C3291" s="545" t="s">
        <v>3436</v>
      </c>
      <c r="D3291" s="669" t="s">
        <v>430</v>
      </c>
      <c r="E3291" s="546">
        <v>712.58333300000004</v>
      </c>
    </row>
    <row r="3292" spans="2:5" x14ac:dyDescent="0.25">
      <c r="B3292" s="545">
        <v>3852</v>
      </c>
      <c r="C3292" s="545" t="s">
        <v>1235</v>
      </c>
      <c r="D3292" s="669" t="s">
        <v>430</v>
      </c>
      <c r="E3292" s="546">
        <v>605.84286099999997</v>
      </c>
    </row>
    <row r="3293" spans="2:5" x14ac:dyDescent="0.25">
      <c r="B3293" s="545">
        <v>3852</v>
      </c>
      <c r="C3293" s="545" t="s">
        <v>1235</v>
      </c>
      <c r="D3293" s="669" t="s">
        <v>424</v>
      </c>
      <c r="E3293" s="546">
        <v>605.84286099999997</v>
      </c>
    </row>
    <row r="3294" spans="2:5" x14ac:dyDescent="0.25">
      <c r="B3294" s="545">
        <v>3853</v>
      </c>
      <c r="C3294" s="545" t="s">
        <v>3881</v>
      </c>
      <c r="D3294" s="669" t="s">
        <v>430</v>
      </c>
      <c r="E3294" s="546">
        <v>737.81667100000004</v>
      </c>
    </row>
    <row r="3295" spans="2:5" x14ac:dyDescent="0.25">
      <c r="B3295" s="545">
        <v>3854</v>
      </c>
      <c r="C3295" s="545" t="s">
        <v>2417</v>
      </c>
      <c r="D3295" s="669" t="s">
        <v>430</v>
      </c>
      <c r="E3295" s="546">
        <v>663.100008</v>
      </c>
    </row>
    <row r="3296" spans="2:5" x14ac:dyDescent="0.25">
      <c r="B3296" s="545">
        <v>3855</v>
      </c>
      <c r="C3296" s="545" t="s">
        <v>3611</v>
      </c>
      <c r="D3296" s="669" t="s">
        <v>430</v>
      </c>
      <c r="E3296" s="546">
        <v>722.27500899999995</v>
      </c>
    </row>
    <row r="3297" spans="2:5" x14ac:dyDescent="0.25">
      <c r="B3297" s="545">
        <v>3856</v>
      </c>
      <c r="C3297" s="545" t="s">
        <v>3342</v>
      </c>
      <c r="D3297" s="669" t="s">
        <v>430</v>
      </c>
      <c r="E3297" s="546">
        <v>707.79999799999996</v>
      </c>
    </row>
    <row r="3298" spans="2:5" x14ac:dyDescent="0.25">
      <c r="B3298" s="545">
        <v>3857</v>
      </c>
      <c r="C3298" s="545" t="s">
        <v>3990</v>
      </c>
      <c r="D3298" s="669" t="s">
        <v>430</v>
      </c>
      <c r="E3298" s="546">
        <v>744.32000700000003</v>
      </c>
    </row>
    <row r="3299" spans="2:5" x14ac:dyDescent="0.25">
      <c r="B3299" s="545">
        <v>3858</v>
      </c>
      <c r="C3299" s="545" t="s">
        <v>3992</v>
      </c>
      <c r="D3299" s="669" t="s">
        <v>430</v>
      </c>
      <c r="E3299" s="546">
        <v>744.42221400000005</v>
      </c>
    </row>
    <row r="3300" spans="2:5" x14ac:dyDescent="0.25">
      <c r="B3300" s="545">
        <v>3859</v>
      </c>
      <c r="C3300" s="545" t="s">
        <v>2185</v>
      </c>
      <c r="D3300" s="669" t="s">
        <v>430</v>
      </c>
      <c r="E3300" s="546">
        <v>652.29999999999995</v>
      </c>
    </row>
    <row r="3301" spans="2:5" x14ac:dyDescent="0.25">
      <c r="B3301" s="545">
        <v>3860</v>
      </c>
      <c r="C3301" s="545" t="s">
        <v>2061</v>
      </c>
      <c r="D3301" s="669" t="s">
        <v>430</v>
      </c>
      <c r="E3301" s="546">
        <v>645.985004</v>
      </c>
    </row>
    <row r="3302" spans="2:5" x14ac:dyDescent="0.25">
      <c r="B3302" s="545">
        <v>3861</v>
      </c>
      <c r="C3302" s="545" t="s">
        <v>2961</v>
      </c>
      <c r="D3302" s="669" t="s">
        <v>430</v>
      </c>
      <c r="E3302" s="546">
        <v>688.383331</v>
      </c>
    </row>
    <row r="3303" spans="2:5" x14ac:dyDescent="0.25">
      <c r="B3303" s="545">
        <v>3862</v>
      </c>
      <c r="C3303" s="545" t="s">
        <v>3326</v>
      </c>
      <c r="D3303" s="669" t="s">
        <v>430</v>
      </c>
      <c r="E3303" s="546">
        <v>707.39999399999999</v>
      </c>
    </row>
    <row r="3304" spans="2:5" x14ac:dyDescent="0.25">
      <c r="B3304" s="545">
        <v>3863</v>
      </c>
      <c r="C3304" s="545" t="s">
        <v>7150</v>
      </c>
      <c r="D3304" s="669" t="s">
        <v>430</v>
      </c>
      <c r="E3304" s="546">
        <v>666.40000399999997</v>
      </c>
    </row>
    <row r="3305" spans="2:5" x14ac:dyDescent="0.25">
      <c r="B3305" s="545">
        <v>3864</v>
      </c>
      <c r="C3305" s="545" t="s">
        <v>2604</v>
      </c>
      <c r="D3305" s="669" t="s">
        <v>430</v>
      </c>
      <c r="E3305" s="546">
        <v>670.98571800000002</v>
      </c>
    </row>
    <row r="3306" spans="2:5" x14ac:dyDescent="0.25">
      <c r="B3306" s="545">
        <v>3865</v>
      </c>
      <c r="C3306" s="545" t="s">
        <v>2316</v>
      </c>
      <c r="D3306" s="669" t="s">
        <v>430</v>
      </c>
      <c r="E3306" s="546">
        <v>658.125</v>
      </c>
    </row>
    <row r="3307" spans="2:5" x14ac:dyDescent="0.25">
      <c r="B3307" s="545">
        <v>3866</v>
      </c>
      <c r="C3307" s="545" t="s">
        <v>2411</v>
      </c>
      <c r="D3307" s="669" t="s">
        <v>430</v>
      </c>
      <c r="E3307" s="546">
        <v>662.875</v>
      </c>
    </row>
    <row r="3308" spans="2:5" x14ac:dyDescent="0.25">
      <c r="B3308" s="545">
        <v>3867</v>
      </c>
      <c r="C3308" s="545" t="s">
        <v>7189</v>
      </c>
      <c r="D3308" s="669" t="s">
        <v>430</v>
      </c>
      <c r="E3308" s="546">
        <v>687.63334099999997</v>
      </c>
    </row>
    <row r="3309" spans="2:5" x14ac:dyDescent="0.25">
      <c r="B3309" s="545">
        <v>3868</v>
      </c>
      <c r="C3309" s="545" t="s">
        <v>1862</v>
      </c>
      <c r="D3309" s="669" t="s">
        <v>430</v>
      </c>
      <c r="E3309" s="546">
        <v>638.47272799999996</v>
      </c>
    </row>
    <row r="3310" spans="2:5" x14ac:dyDescent="0.25">
      <c r="B3310" s="545">
        <v>3869</v>
      </c>
      <c r="C3310" s="545" t="s">
        <v>7208</v>
      </c>
      <c r="D3310" s="669" t="s">
        <v>430</v>
      </c>
      <c r="E3310" s="546">
        <v>610.78750600000001</v>
      </c>
    </row>
    <row r="3311" spans="2:5" x14ac:dyDescent="0.25">
      <c r="B3311" s="545">
        <v>3870</v>
      </c>
      <c r="C3311" s="545" t="s">
        <v>7276</v>
      </c>
      <c r="D3311" s="669" t="s">
        <v>430</v>
      </c>
      <c r="E3311" s="546">
        <v>637.02858200000003</v>
      </c>
    </row>
    <row r="3312" spans="2:5" x14ac:dyDescent="0.25">
      <c r="B3312" s="545">
        <v>3871</v>
      </c>
      <c r="C3312" s="545" t="s">
        <v>7292</v>
      </c>
      <c r="D3312" s="669" t="s">
        <v>430</v>
      </c>
      <c r="E3312" s="546">
        <v>623.92499299999997</v>
      </c>
    </row>
    <row r="3313" spans="2:5" x14ac:dyDescent="0.25">
      <c r="B3313" s="545">
        <v>3872</v>
      </c>
      <c r="C3313" s="545" t="s">
        <v>7303</v>
      </c>
      <c r="D3313" s="669" t="s">
        <v>430</v>
      </c>
      <c r="E3313" s="546">
        <v>723.34997599999997</v>
      </c>
    </row>
    <row r="3314" spans="2:5" x14ac:dyDescent="0.25">
      <c r="B3314" s="545">
        <v>3873</v>
      </c>
      <c r="C3314" s="545" t="s">
        <v>3407</v>
      </c>
      <c r="D3314" s="669" t="s">
        <v>430</v>
      </c>
      <c r="E3314" s="546">
        <v>711.383331</v>
      </c>
    </row>
    <row r="3315" spans="2:5" x14ac:dyDescent="0.25">
      <c r="B3315" s="545">
        <v>3874</v>
      </c>
      <c r="C3315" s="545" t="s">
        <v>4229</v>
      </c>
      <c r="D3315" s="669" t="s">
        <v>430</v>
      </c>
      <c r="E3315" s="546">
        <v>759.77499399999999</v>
      </c>
    </row>
    <row r="3316" spans="2:5" x14ac:dyDescent="0.25">
      <c r="B3316" s="545">
        <v>3875</v>
      </c>
      <c r="C3316" s="545" t="s">
        <v>1847</v>
      </c>
      <c r="D3316" s="669" t="s">
        <v>430</v>
      </c>
      <c r="E3316" s="546">
        <v>637.71764399999995</v>
      </c>
    </row>
    <row r="3317" spans="2:5" x14ac:dyDescent="0.25">
      <c r="B3317" s="545">
        <v>3875</v>
      </c>
      <c r="C3317" s="545" t="s">
        <v>1847</v>
      </c>
      <c r="D3317" s="669" t="s">
        <v>424</v>
      </c>
      <c r="E3317" s="546">
        <v>637.71764399999995</v>
      </c>
    </row>
    <row r="3318" spans="2:5" x14ac:dyDescent="0.25">
      <c r="B3318" s="545">
        <v>3876</v>
      </c>
      <c r="C3318" s="545" t="s">
        <v>2517</v>
      </c>
      <c r="D3318" s="669" t="s">
        <v>430</v>
      </c>
      <c r="E3318" s="546">
        <v>666.68333900000005</v>
      </c>
    </row>
    <row r="3319" spans="2:5" x14ac:dyDescent="0.25">
      <c r="B3319" s="545">
        <v>3877</v>
      </c>
      <c r="C3319" s="545" t="s">
        <v>1158</v>
      </c>
      <c r="D3319" s="669" t="s">
        <v>424</v>
      </c>
      <c r="E3319" s="546">
        <v>601.47499100000005</v>
      </c>
    </row>
    <row r="3320" spans="2:5" x14ac:dyDescent="0.25">
      <c r="B3320" s="545">
        <v>3878</v>
      </c>
      <c r="C3320" s="545" t="s">
        <v>7307</v>
      </c>
      <c r="D3320" s="669" t="s">
        <v>430</v>
      </c>
      <c r="E3320" s="546">
        <v>608.22500600000001</v>
      </c>
    </row>
    <row r="3321" spans="2:5" x14ac:dyDescent="0.25">
      <c r="B3321" s="545">
        <v>3879</v>
      </c>
      <c r="C3321" s="545" t="s">
        <v>1315</v>
      </c>
      <c r="D3321" s="669" t="s">
        <v>430</v>
      </c>
      <c r="E3321" s="546">
        <v>643.34286099999997</v>
      </c>
    </row>
    <row r="3322" spans="2:5" x14ac:dyDescent="0.25">
      <c r="B3322" s="545">
        <v>3880</v>
      </c>
      <c r="C3322" s="545" t="s">
        <v>2975</v>
      </c>
      <c r="D3322" s="669" t="s">
        <v>430</v>
      </c>
      <c r="E3322" s="546">
        <v>689.02499399999999</v>
      </c>
    </row>
    <row r="3323" spans="2:5" x14ac:dyDescent="0.25">
      <c r="B3323" s="545">
        <v>3881</v>
      </c>
      <c r="C3323" s="545" t="s">
        <v>7334</v>
      </c>
      <c r="D3323" s="669" t="s">
        <v>430</v>
      </c>
      <c r="E3323" s="546">
        <v>620.57500500000003</v>
      </c>
    </row>
    <row r="3324" spans="2:5" x14ac:dyDescent="0.25">
      <c r="B3324" s="545">
        <v>3882</v>
      </c>
      <c r="C3324" s="545" t="s">
        <v>2590</v>
      </c>
      <c r="D3324" s="669" t="s">
        <v>430</v>
      </c>
      <c r="E3324" s="546">
        <v>670.05000299999995</v>
      </c>
    </row>
    <row r="3325" spans="2:5" x14ac:dyDescent="0.25">
      <c r="B3325" s="545">
        <v>3883</v>
      </c>
      <c r="C3325" s="545" t="s">
        <v>2873</v>
      </c>
      <c r="D3325" s="669" t="s">
        <v>430</v>
      </c>
      <c r="E3325" s="546">
        <v>684.84999800000003</v>
      </c>
    </row>
    <row r="3326" spans="2:5" x14ac:dyDescent="0.25">
      <c r="B3326" s="545">
        <v>3884</v>
      </c>
      <c r="C3326" s="545" t="s">
        <v>1421</v>
      </c>
      <c r="D3326" s="669" t="s">
        <v>430</v>
      </c>
      <c r="E3326" s="546">
        <v>616.47143600000004</v>
      </c>
    </row>
    <row r="3327" spans="2:5" x14ac:dyDescent="0.25">
      <c r="B3327" s="545">
        <v>3885</v>
      </c>
      <c r="C3327" s="545" t="s">
        <v>1507</v>
      </c>
      <c r="D3327" s="669" t="s">
        <v>430</v>
      </c>
      <c r="E3327" s="546">
        <v>620.96666000000005</v>
      </c>
    </row>
    <row r="3328" spans="2:5" x14ac:dyDescent="0.25">
      <c r="B3328" s="545">
        <v>3886</v>
      </c>
      <c r="C3328" s="545" t="s">
        <v>5161</v>
      </c>
      <c r="D3328" s="669" t="s">
        <v>430</v>
      </c>
      <c r="E3328" s="546">
        <v>839.54998799999998</v>
      </c>
    </row>
    <row r="3329" spans="2:5" x14ac:dyDescent="0.25">
      <c r="B3329" s="545">
        <v>3887</v>
      </c>
      <c r="C3329" s="545" t="s">
        <v>1602</v>
      </c>
      <c r="D3329" s="669" t="s">
        <v>430</v>
      </c>
      <c r="E3329" s="546">
        <v>626.54999999999995</v>
      </c>
    </row>
    <row r="3330" spans="2:5" x14ac:dyDescent="0.25">
      <c r="B3330" s="545">
        <v>3888</v>
      </c>
      <c r="C3330" s="545" t="s">
        <v>7356</v>
      </c>
      <c r="D3330" s="669" t="s">
        <v>430</v>
      </c>
      <c r="E3330" s="546">
        <v>732.37143400000002</v>
      </c>
    </row>
    <row r="3331" spans="2:5" x14ac:dyDescent="0.25">
      <c r="B3331" s="545">
        <v>3889</v>
      </c>
      <c r="C3331" s="545" t="s">
        <v>7391</v>
      </c>
      <c r="D3331" s="669" t="s">
        <v>430</v>
      </c>
      <c r="E3331" s="546">
        <v>669.740002</v>
      </c>
    </row>
    <row r="3332" spans="2:5" x14ac:dyDescent="0.25">
      <c r="B3332" s="545">
        <v>3890</v>
      </c>
      <c r="C3332" s="545" t="s">
        <v>7209</v>
      </c>
      <c r="D3332" s="669" t="s">
        <v>430</v>
      </c>
      <c r="E3332" s="546">
        <v>620.05385200000001</v>
      </c>
    </row>
    <row r="3333" spans="2:5" x14ac:dyDescent="0.25">
      <c r="B3333" s="545">
        <v>3891</v>
      </c>
      <c r="C3333" s="545" t="s">
        <v>975</v>
      </c>
      <c r="D3333" s="669" t="s">
        <v>430</v>
      </c>
      <c r="E3333" s="546">
        <v>586.39166299999999</v>
      </c>
    </row>
    <row r="3334" spans="2:5" x14ac:dyDescent="0.25">
      <c r="B3334" s="545">
        <v>3892</v>
      </c>
      <c r="C3334" s="545" t="s">
        <v>430</v>
      </c>
      <c r="D3334" s="669" t="s">
        <v>430</v>
      </c>
      <c r="E3334" s="546">
        <v>641.55384200000003</v>
      </c>
    </row>
    <row r="3335" spans="2:5" x14ac:dyDescent="0.25">
      <c r="B3335" s="545">
        <v>3893</v>
      </c>
      <c r="C3335" s="545" t="s">
        <v>1769</v>
      </c>
      <c r="D3335" s="669" t="s">
        <v>430</v>
      </c>
      <c r="E3335" s="546">
        <v>634.91665599999999</v>
      </c>
    </row>
    <row r="3336" spans="2:5" x14ac:dyDescent="0.25">
      <c r="B3336" s="545">
        <v>3894</v>
      </c>
      <c r="C3336" s="545" t="s">
        <v>3647</v>
      </c>
      <c r="D3336" s="669" t="s">
        <v>430</v>
      </c>
      <c r="E3336" s="546">
        <v>724.25</v>
      </c>
    </row>
    <row r="3337" spans="2:5" x14ac:dyDescent="0.25">
      <c r="B3337" s="545">
        <v>3895</v>
      </c>
      <c r="C3337" s="545" t="s">
        <v>4861</v>
      </c>
      <c r="D3337" s="669" t="s">
        <v>430</v>
      </c>
      <c r="E3337" s="546">
        <v>808.1875</v>
      </c>
    </row>
    <row r="3338" spans="2:5" x14ac:dyDescent="0.25">
      <c r="B3338" s="545">
        <v>3896</v>
      </c>
      <c r="C3338" s="545" t="s">
        <v>7426</v>
      </c>
      <c r="D3338" s="669" t="s">
        <v>430</v>
      </c>
      <c r="E3338" s="546">
        <v>756.14000199999998</v>
      </c>
    </row>
    <row r="3339" spans="2:5" x14ac:dyDescent="0.25">
      <c r="B3339" s="545">
        <v>3897</v>
      </c>
      <c r="C3339" s="545" t="s">
        <v>4267</v>
      </c>
      <c r="D3339" s="669" t="s">
        <v>430</v>
      </c>
      <c r="E3339" s="546">
        <v>762.5</v>
      </c>
    </row>
    <row r="3340" spans="2:5" x14ac:dyDescent="0.25">
      <c r="B3340" s="545">
        <v>3898</v>
      </c>
      <c r="C3340" s="545" t="s">
        <v>424</v>
      </c>
      <c r="D3340" s="669" t="s">
        <v>424</v>
      </c>
      <c r="E3340" s="546">
        <v>615.69999900000005</v>
      </c>
    </row>
    <row r="3341" spans="2:5" x14ac:dyDescent="0.25">
      <c r="B3341" s="545">
        <v>3899</v>
      </c>
      <c r="C3341" s="545" t="s">
        <v>7461</v>
      </c>
      <c r="D3341" s="669" t="s">
        <v>430</v>
      </c>
      <c r="E3341" s="546">
        <v>655.39285299999995</v>
      </c>
    </row>
    <row r="3342" spans="2:5" x14ac:dyDescent="0.25">
      <c r="B3342" s="545">
        <v>3900</v>
      </c>
      <c r="C3342" s="545" t="s">
        <v>3064</v>
      </c>
      <c r="D3342" s="669" t="s">
        <v>430</v>
      </c>
      <c r="E3342" s="546">
        <v>694.15999799999997</v>
      </c>
    </row>
    <row r="3343" spans="2:5" x14ac:dyDescent="0.25">
      <c r="B3343" s="545">
        <v>3901</v>
      </c>
      <c r="C3343" s="545" t="s">
        <v>3359</v>
      </c>
      <c r="D3343" s="669" t="s">
        <v>430</v>
      </c>
      <c r="E3343" s="546">
        <v>708.91999499999997</v>
      </c>
    </row>
    <row r="3344" spans="2:5" x14ac:dyDescent="0.25">
      <c r="B3344" s="545">
        <v>3902</v>
      </c>
      <c r="C3344" s="545" t="s">
        <v>2800</v>
      </c>
      <c r="D3344" s="669" t="s">
        <v>430</v>
      </c>
      <c r="E3344" s="546">
        <v>681.09997599999997</v>
      </c>
    </row>
    <row r="3345" spans="2:5" x14ac:dyDescent="0.25">
      <c r="B3345" s="545">
        <v>3903</v>
      </c>
      <c r="C3345" s="545" t="s">
        <v>3002</v>
      </c>
      <c r="D3345" s="669" t="s">
        <v>430</v>
      </c>
      <c r="E3345" s="546">
        <v>690.69999700000005</v>
      </c>
    </row>
    <row r="3346" spans="2:5" x14ac:dyDescent="0.25">
      <c r="B3346" s="545">
        <v>3904</v>
      </c>
      <c r="C3346" s="545" t="s">
        <v>1924</v>
      </c>
      <c r="D3346" s="669" t="s">
        <v>430</v>
      </c>
      <c r="E3346" s="546">
        <v>641.02999899999998</v>
      </c>
    </row>
    <row r="3347" spans="2:5" x14ac:dyDescent="0.25">
      <c r="B3347" s="545">
        <v>3905</v>
      </c>
      <c r="C3347" s="545" t="s">
        <v>3760</v>
      </c>
      <c r="D3347" s="669" t="s">
        <v>430</v>
      </c>
      <c r="E3347" s="546">
        <v>730.63999000000001</v>
      </c>
    </row>
    <row r="3348" spans="2:5" x14ac:dyDescent="0.25">
      <c r="B3348" s="545">
        <v>3906</v>
      </c>
      <c r="C3348" s="545" t="s">
        <v>6475</v>
      </c>
      <c r="D3348" s="669" t="s">
        <v>430</v>
      </c>
      <c r="E3348" s="546">
        <v>699.06667100000004</v>
      </c>
    </row>
    <row r="3349" spans="2:5" x14ac:dyDescent="0.25">
      <c r="B3349" s="545">
        <v>3907</v>
      </c>
      <c r="C3349" s="545" t="s">
        <v>7553</v>
      </c>
      <c r="D3349" s="669" t="s">
        <v>430</v>
      </c>
      <c r="E3349" s="546">
        <v>638.6875</v>
      </c>
    </row>
    <row r="3350" spans="2:5" x14ac:dyDescent="0.25">
      <c r="B3350" s="545">
        <v>3908</v>
      </c>
      <c r="C3350" s="545" t="s">
        <v>2328</v>
      </c>
      <c r="D3350" s="669" t="s">
        <v>430</v>
      </c>
      <c r="E3350" s="546">
        <v>658.87999300000001</v>
      </c>
    </row>
    <row r="3351" spans="2:5" x14ac:dyDescent="0.25">
      <c r="B3351" s="545">
        <v>3909</v>
      </c>
      <c r="C3351" s="545" t="s">
        <v>1906</v>
      </c>
      <c r="D3351" s="669" t="s">
        <v>430</v>
      </c>
      <c r="E3351" s="546">
        <v>640.12380800000005</v>
      </c>
    </row>
    <row r="3352" spans="2:5" x14ac:dyDescent="0.25">
      <c r="B3352" s="545">
        <v>3910</v>
      </c>
      <c r="C3352" s="545" t="s">
        <v>7555</v>
      </c>
      <c r="D3352" s="669" t="s">
        <v>430</v>
      </c>
      <c r="E3352" s="546">
        <v>648.54000199999996</v>
      </c>
    </row>
    <row r="3353" spans="2:5" x14ac:dyDescent="0.25">
      <c r="B3353" s="545">
        <v>3911</v>
      </c>
      <c r="C3353" s="545" t="s">
        <v>4968</v>
      </c>
      <c r="D3353" s="669" t="s">
        <v>430</v>
      </c>
      <c r="E3353" s="546">
        <v>818.85999800000002</v>
      </c>
    </row>
    <row r="3354" spans="2:5" x14ac:dyDescent="0.25">
      <c r="B3354" s="545">
        <v>3912</v>
      </c>
      <c r="C3354" s="545" t="s">
        <v>1222</v>
      </c>
      <c r="D3354" s="669" t="s">
        <v>430</v>
      </c>
      <c r="E3354" s="546">
        <v>614.17499299999997</v>
      </c>
    </row>
    <row r="3355" spans="2:5" x14ac:dyDescent="0.25">
      <c r="B3355" s="545">
        <v>3912</v>
      </c>
      <c r="C3355" s="545" t="s">
        <v>1222</v>
      </c>
      <c r="D3355" s="669" t="s">
        <v>424</v>
      </c>
      <c r="E3355" s="546">
        <v>614.17499299999997</v>
      </c>
    </row>
    <row r="3356" spans="2:5" x14ac:dyDescent="0.25">
      <c r="B3356" s="545">
        <v>3913</v>
      </c>
      <c r="C3356" s="545" t="s">
        <v>1506</v>
      </c>
      <c r="D3356" s="669" t="s">
        <v>430</v>
      </c>
      <c r="E3356" s="546">
        <v>620.87143400000002</v>
      </c>
    </row>
    <row r="3357" spans="2:5" x14ac:dyDescent="0.25">
      <c r="B3357" s="545">
        <v>3914</v>
      </c>
      <c r="C3357" s="545" t="s">
        <v>2123</v>
      </c>
      <c r="D3357" s="669" t="s">
        <v>430</v>
      </c>
      <c r="E3357" s="546">
        <v>649.62857499999996</v>
      </c>
    </row>
    <row r="3358" spans="2:5" x14ac:dyDescent="0.25">
      <c r="B3358" s="545">
        <v>3915</v>
      </c>
      <c r="C3358" s="545" t="s">
        <v>2414</v>
      </c>
      <c r="D3358" s="669" t="s">
        <v>430</v>
      </c>
      <c r="E3358" s="546">
        <v>662.99998500000004</v>
      </c>
    </row>
    <row r="3359" spans="2:5" x14ac:dyDescent="0.25">
      <c r="B3359" s="545">
        <v>3916</v>
      </c>
      <c r="C3359" s="545" t="s">
        <v>2013</v>
      </c>
      <c r="D3359" s="669" t="s">
        <v>430</v>
      </c>
      <c r="E3359" s="546">
        <v>643.82857799999999</v>
      </c>
    </row>
    <row r="3360" spans="2:5" x14ac:dyDescent="0.25">
      <c r="B3360" s="545">
        <v>3917</v>
      </c>
      <c r="C3360" s="545" t="s">
        <v>2646</v>
      </c>
      <c r="D3360" s="669" t="s">
        <v>430</v>
      </c>
      <c r="E3360" s="546">
        <v>673.66666699999996</v>
      </c>
    </row>
    <row r="3361" spans="2:5" x14ac:dyDescent="0.25">
      <c r="B3361" s="545">
        <v>3918</v>
      </c>
      <c r="C3361" s="545" t="s">
        <v>1332</v>
      </c>
      <c r="D3361" s="669" t="s">
        <v>424</v>
      </c>
      <c r="E3361" s="546">
        <v>611.58572000000004</v>
      </c>
    </row>
    <row r="3362" spans="2:5" x14ac:dyDescent="0.25">
      <c r="B3362" s="545">
        <v>3919</v>
      </c>
      <c r="C3362" s="545" t="s">
        <v>1204</v>
      </c>
      <c r="D3362" s="669" t="s">
        <v>430</v>
      </c>
      <c r="E3362" s="546">
        <v>665</v>
      </c>
    </row>
    <row r="3363" spans="2:5" x14ac:dyDescent="0.25">
      <c r="B3363" s="545">
        <v>3951</v>
      </c>
      <c r="C3363" s="545" t="s">
        <v>4125</v>
      </c>
      <c r="D3363" s="669" t="s">
        <v>375</v>
      </c>
      <c r="E3363" s="546">
        <v>752.28000499999996</v>
      </c>
    </row>
    <row r="3364" spans="2:5" x14ac:dyDescent="0.25">
      <c r="B3364" s="545">
        <v>3952</v>
      </c>
      <c r="C3364" s="545" t="s">
        <v>2972</v>
      </c>
      <c r="D3364" s="669" t="s">
        <v>375</v>
      </c>
      <c r="E3364" s="546">
        <v>688.94999199999995</v>
      </c>
    </row>
    <row r="3365" spans="2:5" x14ac:dyDescent="0.25">
      <c r="B3365" s="545">
        <v>3953</v>
      </c>
      <c r="C3365" s="545" t="s">
        <v>7064</v>
      </c>
      <c r="D3365" s="669" t="s">
        <v>375</v>
      </c>
      <c r="E3365" s="546">
        <v>730.76000599999998</v>
      </c>
    </row>
    <row r="3366" spans="2:5" x14ac:dyDescent="0.25">
      <c r="B3366" s="545">
        <v>3954</v>
      </c>
      <c r="C3366" s="545" t="s">
        <v>4388</v>
      </c>
      <c r="D3366" s="669" t="s">
        <v>375</v>
      </c>
      <c r="E3366" s="546">
        <v>771.29998799999998</v>
      </c>
    </row>
    <row r="3367" spans="2:5" x14ac:dyDescent="0.25">
      <c r="B3367" s="545">
        <v>3955</v>
      </c>
      <c r="C3367" s="545" t="s">
        <v>2678</v>
      </c>
      <c r="D3367" s="669" t="s">
        <v>375</v>
      </c>
      <c r="E3367" s="546">
        <v>675.00001999999995</v>
      </c>
    </row>
    <row r="3368" spans="2:5" x14ac:dyDescent="0.25">
      <c r="B3368" s="545">
        <v>3956</v>
      </c>
      <c r="C3368" s="545" t="s">
        <v>2103</v>
      </c>
      <c r="D3368" s="669" t="s">
        <v>375</v>
      </c>
      <c r="E3368" s="546">
        <v>648.47273399999995</v>
      </c>
    </row>
    <row r="3369" spans="2:5" x14ac:dyDescent="0.25">
      <c r="B3369" s="545">
        <v>3957</v>
      </c>
      <c r="C3369" s="545" t="s">
        <v>7101</v>
      </c>
      <c r="D3369" s="669" t="s">
        <v>375</v>
      </c>
      <c r="E3369" s="546">
        <v>643.88888199999997</v>
      </c>
    </row>
    <row r="3370" spans="2:5" x14ac:dyDescent="0.25">
      <c r="B3370" s="545">
        <v>3958</v>
      </c>
      <c r="C3370" s="545" t="s">
        <v>3500</v>
      </c>
      <c r="D3370" s="669" t="s">
        <v>375</v>
      </c>
      <c r="E3370" s="546">
        <v>715.92856300000005</v>
      </c>
    </row>
    <row r="3371" spans="2:5" x14ac:dyDescent="0.25">
      <c r="B3371" s="545">
        <v>3959</v>
      </c>
      <c r="C3371" s="545" t="s">
        <v>3036</v>
      </c>
      <c r="D3371" s="669" t="s">
        <v>375</v>
      </c>
      <c r="E3371" s="546">
        <v>692.64443600000004</v>
      </c>
    </row>
    <row r="3372" spans="2:5" x14ac:dyDescent="0.25">
      <c r="B3372" s="545">
        <v>3960</v>
      </c>
      <c r="C3372" s="545" t="s">
        <v>3203</v>
      </c>
      <c r="D3372" s="669" t="s">
        <v>375</v>
      </c>
      <c r="E3372" s="546">
        <v>701.20001200000002</v>
      </c>
    </row>
    <row r="3373" spans="2:5" x14ac:dyDescent="0.25">
      <c r="B3373" s="545">
        <v>3961</v>
      </c>
      <c r="C3373" s="545" t="s">
        <v>3113</v>
      </c>
      <c r="D3373" s="669" t="s">
        <v>375</v>
      </c>
      <c r="E3373" s="546">
        <v>696.79998799999998</v>
      </c>
    </row>
    <row r="3374" spans="2:5" x14ac:dyDescent="0.25">
      <c r="B3374" s="545">
        <v>3962</v>
      </c>
      <c r="C3374" s="545" t="s">
        <v>2776</v>
      </c>
      <c r="D3374" s="669" t="s">
        <v>375</v>
      </c>
      <c r="E3374" s="546">
        <v>679.60000600000001</v>
      </c>
    </row>
    <row r="3375" spans="2:5" x14ac:dyDescent="0.25">
      <c r="B3375" s="545">
        <v>3963</v>
      </c>
      <c r="C3375" s="545" t="s">
        <v>3025</v>
      </c>
      <c r="D3375" s="669" t="s">
        <v>375</v>
      </c>
      <c r="E3375" s="546">
        <v>692.14999399999999</v>
      </c>
    </row>
    <row r="3376" spans="2:5" x14ac:dyDescent="0.25">
      <c r="B3376" s="545">
        <v>3964</v>
      </c>
      <c r="C3376" s="545" t="s">
        <v>2230</v>
      </c>
      <c r="D3376" s="669" t="s">
        <v>375</v>
      </c>
      <c r="E3376" s="546">
        <v>654.31000400000005</v>
      </c>
    </row>
    <row r="3377" spans="2:5" x14ac:dyDescent="0.25">
      <c r="B3377" s="545">
        <v>3965</v>
      </c>
      <c r="C3377" s="545" t="s">
        <v>2771</v>
      </c>
      <c r="D3377" s="669" t="s">
        <v>375</v>
      </c>
      <c r="E3377" s="546">
        <v>679.19999700000005</v>
      </c>
    </row>
    <row r="3378" spans="2:5" x14ac:dyDescent="0.25">
      <c r="B3378" s="545">
        <v>3966</v>
      </c>
      <c r="C3378" s="545" t="s">
        <v>2714</v>
      </c>
      <c r="D3378" s="669" t="s">
        <v>375</v>
      </c>
      <c r="E3378" s="546">
        <v>676.55999799999995</v>
      </c>
    </row>
    <row r="3379" spans="2:5" x14ac:dyDescent="0.25">
      <c r="B3379" s="545">
        <v>3967</v>
      </c>
      <c r="C3379" s="545" t="s">
        <v>6910</v>
      </c>
      <c r="D3379" s="669" t="s">
        <v>375</v>
      </c>
      <c r="E3379" s="546">
        <v>768.01428199999998</v>
      </c>
    </row>
    <row r="3380" spans="2:5" x14ac:dyDescent="0.25">
      <c r="B3380" s="545">
        <v>3968</v>
      </c>
      <c r="C3380" s="545" t="s">
        <v>2569</v>
      </c>
      <c r="D3380" s="669" t="s">
        <v>375</v>
      </c>
      <c r="E3380" s="546">
        <v>769.10000600000001</v>
      </c>
    </row>
    <row r="3381" spans="2:5" x14ac:dyDescent="0.25">
      <c r="B3381" s="545">
        <v>3969</v>
      </c>
      <c r="C3381" s="545" t="s">
        <v>4087</v>
      </c>
      <c r="D3381" s="669" t="s">
        <v>375</v>
      </c>
      <c r="E3381" s="546">
        <v>750.42857100000003</v>
      </c>
    </row>
    <row r="3382" spans="2:5" x14ac:dyDescent="0.25">
      <c r="B3382" s="545">
        <v>3970</v>
      </c>
      <c r="C3382" s="545" t="s">
        <v>3490</v>
      </c>
      <c r="D3382" s="669" t="s">
        <v>375</v>
      </c>
      <c r="E3382" s="546">
        <v>715.50001499999996</v>
      </c>
    </row>
    <row r="3383" spans="2:5" x14ac:dyDescent="0.25">
      <c r="B3383" s="545">
        <v>3971</v>
      </c>
      <c r="C3383" s="545" t="s">
        <v>3671</v>
      </c>
      <c r="D3383" s="669" t="s">
        <v>375</v>
      </c>
      <c r="E3383" s="546">
        <v>725.60000600000001</v>
      </c>
    </row>
    <row r="3384" spans="2:5" x14ac:dyDescent="0.25">
      <c r="B3384" s="545">
        <v>3972</v>
      </c>
      <c r="C3384" s="545" t="s">
        <v>3667</v>
      </c>
      <c r="D3384" s="669" t="s">
        <v>375</v>
      </c>
      <c r="E3384" s="546">
        <v>725.24286800000004</v>
      </c>
    </row>
    <row r="3385" spans="2:5" x14ac:dyDescent="0.25">
      <c r="B3385" s="545">
        <v>3973</v>
      </c>
      <c r="C3385" s="545" t="s">
        <v>3058</v>
      </c>
      <c r="D3385" s="669" t="s">
        <v>375</v>
      </c>
      <c r="E3385" s="546">
        <v>693.90000699999996</v>
      </c>
    </row>
    <row r="3386" spans="2:5" x14ac:dyDescent="0.25">
      <c r="B3386" s="545">
        <v>3974</v>
      </c>
      <c r="C3386" s="545" t="s">
        <v>2920</v>
      </c>
      <c r="D3386" s="669" t="s">
        <v>375</v>
      </c>
      <c r="E3386" s="546">
        <v>686.56001000000003</v>
      </c>
    </row>
    <row r="3387" spans="2:5" x14ac:dyDescent="0.25">
      <c r="B3387" s="545">
        <v>3975</v>
      </c>
      <c r="C3387" s="545" t="s">
        <v>4126</v>
      </c>
      <c r="D3387" s="669" t="s">
        <v>375</v>
      </c>
      <c r="E3387" s="546">
        <v>752.35999800000002</v>
      </c>
    </row>
    <row r="3388" spans="2:5" x14ac:dyDescent="0.25">
      <c r="B3388" s="545">
        <v>3976</v>
      </c>
      <c r="C3388" s="545" t="s">
        <v>3378</v>
      </c>
      <c r="D3388" s="669" t="s">
        <v>375</v>
      </c>
      <c r="E3388" s="546">
        <v>709.68332899999996</v>
      </c>
    </row>
    <row r="3389" spans="2:5" x14ac:dyDescent="0.25">
      <c r="B3389" s="545">
        <v>3977</v>
      </c>
      <c r="C3389" s="545" t="s">
        <v>4004</v>
      </c>
      <c r="D3389" s="669" t="s">
        <v>375</v>
      </c>
      <c r="E3389" s="546">
        <v>744.95000500000003</v>
      </c>
    </row>
    <row r="3390" spans="2:5" x14ac:dyDescent="0.25">
      <c r="B3390" s="545">
        <v>3978</v>
      </c>
      <c r="C3390" s="545" t="s">
        <v>3593</v>
      </c>
      <c r="D3390" s="669" t="s">
        <v>375</v>
      </c>
      <c r="E3390" s="546">
        <v>720.87333599999999</v>
      </c>
    </row>
    <row r="3391" spans="2:5" x14ac:dyDescent="0.25">
      <c r="B3391" s="545">
        <v>3979</v>
      </c>
      <c r="C3391" s="545" t="s">
        <v>1142</v>
      </c>
      <c r="D3391" s="669" t="s">
        <v>375</v>
      </c>
      <c r="E3391" s="546">
        <v>600.29998799999998</v>
      </c>
    </row>
    <row r="3392" spans="2:5" x14ac:dyDescent="0.25">
      <c r="B3392" s="545">
        <v>3980</v>
      </c>
      <c r="C3392" s="545" t="s">
        <v>2855</v>
      </c>
      <c r="D3392" s="669" t="s">
        <v>375</v>
      </c>
      <c r="E3392" s="546">
        <v>684.10001599999998</v>
      </c>
    </row>
    <row r="3393" spans="2:5" x14ac:dyDescent="0.25">
      <c r="B3393" s="545">
        <v>3981</v>
      </c>
      <c r="C3393" s="545" t="s">
        <v>2067</v>
      </c>
      <c r="D3393" s="669" t="s">
        <v>375</v>
      </c>
      <c r="E3393" s="546">
        <v>681.133331</v>
      </c>
    </row>
    <row r="3394" spans="2:5" x14ac:dyDescent="0.25">
      <c r="B3394" s="545">
        <v>3982</v>
      </c>
      <c r="C3394" s="545" t="s">
        <v>3389</v>
      </c>
      <c r="D3394" s="669" t="s">
        <v>375</v>
      </c>
      <c r="E3394" s="546">
        <v>710.125</v>
      </c>
    </row>
    <row r="3395" spans="2:5" x14ac:dyDescent="0.25">
      <c r="B3395" s="545">
        <v>3983</v>
      </c>
      <c r="C3395" s="545" t="s">
        <v>1987</v>
      </c>
      <c r="D3395" s="669" t="s">
        <v>375</v>
      </c>
      <c r="E3395" s="546">
        <v>642.96667500000001</v>
      </c>
    </row>
    <row r="3396" spans="2:5" x14ac:dyDescent="0.25">
      <c r="B3396" s="545">
        <v>3984</v>
      </c>
      <c r="C3396" s="545" t="s">
        <v>2205</v>
      </c>
      <c r="D3396" s="669" t="s">
        <v>375</v>
      </c>
      <c r="E3396" s="546">
        <v>653.07777899999996</v>
      </c>
    </row>
    <row r="3397" spans="2:5" x14ac:dyDescent="0.25">
      <c r="B3397" s="545">
        <v>3985</v>
      </c>
      <c r="C3397" s="545" t="s">
        <v>2079</v>
      </c>
      <c r="D3397" s="669" t="s">
        <v>375</v>
      </c>
      <c r="E3397" s="546">
        <v>647.22499100000005</v>
      </c>
    </row>
    <row r="3398" spans="2:5" x14ac:dyDescent="0.25">
      <c r="B3398" s="545">
        <v>3986</v>
      </c>
      <c r="C3398" s="545" t="s">
        <v>3032</v>
      </c>
      <c r="D3398" s="669" t="s">
        <v>375</v>
      </c>
      <c r="E3398" s="546">
        <v>692.44999700000005</v>
      </c>
    </row>
    <row r="3399" spans="2:5" x14ac:dyDescent="0.25">
      <c r="B3399" s="545">
        <v>3987</v>
      </c>
      <c r="C3399" s="545" t="s">
        <v>3680</v>
      </c>
      <c r="D3399" s="669" t="s">
        <v>375</v>
      </c>
      <c r="E3399" s="546">
        <v>726.30000800000005</v>
      </c>
    </row>
    <row r="3400" spans="2:5" x14ac:dyDescent="0.25">
      <c r="B3400" s="545">
        <v>3988</v>
      </c>
      <c r="C3400" s="545" t="s">
        <v>3145</v>
      </c>
      <c r="D3400" s="669" t="s">
        <v>375</v>
      </c>
      <c r="E3400" s="546">
        <v>698.60000600000001</v>
      </c>
    </row>
    <row r="3401" spans="2:5" x14ac:dyDescent="0.25">
      <c r="B3401" s="545">
        <v>3989</v>
      </c>
      <c r="C3401" s="545" t="s">
        <v>3720</v>
      </c>
      <c r="D3401" s="669" t="s">
        <v>375</v>
      </c>
      <c r="E3401" s="546">
        <v>728.366669</v>
      </c>
    </row>
    <row r="3402" spans="2:5" x14ac:dyDescent="0.25">
      <c r="B3402" s="545">
        <v>3990</v>
      </c>
      <c r="C3402" s="545" t="s">
        <v>3458</v>
      </c>
      <c r="D3402" s="669" t="s">
        <v>375</v>
      </c>
      <c r="E3402" s="546">
        <v>713.692858</v>
      </c>
    </row>
    <row r="3403" spans="2:5" x14ac:dyDescent="0.25">
      <c r="B3403" s="545">
        <v>3991</v>
      </c>
      <c r="C3403" s="545" t="s">
        <v>2768</v>
      </c>
      <c r="D3403" s="669" t="s">
        <v>375</v>
      </c>
      <c r="E3403" s="546">
        <v>679.10000300000002</v>
      </c>
    </row>
    <row r="3404" spans="2:5" x14ac:dyDescent="0.25">
      <c r="B3404" s="545">
        <v>3992</v>
      </c>
      <c r="C3404" s="545" t="s">
        <v>1336</v>
      </c>
      <c r="D3404" s="669" t="s">
        <v>375</v>
      </c>
      <c r="E3404" s="546">
        <v>611.79998799999998</v>
      </c>
    </row>
    <row r="3405" spans="2:5" x14ac:dyDescent="0.25">
      <c r="B3405" s="545">
        <v>3993</v>
      </c>
      <c r="C3405" s="545" t="s">
        <v>7050</v>
      </c>
      <c r="D3405" s="669" t="s">
        <v>375</v>
      </c>
      <c r="E3405" s="546">
        <v>672.52499399999999</v>
      </c>
    </row>
    <row r="3406" spans="2:5" x14ac:dyDescent="0.25">
      <c r="B3406" s="545">
        <v>3994</v>
      </c>
      <c r="C3406" s="545" t="s">
        <v>3034</v>
      </c>
      <c r="D3406" s="669" t="s">
        <v>375</v>
      </c>
      <c r="E3406" s="546">
        <v>692.55001800000002</v>
      </c>
    </row>
    <row r="3407" spans="2:5" x14ac:dyDescent="0.25">
      <c r="B3407" s="545">
        <v>3995</v>
      </c>
      <c r="C3407" s="545" t="s">
        <v>807</v>
      </c>
      <c r="D3407" s="669" t="s">
        <v>375</v>
      </c>
      <c r="E3407" s="546">
        <v>682.95001200000002</v>
      </c>
    </row>
    <row r="3408" spans="2:5" x14ac:dyDescent="0.25">
      <c r="B3408" s="545">
        <v>3996</v>
      </c>
      <c r="C3408" s="545" t="s">
        <v>6851</v>
      </c>
      <c r="D3408" s="669" t="s">
        <v>375</v>
      </c>
      <c r="E3408" s="546">
        <v>566</v>
      </c>
    </row>
    <row r="3409" spans="2:5" x14ac:dyDescent="0.25">
      <c r="B3409" s="545">
        <v>3997</v>
      </c>
      <c r="C3409" s="545" t="s">
        <v>6575</v>
      </c>
      <c r="D3409" s="669" t="s">
        <v>375</v>
      </c>
      <c r="E3409" s="546">
        <v>646.55001800000002</v>
      </c>
    </row>
    <row r="3410" spans="2:5" x14ac:dyDescent="0.25">
      <c r="B3410" s="545">
        <v>3998</v>
      </c>
      <c r="C3410" s="545" t="s">
        <v>1643</v>
      </c>
      <c r="D3410" s="669" t="s">
        <v>375</v>
      </c>
      <c r="E3410" s="546">
        <v>628.740002</v>
      </c>
    </row>
    <row r="3411" spans="2:5" x14ac:dyDescent="0.25">
      <c r="B3411" s="545">
        <v>3999</v>
      </c>
      <c r="C3411" s="545" t="s">
        <v>1050</v>
      </c>
      <c r="D3411" s="669" t="s">
        <v>375</v>
      </c>
      <c r="E3411" s="546">
        <v>593.95001200000002</v>
      </c>
    </row>
    <row r="3412" spans="2:5" x14ac:dyDescent="0.25">
      <c r="B3412" s="545">
        <v>4000</v>
      </c>
      <c r="C3412" s="545" t="s">
        <v>1226</v>
      </c>
      <c r="D3412" s="669" t="s">
        <v>375</v>
      </c>
      <c r="E3412" s="546">
        <v>605.34286099999997</v>
      </c>
    </row>
    <row r="3413" spans="2:5" x14ac:dyDescent="0.25">
      <c r="B3413" s="545">
        <v>4001</v>
      </c>
      <c r="C3413" s="545" t="s">
        <v>1404</v>
      </c>
      <c r="D3413" s="669" t="s">
        <v>375</v>
      </c>
      <c r="E3413" s="546">
        <v>615.23333700000001</v>
      </c>
    </row>
    <row r="3414" spans="2:5" x14ac:dyDescent="0.25">
      <c r="B3414" s="545">
        <v>4002</v>
      </c>
      <c r="C3414" s="545" t="s">
        <v>1543</v>
      </c>
      <c r="D3414" s="669" t="s">
        <v>375</v>
      </c>
      <c r="E3414" s="546">
        <v>623.25</v>
      </c>
    </row>
    <row r="3415" spans="2:5" x14ac:dyDescent="0.25">
      <c r="B3415" s="545">
        <v>4003</v>
      </c>
      <c r="C3415" s="545" t="s">
        <v>1707</v>
      </c>
      <c r="D3415" s="669" t="s">
        <v>375</v>
      </c>
      <c r="E3415" s="546">
        <v>632.64999399999999</v>
      </c>
    </row>
    <row r="3416" spans="2:5" x14ac:dyDescent="0.25">
      <c r="B3416" s="545">
        <v>4004</v>
      </c>
      <c r="C3416" s="545" t="s">
        <v>1392</v>
      </c>
      <c r="D3416" s="669" t="s">
        <v>375</v>
      </c>
      <c r="E3416" s="546">
        <v>614.79999999999995</v>
      </c>
    </row>
    <row r="3417" spans="2:5" x14ac:dyDescent="0.25">
      <c r="B3417" s="545">
        <v>4005</v>
      </c>
      <c r="C3417" s="545" t="s">
        <v>4450</v>
      </c>
      <c r="D3417" s="669" t="s">
        <v>375</v>
      </c>
      <c r="E3417" s="546">
        <v>776.84999300000004</v>
      </c>
    </row>
    <row r="3418" spans="2:5" x14ac:dyDescent="0.25">
      <c r="B3418" s="545">
        <v>4006</v>
      </c>
      <c r="C3418" s="545" t="s">
        <v>4634</v>
      </c>
      <c r="D3418" s="669" t="s">
        <v>375</v>
      </c>
      <c r="E3418" s="546">
        <v>791.05882699999995</v>
      </c>
    </row>
    <row r="3419" spans="2:5" x14ac:dyDescent="0.25">
      <c r="B3419" s="545">
        <v>4007</v>
      </c>
      <c r="C3419" s="545" t="s">
        <v>4001</v>
      </c>
      <c r="D3419" s="669" t="s">
        <v>375</v>
      </c>
      <c r="E3419" s="546">
        <v>744.85000600000001</v>
      </c>
    </row>
    <row r="3420" spans="2:5" x14ac:dyDescent="0.25">
      <c r="B3420" s="545">
        <v>4008</v>
      </c>
      <c r="C3420" s="545" t="s">
        <v>4456</v>
      </c>
      <c r="D3420" s="669" t="s">
        <v>375</v>
      </c>
      <c r="E3420" s="546">
        <v>777.3</v>
      </c>
    </row>
    <row r="3421" spans="2:5" x14ac:dyDescent="0.25">
      <c r="B3421" s="545">
        <v>4009</v>
      </c>
      <c r="C3421" s="545" t="s">
        <v>7437</v>
      </c>
      <c r="D3421" s="669" t="s">
        <v>375</v>
      </c>
      <c r="E3421" s="546">
        <v>785.30000800000005</v>
      </c>
    </row>
    <row r="3422" spans="2:5" x14ac:dyDescent="0.25">
      <c r="B3422" s="545">
        <v>4010</v>
      </c>
      <c r="C3422" s="545" t="s">
        <v>7446</v>
      </c>
      <c r="D3422" s="669" t="s">
        <v>375</v>
      </c>
      <c r="E3422" s="546">
        <v>758.07141999999999</v>
      </c>
    </row>
    <row r="3423" spans="2:5" x14ac:dyDescent="0.25">
      <c r="B3423" s="545">
        <v>4011</v>
      </c>
      <c r="C3423" s="545" t="s">
        <v>4143</v>
      </c>
      <c r="D3423" s="669" t="s">
        <v>375</v>
      </c>
      <c r="E3423" s="546">
        <v>753.59090900000001</v>
      </c>
    </row>
    <row r="3424" spans="2:5" x14ac:dyDescent="0.25">
      <c r="B3424" s="545">
        <v>4012</v>
      </c>
      <c r="C3424" s="545" t="s">
        <v>3248</v>
      </c>
      <c r="D3424" s="669" t="s">
        <v>375</v>
      </c>
      <c r="E3424" s="546">
        <v>703.24285899999995</v>
      </c>
    </row>
    <row r="3425" spans="2:5" x14ac:dyDescent="0.25">
      <c r="B3425" s="545">
        <v>4013</v>
      </c>
      <c r="C3425" s="545" t="s">
        <v>3323</v>
      </c>
      <c r="D3425" s="669" t="s">
        <v>375</v>
      </c>
      <c r="E3425" s="546">
        <v>707.21250199999997</v>
      </c>
    </row>
    <row r="3426" spans="2:5" x14ac:dyDescent="0.25">
      <c r="B3426" s="545">
        <v>4014</v>
      </c>
      <c r="C3426" s="545" t="s">
        <v>7478</v>
      </c>
      <c r="D3426" s="669" t="s">
        <v>375</v>
      </c>
      <c r="E3426" s="546">
        <v>705.57499700000005</v>
      </c>
    </row>
    <row r="3427" spans="2:5" x14ac:dyDescent="0.25">
      <c r="B3427" s="545">
        <v>4015</v>
      </c>
      <c r="C3427" s="545" t="s">
        <v>3873</v>
      </c>
      <c r="D3427" s="669" t="s">
        <v>375</v>
      </c>
      <c r="E3427" s="546">
        <v>737.32499700000005</v>
      </c>
    </row>
    <row r="3428" spans="2:5" x14ac:dyDescent="0.25">
      <c r="B3428" s="545">
        <v>4016</v>
      </c>
      <c r="C3428" s="545" t="s">
        <v>3146</v>
      </c>
      <c r="D3428" s="669" t="s">
        <v>375</v>
      </c>
      <c r="E3428" s="546">
        <v>698.61428000000001</v>
      </c>
    </row>
    <row r="3429" spans="2:5" x14ac:dyDescent="0.25">
      <c r="B3429" s="545">
        <v>4017</v>
      </c>
      <c r="C3429" s="545" t="s">
        <v>2482</v>
      </c>
      <c r="D3429" s="669" t="s">
        <v>375</v>
      </c>
      <c r="E3429" s="546">
        <v>665.08000500000003</v>
      </c>
    </row>
    <row r="3430" spans="2:5" x14ac:dyDescent="0.25">
      <c r="B3430" s="545">
        <v>4018</v>
      </c>
      <c r="C3430" s="545" t="s">
        <v>2433</v>
      </c>
      <c r="D3430" s="669" t="s">
        <v>375</v>
      </c>
      <c r="E3430" s="546">
        <v>663.66666699999996</v>
      </c>
    </row>
    <row r="3431" spans="2:5" x14ac:dyDescent="0.25">
      <c r="B3431" s="545">
        <v>4019</v>
      </c>
      <c r="C3431" s="545" t="s">
        <v>2452</v>
      </c>
      <c r="D3431" s="669" t="s">
        <v>375</v>
      </c>
      <c r="E3431" s="546">
        <v>664.14999399999999</v>
      </c>
    </row>
    <row r="3432" spans="2:5" x14ac:dyDescent="0.25">
      <c r="B3432" s="545">
        <v>4020</v>
      </c>
      <c r="C3432" s="545" t="s">
        <v>1702</v>
      </c>
      <c r="D3432" s="669" t="s">
        <v>375</v>
      </c>
      <c r="E3432" s="546">
        <v>632.33332299999995</v>
      </c>
    </row>
    <row r="3433" spans="2:5" x14ac:dyDescent="0.25">
      <c r="B3433" s="545">
        <v>4021</v>
      </c>
      <c r="C3433" s="545" t="s">
        <v>1688</v>
      </c>
      <c r="D3433" s="669" t="s">
        <v>375</v>
      </c>
      <c r="E3433" s="546">
        <v>631.71427700000004</v>
      </c>
    </row>
    <row r="3434" spans="2:5" x14ac:dyDescent="0.25">
      <c r="B3434" s="545">
        <v>4022</v>
      </c>
      <c r="C3434" s="545" t="s">
        <v>1251</v>
      </c>
      <c r="D3434" s="669" t="s">
        <v>375</v>
      </c>
      <c r="E3434" s="546">
        <v>606.61818100000005</v>
      </c>
    </row>
    <row r="3435" spans="2:5" x14ac:dyDescent="0.25">
      <c r="B3435" s="545">
        <v>4023</v>
      </c>
      <c r="C3435" s="545" t="s">
        <v>854</v>
      </c>
      <c r="D3435" s="669" t="s">
        <v>375</v>
      </c>
      <c r="E3435" s="546">
        <v>575.14999399999999</v>
      </c>
    </row>
    <row r="3436" spans="2:5" x14ac:dyDescent="0.25">
      <c r="B3436" s="545">
        <v>4024</v>
      </c>
      <c r="C3436" s="545" t="s">
        <v>7311</v>
      </c>
      <c r="D3436" s="669" t="s">
        <v>375</v>
      </c>
      <c r="E3436" s="546">
        <v>597.60000600000001</v>
      </c>
    </row>
    <row r="3437" spans="2:5" x14ac:dyDescent="0.25">
      <c r="B3437" s="545">
        <v>4025</v>
      </c>
      <c r="C3437" s="545" t="s">
        <v>2065</v>
      </c>
      <c r="D3437" s="669" t="s">
        <v>375</v>
      </c>
      <c r="E3437" s="546">
        <v>646.05714599999999</v>
      </c>
    </row>
    <row r="3438" spans="2:5" x14ac:dyDescent="0.25">
      <c r="B3438" s="545">
        <v>4026</v>
      </c>
      <c r="C3438" s="545" t="s">
        <v>6660</v>
      </c>
      <c r="D3438" s="669" t="s">
        <v>375</v>
      </c>
      <c r="E3438" s="546">
        <v>654.66001000000006</v>
      </c>
    </row>
    <row r="3439" spans="2:5" x14ac:dyDescent="0.25">
      <c r="B3439" s="545">
        <v>4027</v>
      </c>
      <c r="C3439" s="545" t="s">
        <v>2817</v>
      </c>
      <c r="D3439" s="669" t="s">
        <v>375</v>
      </c>
      <c r="E3439" s="546">
        <v>681.93333900000005</v>
      </c>
    </row>
    <row r="3440" spans="2:5" x14ac:dyDescent="0.25">
      <c r="B3440" s="545">
        <v>4028</v>
      </c>
      <c r="C3440" s="545" t="s">
        <v>1319</v>
      </c>
      <c r="D3440" s="669" t="s">
        <v>375</v>
      </c>
      <c r="E3440" s="546">
        <v>610.66666699999996</v>
      </c>
    </row>
    <row r="3441" spans="2:5" x14ac:dyDescent="0.25">
      <c r="B3441" s="545">
        <v>4029</v>
      </c>
      <c r="C3441" s="545" t="s">
        <v>1557</v>
      </c>
      <c r="D3441" s="669" t="s">
        <v>375</v>
      </c>
      <c r="E3441" s="546">
        <v>624.10000600000001</v>
      </c>
    </row>
    <row r="3442" spans="2:5" x14ac:dyDescent="0.25">
      <c r="B3442" s="545">
        <v>4030</v>
      </c>
      <c r="C3442" s="545" t="s">
        <v>1362</v>
      </c>
      <c r="D3442" s="669" t="s">
        <v>375</v>
      </c>
      <c r="E3442" s="546">
        <v>613.17142999999999</v>
      </c>
    </row>
    <row r="3443" spans="2:5" x14ac:dyDescent="0.25">
      <c r="B3443" s="545">
        <v>4031</v>
      </c>
      <c r="C3443" s="545" t="s">
        <v>7439</v>
      </c>
      <c r="D3443" s="669" t="s">
        <v>375</v>
      </c>
      <c r="E3443" s="546">
        <v>605.13636399999996</v>
      </c>
    </row>
    <row r="3444" spans="2:5" x14ac:dyDescent="0.25">
      <c r="B3444" s="545">
        <v>4032</v>
      </c>
      <c r="C3444" s="545" t="s">
        <v>4340</v>
      </c>
      <c r="D3444" s="669" t="s">
        <v>375</v>
      </c>
      <c r="E3444" s="546">
        <v>767.40000399999997</v>
      </c>
    </row>
    <row r="3445" spans="2:5" x14ac:dyDescent="0.25">
      <c r="B3445" s="545">
        <v>4033</v>
      </c>
      <c r="C3445" s="545" t="s">
        <v>6599</v>
      </c>
      <c r="D3445" s="669" t="s">
        <v>375</v>
      </c>
      <c r="E3445" s="546">
        <v>635.37501499999996</v>
      </c>
    </row>
    <row r="3446" spans="2:5" x14ac:dyDescent="0.25">
      <c r="B3446" s="545">
        <v>4034</v>
      </c>
      <c r="C3446" s="545" t="s">
        <v>3011</v>
      </c>
      <c r="D3446" s="669" t="s">
        <v>375</v>
      </c>
      <c r="E3446" s="546">
        <v>691.33998999999994</v>
      </c>
    </row>
    <row r="3447" spans="2:5" x14ac:dyDescent="0.25">
      <c r="B3447" s="545">
        <v>4035</v>
      </c>
      <c r="C3447" s="545" t="s">
        <v>375</v>
      </c>
      <c r="D3447" s="669" t="s">
        <v>375</v>
      </c>
      <c r="E3447" s="546">
        <v>648.37143400000002</v>
      </c>
    </row>
    <row r="3448" spans="2:5" x14ac:dyDescent="0.25">
      <c r="B3448" s="545">
        <v>4036</v>
      </c>
      <c r="C3448" s="545" t="s">
        <v>1097</v>
      </c>
      <c r="D3448" s="669" t="s">
        <v>375</v>
      </c>
      <c r="E3448" s="546">
        <v>597.31666099999995</v>
      </c>
    </row>
    <row r="3449" spans="2:5" x14ac:dyDescent="0.25">
      <c r="B3449" s="545">
        <v>4037</v>
      </c>
      <c r="C3449" s="545" t="s">
        <v>3846</v>
      </c>
      <c r="D3449" s="669" t="s">
        <v>375</v>
      </c>
      <c r="E3449" s="546">
        <v>735.5</v>
      </c>
    </row>
    <row r="3450" spans="2:5" x14ac:dyDescent="0.25">
      <c r="B3450" s="545">
        <v>4038</v>
      </c>
      <c r="C3450" s="545" t="s">
        <v>3186</v>
      </c>
      <c r="D3450" s="669" t="s">
        <v>375</v>
      </c>
      <c r="E3450" s="546">
        <v>700.31666600000005</v>
      </c>
    </row>
    <row r="3451" spans="2:5" x14ac:dyDescent="0.25">
      <c r="B3451" s="545">
        <v>4039</v>
      </c>
      <c r="C3451" s="545" t="s">
        <v>1949</v>
      </c>
      <c r="D3451" s="669" t="s">
        <v>375</v>
      </c>
      <c r="E3451" s="546">
        <v>641.68333399999995</v>
      </c>
    </row>
    <row r="3452" spans="2:5" x14ac:dyDescent="0.25">
      <c r="B3452" s="545">
        <v>4040</v>
      </c>
      <c r="C3452" s="545" t="s">
        <v>2162</v>
      </c>
      <c r="D3452" s="669" t="s">
        <v>375</v>
      </c>
      <c r="E3452" s="546">
        <v>651.33333300000004</v>
      </c>
    </row>
    <row r="3453" spans="2:5" x14ac:dyDescent="0.25">
      <c r="B3453" s="545">
        <v>4041</v>
      </c>
      <c r="C3453" s="545" t="s">
        <v>1926</v>
      </c>
      <c r="D3453" s="669" t="s">
        <v>375</v>
      </c>
      <c r="E3453" s="546">
        <v>641.16664600000001</v>
      </c>
    </row>
    <row r="3454" spans="2:5" x14ac:dyDescent="0.25">
      <c r="B3454" s="545">
        <v>4042</v>
      </c>
      <c r="C3454" s="545" t="s">
        <v>6574</v>
      </c>
      <c r="D3454" s="669" t="s">
        <v>375</v>
      </c>
      <c r="E3454" s="546">
        <v>603.33332900000005</v>
      </c>
    </row>
    <row r="3455" spans="2:5" x14ac:dyDescent="0.25">
      <c r="B3455" s="545">
        <v>4043</v>
      </c>
      <c r="C3455" s="545" t="s">
        <v>2084</v>
      </c>
      <c r="D3455" s="669" t="s">
        <v>375</v>
      </c>
      <c r="E3455" s="546">
        <v>647.45000500000003</v>
      </c>
    </row>
    <row r="3456" spans="2:5" x14ac:dyDescent="0.25">
      <c r="B3456" s="545">
        <v>4044</v>
      </c>
      <c r="C3456" s="545" t="s">
        <v>1460</v>
      </c>
      <c r="D3456" s="669" t="s">
        <v>375</v>
      </c>
      <c r="E3456" s="546">
        <v>618.261526</v>
      </c>
    </row>
    <row r="3457" spans="2:5" x14ac:dyDescent="0.25">
      <c r="B3457" s="545">
        <v>4045</v>
      </c>
      <c r="C3457" s="545" t="s">
        <v>1781</v>
      </c>
      <c r="D3457" s="669" t="s">
        <v>375</v>
      </c>
      <c r="E3457" s="546">
        <v>635.43570799999998</v>
      </c>
    </row>
    <row r="3458" spans="2:5" x14ac:dyDescent="0.25">
      <c r="B3458" s="545">
        <v>4046</v>
      </c>
      <c r="C3458" s="545" t="s">
        <v>7205</v>
      </c>
      <c r="D3458" s="669" t="s">
        <v>375</v>
      </c>
      <c r="E3458" s="546">
        <v>874.50999100000001</v>
      </c>
    </row>
    <row r="3459" spans="2:5" x14ac:dyDescent="0.25">
      <c r="B3459" s="545">
        <v>4047</v>
      </c>
      <c r="C3459" s="545" t="s">
        <v>6486</v>
      </c>
      <c r="D3459" s="669" t="s">
        <v>375</v>
      </c>
      <c r="E3459" s="546">
        <v>877.28000499999996</v>
      </c>
    </row>
    <row r="3460" spans="2:5" x14ac:dyDescent="0.25">
      <c r="B3460" s="545">
        <v>4048</v>
      </c>
      <c r="C3460" s="545" t="s">
        <v>1647</v>
      </c>
      <c r="D3460" s="669" t="s">
        <v>375</v>
      </c>
      <c r="E3460" s="546">
        <v>777.09999100000005</v>
      </c>
    </row>
    <row r="3461" spans="2:5" x14ac:dyDescent="0.25">
      <c r="B3461" s="545">
        <v>4049</v>
      </c>
      <c r="C3461" s="545" t="s">
        <v>4402</v>
      </c>
      <c r="D3461" s="669" t="s">
        <v>375</v>
      </c>
      <c r="E3461" s="546">
        <v>772.870001</v>
      </c>
    </row>
    <row r="3462" spans="2:5" x14ac:dyDescent="0.25">
      <c r="B3462" s="545">
        <v>4050</v>
      </c>
      <c r="C3462" s="545" t="s">
        <v>4645</v>
      </c>
      <c r="D3462" s="669" t="s">
        <v>375</v>
      </c>
      <c r="E3462" s="546">
        <v>792.02223000000004</v>
      </c>
    </row>
    <row r="3463" spans="2:5" x14ac:dyDescent="0.25">
      <c r="B3463" s="545">
        <v>4051</v>
      </c>
      <c r="C3463" s="545" t="s">
        <v>4406</v>
      </c>
      <c r="D3463" s="669" t="s">
        <v>375</v>
      </c>
      <c r="E3463" s="546">
        <v>773.22001999999998</v>
      </c>
    </row>
    <row r="3464" spans="2:5" x14ac:dyDescent="0.25">
      <c r="B3464" s="545">
        <v>4052</v>
      </c>
      <c r="C3464" s="545" t="s">
        <v>7265</v>
      </c>
      <c r="D3464" s="669" t="s">
        <v>375</v>
      </c>
      <c r="E3464" s="546">
        <v>696.10000600000001</v>
      </c>
    </row>
    <row r="3465" spans="2:5" x14ac:dyDescent="0.25">
      <c r="B3465" s="545">
        <v>4053</v>
      </c>
      <c r="C3465" s="545" t="s">
        <v>3428</v>
      </c>
      <c r="D3465" s="669" t="s">
        <v>375</v>
      </c>
      <c r="E3465" s="546">
        <v>712.421426</v>
      </c>
    </row>
    <row r="3466" spans="2:5" x14ac:dyDescent="0.25">
      <c r="B3466" s="545">
        <v>4054</v>
      </c>
      <c r="C3466" s="545" t="s">
        <v>3406</v>
      </c>
      <c r="D3466" s="669" t="s">
        <v>375</v>
      </c>
      <c r="E3466" s="546">
        <v>711.31818199999998</v>
      </c>
    </row>
    <row r="3467" spans="2:5" x14ac:dyDescent="0.25">
      <c r="B3467" s="545">
        <v>4055</v>
      </c>
      <c r="C3467" s="545" t="s">
        <v>1745</v>
      </c>
      <c r="D3467" s="669" t="s">
        <v>375</v>
      </c>
      <c r="E3467" s="546">
        <v>633.92941099999996</v>
      </c>
    </row>
    <row r="3468" spans="2:5" x14ac:dyDescent="0.25">
      <c r="B3468" s="545">
        <v>4056</v>
      </c>
      <c r="C3468" s="545" t="s">
        <v>2499</v>
      </c>
      <c r="D3468" s="669" t="s">
        <v>375</v>
      </c>
      <c r="E3468" s="546">
        <v>665.61250299999995</v>
      </c>
    </row>
    <row r="3469" spans="2:5" x14ac:dyDescent="0.25">
      <c r="B3469" s="545">
        <v>4057</v>
      </c>
      <c r="C3469" s="545" t="s">
        <v>2737</v>
      </c>
      <c r="D3469" s="669" t="s">
        <v>375</v>
      </c>
      <c r="E3469" s="546">
        <v>677.54210499999999</v>
      </c>
    </row>
    <row r="3470" spans="2:5" x14ac:dyDescent="0.25">
      <c r="B3470" s="545">
        <v>4058</v>
      </c>
      <c r="C3470" s="545" t="s">
        <v>7170</v>
      </c>
      <c r="D3470" s="669" t="s">
        <v>375</v>
      </c>
      <c r="E3470" s="546">
        <v>660.64286600000003</v>
      </c>
    </row>
    <row r="3471" spans="2:5" x14ac:dyDescent="0.25">
      <c r="B3471" s="545">
        <v>4059</v>
      </c>
      <c r="C3471" s="545" t="s">
        <v>1829</v>
      </c>
      <c r="D3471" s="669" t="s">
        <v>375</v>
      </c>
      <c r="E3471" s="546">
        <v>637.06249200000002</v>
      </c>
    </row>
    <row r="3472" spans="2:5" x14ac:dyDescent="0.25">
      <c r="B3472" s="545">
        <v>4060</v>
      </c>
      <c r="C3472" s="545" t="s">
        <v>2260</v>
      </c>
      <c r="D3472" s="669" t="s">
        <v>375</v>
      </c>
      <c r="E3472" s="546">
        <v>655.68571299999996</v>
      </c>
    </row>
    <row r="3473" spans="2:5" x14ac:dyDescent="0.25">
      <c r="B3473" s="545">
        <v>4061</v>
      </c>
      <c r="C3473" s="545" t="s">
        <v>1701</v>
      </c>
      <c r="D3473" s="669" t="s">
        <v>375</v>
      </c>
      <c r="E3473" s="546">
        <v>632.32000700000003</v>
      </c>
    </row>
    <row r="3474" spans="2:5" x14ac:dyDescent="0.25">
      <c r="B3474" s="545">
        <v>4062</v>
      </c>
      <c r="C3474" s="545" t="s">
        <v>1782</v>
      </c>
      <c r="D3474" s="669" t="s">
        <v>375</v>
      </c>
      <c r="E3474" s="546">
        <v>635.44999700000005</v>
      </c>
    </row>
    <row r="3475" spans="2:5" x14ac:dyDescent="0.25">
      <c r="B3475" s="545">
        <v>4063</v>
      </c>
      <c r="C3475" s="545" t="s">
        <v>2424</v>
      </c>
      <c r="D3475" s="669" t="s">
        <v>375</v>
      </c>
      <c r="E3475" s="546">
        <v>663.40001199999995</v>
      </c>
    </row>
    <row r="3476" spans="2:5" x14ac:dyDescent="0.25">
      <c r="B3476" s="545">
        <v>4064</v>
      </c>
      <c r="C3476" s="545" t="s">
        <v>2138</v>
      </c>
      <c r="D3476" s="669" t="s">
        <v>375</v>
      </c>
      <c r="E3476" s="546">
        <v>650.32142899999997</v>
      </c>
    </row>
    <row r="3477" spans="2:5" x14ac:dyDescent="0.25">
      <c r="B3477" s="545">
        <v>4065</v>
      </c>
      <c r="C3477" s="545" t="s">
        <v>2409</v>
      </c>
      <c r="D3477" s="669" t="s">
        <v>375</v>
      </c>
      <c r="E3477" s="546">
        <v>662.78571399999998</v>
      </c>
    </row>
    <row r="3478" spans="2:5" x14ac:dyDescent="0.25">
      <c r="B3478" s="545">
        <v>4066</v>
      </c>
      <c r="C3478" s="545" t="s">
        <v>3677</v>
      </c>
      <c r="D3478" s="669" t="s">
        <v>375</v>
      </c>
      <c r="E3478" s="546">
        <v>725.93998999999997</v>
      </c>
    </row>
    <row r="3479" spans="2:5" x14ac:dyDescent="0.25">
      <c r="B3479" s="545">
        <v>4101</v>
      </c>
      <c r="C3479" s="545" t="s">
        <v>7220</v>
      </c>
      <c r="D3479" s="669" t="s">
        <v>408</v>
      </c>
      <c r="E3479" s="546">
        <v>644.58928400000002</v>
      </c>
    </row>
    <row r="3480" spans="2:5" x14ac:dyDescent="0.25">
      <c r="B3480" s="545">
        <v>4102</v>
      </c>
      <c r="C3480" s="545" t="s">
        <v>2279</v>
      </c>
      <c r="D3480" s="669" t="s">
        <v>408</v>
      </c>
      <c r="E3480" s="546">
        <v>656.39999799999998</v>
      </c>
    </row>
    <row r="3481" spans="2:5" x14ac:dyDescent="0.25">
      <c r="B3481" s="545">
        <v>4103</v>
      </c>
      <c r="C3481" s="545" t="s">
        <v>3273</v>
      </c>
      <c r="D3481" s="669" t="s">
        <v>408</v>
      </c>
      <c r="E3481" s="546">
        <v>704.23331700000006</v>
      </c>
    </row>
    <row r="3482" spans="2:5" x14ac:dyDescent="0.25">
      <c r="B3482" s="545">
        <v>4104</v>
      </c>
      <c r="C3482" s="545" t="s">
        <v>1008</v>
      </c>
      <c r="D3482" s="669" t="s">
        <v>408</v>
      </c>
      <c r="E3482" s="546">
        <v>589.95999800000004</v>
      </c>
    </row>
    <row r="3483" spans="2:5" x14ac:dyDescent="0.25">
      <c r="B3483" s="545">
        <v>4105</v>
      </c>
      <c r="C3483" s="545" t="s">
        <v>1380</v>
      </c>
      <c r="D3483" s="669" t="s">
        <v>408</v>
      </c>
      <c r="E3483" s="546">
        <v>614.06666299999995</v>
      </c>
    </row>
    <row r="3484" spans="2:5" x14ac:dyDescent="0.25">
      <c r="B3484" s="545">
        <v>4106</v>
      </c>
      <c r="C3484" s="545" t="s">
        <v>7095</v>
      </c>
      <c r="D3484" s="669" t="s">
        <v>408</v>
      </c>
      <c r="E3484" s="546">
        <v>900.40002400000003</v>
      </c>
    </row>
    <row r="3485" spans="2:5" x14ac:dyDescent="0.25">
      <c r="B3485" s="545">
        <v>4107</v>
      </c>
      <c r="C3485" s="545" t="s">
        <v>5204</v>
      </c>
      <c r="D3485" s="669" t="s">
        <v>408</v>
      </c>
      <c r="E3485" s="546">
        <v>846.28572299999996</v>
      </c>
    </row>
    <row r="3486" spans="2:5" x14ac:dyDescent="0.25">
      <c r="B3486" s="545">
        <v>4108</v>
      </c>
      <c r="C3486" s="545" t="s">
        <v>4139</v>
      </c>
      <c r="D3486" s="669" t="s">
        <v>408</v>
      </c>
      <c r="E3486" s="546">
        <v>753.34999800000003</v>
      </c>
    </row>
    <row r="3487" spans="2:5" x14ac:dyDescent="0.25">
      <c r="B3487" s="545">
        <v>4109</v>
      </c>
      <c r="C3487" s="545" t="s">
        <v>7129</v>
      </c>
      <c r="D3487" s="669" t="s">
        <v>408</v>
      </c>
      <c r="E3487" s="546">
        <v>759.45</v>
      </c>
    </row>
    <row r="3488" spans="2:5" x14ac:dyDescent="0.25">
      <c r="B3488" s="545">
        <v>4110</v>
      </c>
      <c r="C3488" s="545" t="s">
        <v>4852</v>
      </c>
      <c r="D3488" s="669" t="s">
        <v>408</v>
      </c>
      <c r="E3488" s="546">
        <v>807.38334099999997</v>
      </c>
    </row>
    <row r="3489" spans="2:5" x14ac:dyDescent="0.25">
      <c r="B3489" s="545">
        <v>4111</v>
      </c>
      <c r="C3489" s="545" t="s">
        <v>4432</v>
      </c>
      <c r="D3489" s="669" t="s">
        <v>408</v>
      </c>
      <c r="E3489" s="546">
        <v>775.41666699999996</v>
      </c>
    </row>
    <row r="3490" spans="2:5" x14ac:dyDescent="0.25">
      <c r="B3490" s="545">
        <v>4112</v>
      </c>
      <c r="C3490" s="545" t="s">
        <v>825</v>
      </c>
      <c r="D3490" s="669" t="s">
        <v>408</v>
      </c>
      <c r="E3490" s="546">
        <v>816.81999499999995</v>
      </c>
    </row>
    <row r="3491" spans="2:5" x14ac:dyDescent="0.25">
      <c r="B3491" s="545">
        <v>4113</v>
      </c>
      <c r="C3491" s="545" t="s">
        <v>5112</v>
      </c>
      <c r="D3491" s="669" t="s">
        <v>408</v>
      </c>
      <c r="E3491" s="546">
        <v>834.52777800000001</v>
      </c>
    </row>
    <row r="3492" spans="2:5" x14ac:dyDescent="0.25">
      <c r="B3492" s="545">
        <v>4114</v>
      </c>
      <c r="C3492" s="545" t="s">
        <v>7313</v>
      </c>
      <c r="D3492" s="669" t="s">
        <v>408</v>
      </c>
      <c r="E3492" s="546">
        <v>665.73999600000002</v>
      </c>
    </row>
    <row r="3493" spans="2:5" x14ac:dyDescent="0.25">
      <c r="B3493" s="545">
        <v>4115</v>
      </c>
      <c r="C3493" s="545" t="s">
        <v>6850</v>
      </c>
      <c r="D3493" s="669" t="s">
        <v>408</v>
      </c>
      <c r="E3493" s="546">
        <v>722.33333300000004</v>
      </c>
    </row>
    <row r="3494" spans="2:5" x14ac:dyDescent="0.25">
      <c r="B3494" s="545">
        <v>4116</v>
      </c>
      <c r="C3494" s="545" t="s">
        <v>3656</v>
      </c>
      <c r="D3494" s="669" t="s">
        <v>408</v>
      </c>
      <c r="E3494" s="546">
        <v>724.54634499999997</v>
      </c>
    </row>
    <row r="3495" spans="2:5" x14ac:dyDescent="0.25">
      <c r="B3495" s="545">
        <v>4117</v>
      </c>
      <c r="C3495" s="545" t="s">
        <v>2825</v>
      </c>
      <c r="D3495" s="669" t="s">
        <v>408</v>
      </c>
      <c r="E3495" s="546">
        <v>682.28332499999999</v>
      </c>
    </row>
    <row r="3496" spans="2:5" x14ac:dyDescent="0.25">
      <c r="B3496" s="545">
        <v>4118</v>
      </c>
      <c r="C3496" s="545" t="s">
        <v>1901</v>
      </c>
      <c r="D3496" s="669" t="s">
        <v>408</v>
      </c>
      <c r="E3496" s="546">
        <v>654.47501399999999</v>
      </c>
    </row>
    <row r="3497" spans="2:5" x14ac:dyDescent="0.25">
      <c r="B3497" s="545">
        <v>4119</v>
      </c>
      <c r="C3497" s="545" t="s">
        <v>2276</v>
      </c>
      <c r="D3497" s="669" t="s">
        <v>408</v>
      </c>
      <c r="E3497" s="546">
        <v>656.31071499999996</v>
      </c>
    </row>
    <row r="3498" spans="2:5" x14ac:dyDescent="0.25">
      <c r="B3498" s="545">
        <v>4120</v>
      </c>
      <c r="C3498" s="545" t="s">
        <v>6878</v>
      </c>
      <c r="D3498" s="669" t="s">
        <v>408</v>
      </c>
      <c r="E3498" s="546">
        <v>666.41875100000004</v>
      </c>
    </row>
    <row r="3499" spans="2:5" x14ac:dyDescent="0.25">
      <c r="B3499" s="545">
        <v>4121</v>
      </c>
      <c r="C3499" s="545" t="s">
        <v>6879</v>
      </c>
      <c r="D3499" s="669" t="s">
        <v>408</v>
      </c>
      <c r="E3499" s="546">
        <v>680.51429099999996</v>
      </c>
    </row>
    <row r="3500" spans="2:5" x14ac:dyDescent="0.25">
      <c r="B3500" s="545">
        <v>4122</v>
      </c>
      <c r="C3500" s="545" t="s">
        <v>1929</v>
      </c>
      <c r="D3500" s="669" t="s">
        <v>408</v>
      </c>
      <c r="E3500" s="546">
        <v>641.22962600000005</v>
      </c>
    </row>
    <row r="3501" spans="2:5" x14ac:dyDescent="0.25">
      <c r="B3501" s="545">
        <v>4123</v>
      </c>
      <c r="C3501" s="545" t="s">
        <v>7304</v>
      </c>
      <c r="D3501" s="669" t="s">
        <v>408</v>
      </c>
      <c r="E3501" s="546">
        <v>694.76363900000001</v>
      </c>
    </row>
    <row r="3502" spans="2:5" x14ac:dyDescent="0.25">
      <c r="B3502" s="545">
        <v>4124</v>
      </c>
      <c r="C3502" s="545" t="s">
        <v>2740</v>
      </c>
      <c r="D3502" s="669" t="s">
        <v>408</v>
      </c>
      <c r="E3502" s="546">
        <v>677.74999600000001</v>
      </c>
    </row>
    <row r="3503" spans="2:5" x14ac:dyDescent="0.25">
      <c r="B3503" s="545">
        <v>4125</v>
      </c>
      <c r="C3503" s="545" t="s">
        <v>6759</v>
      </c>
      <c r="D3503" s="669" t="s">
        <v>408</v>
      </c>
      <c r="E3503" s="546">
        <v>752.20714899999996</v>
      </c>
    </row>
    <row r="3504" spans="2:5" x14ac:dyDescent="0.25">
      <c r="B3504" s="545">
        <v>4126</v>
      </c>
      <c r="C3504" s="545" t="s">
        <v>3274</v>
      </c>
      <c r="D3504" s="669" t="s">
        <v>408</v>
      </c>
      <c r="E3504" s="546">
        <v>704.24583399999995</v>
      </c>
    </row>
    <row r="3505" spans="2:5" x14ac:dyDescent="0.25">
      <c r="B3505" s="545">
        <v>4127</v>
      </c>
      <c r="C3505" s="545" t="s">
        <v>7450</v>
      </c>
      <c r="D3505" s="669" t="s">
        <v>408</v>
      </c>
      <c r="E3505" s="546">
        <v>687.47499600000003</v>
      </c>
    </row>
    <row r="3506" spans="2:5" x14ac:dyDescent="0.25">
      <c r="B3506" s="545">
        <v>4128</v>
      </c>
      <c r="C3506" s="545" t="s">
        <v>6542</v>
      </c>
      <c r="D3506" s="669" t="s">
        <v>408</v>
      </c>
      <c r="E3506" s="546">
        <v>796.03332499999999</v>
      </c>
    </row>
    <row r="3507" spans="2:5" x14ac:dyDescent="0.25">
      <c r="B3507" s="545">
        <v>4129</v>
      </c>
      <c r="C3507" s="545" t="s">
        <v>3779</v>
      </c>
      <c r="D3507" s="669" t="s">
        <v>408</v>
      </c>
      <c r="E3507" s="546">
        <v>731.64545199999998</v>
      </c>
    </row>
    <row r="3508" spans="2:5" x14ac:dyDescent="0.25">
      <c r="B3508" s="545">
        <v>4130</v>
      </c>
      <c r="C3508" s="545" t="s">
        <v>3291</v>
      </c>
      <c r="D3508" s="669" t="s">
        <v>408</v>
      </c>
      <c r="E3508" s="546">
        <v>705.258331</v>
      </c>
    </row>
    <row r="3509" spans="2:5" x14ac:dyDescent="0.25">
      <c r="B3509" s="545">
        <v>4131</v>
      </c>
      <c r="C3509" s="545" t="s">
        <v>2691</v>
      </c>
      <c r="D3509" s="669" t="s">
        <v>408</v>
      </c>
      <c r="E3509" s="546">
        <v>675.51817200000005</v>
      </c>
    </row>
    <row r="3510" spans="2:5" x14ac:dyDescent="0.25">
      <c r="B3510" s="545">
        <v>4132</v>
      </c>
      <c r="C3510" s="545" t="s">
        <v>2953</v>
      </c>
      <c r="D3510" s="669" t="s">
        <v>408</v>
      </c>
      <c r="E3510" s="546">
        <v>687.98333200000002</v>
      </c>
    </row>
    <row r="3511" spans="2:5" x14ac:dyDescent="0.25">
      <c r="B3511" s="545">
        <v>4133</v>
      </c>
      <c r="C3511" s="545" t="s">
        <v>5221</v>
      </c>
      <c r="D3511" s="669" t="s">
        <v>408</v>
      </c>
      <c r="E3511" s="546">
        <v>848.64999399999999</v>
      </c>
    </row>
    <row r="3512" spans="2:5" x14ac:dyDescent="0.25">
      <c r="B3512" s="545">
        <v>4134</v>
      </c>
      <c r="C3512" s="545" t="s">
        <v>4841</v>
      </c>
      <c r="D3512" s="669" t="s">
        <v>408</v>
      </c>
      <c r="E3512" s="546">
        <v>806.629999</v>
      </c>
    </row>
    <row r="3513" spans="2:5" x14ac:dyDescent="0.25">
      <c r="B3513" s="545">
        <v>4135</v>
      </c>
      <c r="C3513" s="545" t="s">
        <v>4381</v>
      </c>
      <c r="D3513" s="669" t="s">
        <v>408</v>
      </c>
      <c r="E3513" s="546">
        <v>770.70000900000002</v>
      </c>
    </row>
    <row r="3514" spans="2:5" x14ac:dyDescent="0.25">
      <c r="B3514" s="545">
        <v>4136</v>
      </c>
      <c r="C3514" s="545" t="s">
        <v>4201</v>
      </c>
      <c r="D3514" s="669" t="s">
        <v>408</v>
      </c>
      <c r="E3514" s="546">
        <v>757.76666299999999</v>
      </c>
    </row>
    <row r="3515" spans="2:5" x14ac:dyDescent="0.25">
      <c r="B3515" s="545">
        <v>4137</v>
      </c>
      <c r="C3515" s="545" t="s">
        <v>4552</v>
      </c>
      <c r="D3515" s="669" t="s">
        <v>408</v>
      </c>
      <c r="E3515" s="546">
        <v>784.07367899999997</v>
      </c>
    </row>
    <row r="3516" spans="2:5" x14ac:dyDescent="0.25">
      <c r="B3516" s="545">
        <v>4138</v>
      </c>
      <c r="C3516" s="545" t="s">
        <v>3427</v>
      </c>
      <c r="D3516" s="669" t="s">
        <v>408</v>
      </c>
      <c r="E3516" s="546">
        <v>712.42000700000006</v>
      </c>
    </row>
    <row r="3517" spans="2:5" x14ac:dyDescent="0.25">
      <c r="B3517" s="545">
        <v>4139</v>
      </c>
      <c r="C3517" s="545" t="s">
        <v>3181</v>
      </c>
      <c r="D3517" s="669" t="s">
        <v>408</v>
      </c>
      <c r="E3517" s="546">
        <v>700.25</v>
      </c>
    </row>
    <row r="3518" spans="2:5" x14ac:dyDescent="0.25">
      <c r="B3518" s="545">
        <v>4140</v>
      </c>
      <c r="C3518" s="545" t="s">
        <v>4062</v>
      </c>
      <c r="D3518" s="669" t="s">
        <v>408</v>
      </c>
      <c r="E3518" s="546">
        <v>748.94999700000005</v>
      </c>
    </row>
    <row r="3519" spans="2:5" x14ac:dyDescent="0.25">
      <c r="B3519" s="545">
        <v>4141</v>
      </c>
      <c r="C3519" s="545" t="s">
        <v>3601</v>
      </c>
      <c r="D3519" s="669" t="s">
        <v>408</v>
      </c>
      <c r="E3519" s="546">
        <v>721.44998199999998</v>
      </c>
    </row>
    <row r="3520" spans="2:5" x14ac:dyDescent="0.25">
      <c r="B3520" s="545">
        <v>4142</v>
      </c>
      <c r="C3520" s="545" t="s">
        <v>7389</v>
      </c>
      <c r="D3520" s="669" t="s">
        <v>408</v>
      </c>
      <c r="E3520" s="546">
        <v>704.70000800000003</v>
      </c>
    </row>
    <row r="3521" spans="2:5" x14ac:dyDescent="0.25">
      <c r="B3521" s="545">
        <v>4143</v>
      </c>
      <c r="C3521" s="545" t="s">
        <v>3207</v>
      </c>
      <c r="D3521" s="669" t="s">
        <v>408</v>
      </c>
      <c r="E3521" s="546">
        <v>701.41666699999996</v>
      </c>
    </row>
    <row r="3522" spans="2:5" x14ac:dyDescent="0.25">
      <c r="B3522" s="545">
        <v>4144</v>
      </c>
      <c r="C3522" s="545" t="s">
        <v>3224</v>
      </c>
      <c r="D3522" s="669" t="s">
        <v>408</v>
      </c>
      <c r="E3522" s="546">
        <v>702.36363100000005</v>
      </c>
    </row>
    <row r="3523" spans="2:5" x14ac:dyDescent="0.25">
      <c r="B3523" s="545">
        <v>4145</v>
      </c>
      <c r="C3523" s="545" t="s">
        <v>2518</v>
      </c>
      <c r="D3523" s="669" t="s">
        <v>408</v>
      </c>
      <c r="E3523" s="546">
        <v>666.72999900000002</v>
      </c>
    </row>
    <row r="3524" spans="2:5" x14ac:dyDescent="0.25">
      <c r="B3524" s="545">
        <v>4146</v>
      </c>
      <c r="C3524" s="545" t="s">
        <v>2987</v>
      </c>
      <c r="D3524" s="669" t="s">
        <v>408</v>
      </c>
      <c r="E3524" s="546">
        <v>690.01428199999998</v>
      </c>
    </row>
    <row r="3525" spans="2:5" x14ac:dyDescent="0.25">
      <c r="B3525" s="545">
        <v>4147</v>
      </c>
      <c r="C3525" s="545" t="s">
        <v>6900</v>
      </c>
      <c r="D3525" s="669" t="s">
        <v>408</v>
      </c>
      <c r="E3525" s="546">
        <v>652.77500399999997</v>
      </c>
    </row>
    <row r="3526" spans="2:5" x14ac:dyDescent="0.25">
      <c r="B3526" s="545">
        <v>4148</v>
      </c>
      <c r="C3526" s="545" t="s">
        <v>2544</v>
      </c>
      <c r="D3526" s="669" t="s">
        <v>408</v>
      </c>
      <c r="E3526" s="546">
        <v>668.21428600000002</v>
      </c>
    </row>
    <row r="3527" spans="2:5" x14ac:dyDescent="0.25">
      <c r="B3527" s="545">
        <v>4149</v>
      </c>
      <c r="C3527" s="545" t="s">
        <v>408</v>
      </c>
      <c r="D3527" s="669" t="s">
        <v>408</v>
      </c>
      <c r="E3527" s="546">
        <v>649.29048399999999</v>
      </c>
    </row>
    <row r="3528" spans="2:5" x14ac:dyDescent="0.25">
      <c r="B3528" s="545">
        <v>4150</v>
      </c>
      <c r="C3528" s="545" t="s">
        <v>3004</v>
      </c>
      <c r="D3528" s="669" t="s">
        <v>408</v>
      </c>
      <c r="E3528" s="546">
        <v>690.70666900000003</v>
      </c>
    </row>
    <row r="3529" spans="2:5" x14ac:dyDescent="0.25">
      <c r="B3529" s="545">
        <v>4151</v>
      </c>
      <c r="C3529" s="545" t="s">
        <v>3175</v>
      </c>
      <c r="D3529" s="669" t="s">
        <v>408</v>
      </c>
      <c r="E3529" s="546">
        <v>700.04117699999995</v>
      </c>
    </row>
    <row r="3530" spans="2:5" x14ac:dyDescent="0.25">
      <c r="B3530" s="545">
        <v>4152</v>
      </c>
      <c r="C3530" s="545" t="s">
        <v>6902</v>
      </c>
      <c r="D3530" s="669" t="s">
        <v>408</v>
      </c>
      <c r="E3530" s="546">
        <v>727.42800299999999</v>
      </c>
    </row>
    <row r="3531" spans="2:5" x14ac:dyDescent="0.25">
      <c r="B3531" s="545">
        <v>4153</v>
      </c>
      <c r="C3531" s="545" t="s">
        <v>6638</v>
      </c>
      <c r="D3531" s="669" t="s">
        <v>408</v>
      </c>
      <c r="E3531" s="546">
        <v>749.73076900000001</v>
      </c>
    </row>
    <row r="3532" spans="2:5" x14ac:dyDescent="0.25">
      <c r="B3532" s="545">
        <v>4154</v>
      </c>
      <c r="C3532" s="545" t="s">
        <v>3410</v>
      </c>
      <c r="D3532" s="669" t="s">
        <v>408</v>
      </c>
      <c r="E3532" s="546">
        <v>711.80000600000005</v>
      </c>
    </row>
    <row r="3533" spans="2:5" x14ac:dyDescent="0.25">
      <c r="B3533" s="545">
        <v>4155</v>
      </c>
      <c r="C3533" s="545" t="s">
        <v>4339</v>
      </c>
      <c r="D3533" s="669" t="s">
        <v>408</v>
      </c>
      <c r="E3533" s="546">
        <v>778.02257899999995</v>
      </c>
    </row>
    <row r="3534" spans="2:5" x14ac:dyDescent="0.25">
      <c r="B3534" s="545">
        <v>4156</v>
      </c>
      <c r="C3534" s="545" t="s">
        <v>921</v>
      </c>
      <c r="D3534" s="669" t="s">
        <v>408</v>
      </c>
      <c r="E3534" s="546">
        <v>735.89999399999999</v>
      </c>
    </row>
    <row r="3535" spans="2:5" x14ac:dyDescent="0.25">
      <c r="B3535" s="545">
        <v>4157</v>
      </c>
      <c r="C3535" s="545" t="s">
        <v>4670</v>
      </c>
      <c r="D3535" s="669" t="s">
        <v>408</v>
      </c>
      <c r="E3535" s="546">
        <v>793.81999900000005</v>
      </c>
    </row>
    <row r="3536" spans="2:5" x14ac:dyDescent="0.25">
      <c r="B3536" s="545">
        <v>4158</v>
      </c>
      <c r="C3536" s="545" t="s">
        <v>6540</v>
      </c>
      <c r="D3536" s="669" t="s">
        <v>408</v>
      </c>
      <c r="E3536" s="546">
        <v>785.67273499999999</v>
      </c>
    </row>
    <row r="3537" spans="2:5" x14ac:dyDescent="0.25">
      <c r="B3537" s="545">
        <v>4159</v>
      </c>
      <c r="C3537" s="545" t="s">
        <v>4262</v>
      </c>
      <c r="D3537" s="669" t="s">
        <v>408</v>
      </c>
      <c r="E3537" s="546">
        <v>762.00713900000005</v>
      </c>
    </row>
    <row r="3538" spans="2:5" x14ac:dyDescent="0.25">
      <c r="B3538" s="545">
        <v>4160</v>
      </c>
      <c r="C3538" s="545" t="s">
        <v>4288</v>
      </c>
      <c r="D3538" s="669" t="s">
        <v>408</v>
      </c>
      <c r="E3538" s="546">
        <v>763.66250600000001</v>
      </c>
    </row>
    <row r="3539" spans="2:5" x14ac:dyDescent="0.25">
      <c r="B3539" s="545">
        <v>4161</v>
      </c>
      <c r="C3539" s="545" t="s">
        <v>3104</v>
      </c>
      <c r="D3539" s="669" t="s">
        <v>408</v>
      </c>
      <c r="E3539" s="546">
        <v>696.16874700000005</v>
      </c>
    </row>
    <row r="3540" spans="2:5" x14ac:dyDescent="0.25">
      <c r="B3540" s="545">
        <v>4162</v>
      </c>
      <c r="C3540" s="545" t="s">
        <v>6556</v>
      </c>
      <c r="D3540" s="669" t="s">
        <v>408</v>
      </c>
      <c r="E3540" s="546">
        <v>703.09997599999997</v>
      </c>
    </row>
    <row r="3541" spans="2:5" x14ac:dyDescent="0.25">
      <c r="B3541" s="545">
        <v>4163</v>
      </c>
      <c r="C3541" s="545" t="s">
        <v>7447</v>
      </c>
      <c r="D3541" s="669" t="s">
        <v>408</v>
      </c>
      <c r="E3541" s="546">
        <v>696.64165800000001</v>
      </c>
    </row>
    <row r="3542" spans="2:5" x14ac:dyDescent="0.25">
      <c r="B3542" s="545">
        <v>4164</v>
      </c>
      <c r="C3542" s="545" t="s">
        <v>3177</v>
      </c>
      <c r="D3542" s="669" t="s">
        <v>408</v>
      </c>
      <c r="E3542" s="546">
        <v>700.10555399999998</v>
      </c>
    </row>
    <row r="3543" spans="2:5" x14ac:dyDescent="0.25">
      <c r="B3543" s="545">
        <v>4165</v>
      </c>
      <c r="C3543" s="545" t="s">
        <v>7452</v>
      </c>
      <c r="D3543" s="669" t="s">
        <v>408</v>
      </c>
      <c r="E3543" s="546">
        <v>712.63999000000001</v>
      </c>
    </row>
    <row r="3544" spans="2:5" x14ac:dyDescent="0.25">
      <c r="B3544" s="545">
        <v>4166</v>
      </c>
      <c r="C3544" s="545" t="s">
        <v>3476</v>
      </c>
      <c r="D3544" s="669" t="s">
        <v>408</v>
      </c>
      <c r="E3544" s="546">
        <v>714.71111399999995</v>
      </c>
    </row>
    <row r="3545" spans="2:5" x14ac:dyDescent="0.25">
      <c r="B3545" s="545">
        <v>4167</v>
      </c>
      <c r="C3545" s="545" t="s">
        <v>6551</v>
      </c>
      <c r="D3545" s="669" t="s">
        <v>408</v>
      </c>
      <c r="E3545" s="546">
        <v>738.97499600000003</v>
      </c>
    </row>
    <row r="3546" spans="2:5" x14ac:dyDescent="0.25">
      <c r="B3546" s="545">
        <v>4201</v>
      </c>
      <c r="C3546" s="545" t="s">
        <v>2948</v>
      </c>
      <c r="D3546" s="669" t="s">
        <v>408</v>
      </c>
      <c r="E3546" s="546">
        <v>917.16999499999997</v>
      </c>
    </row>
    <row r="3547" spans="2:5" x14ac:dyDescent="0.25">
      <c r="B3547" s="545">
        <v>4202</v>
      </c>
      <c r="C3547" s="545" t="s">
        <v>5431</v>
      </c>
      <c r="D3547" s="669" t="s">
        <v>408</v>
      </c>
      <c r="E3547" s="546">
        <v>884.47499600000003</v>
      </c>
    </row>
    <row r="3548" spans="2:5" x14ac:dyDescent="0.25">
      <c r="B3548" s="545">
        <v>4203</v>
      </c>
      <c r="C3548" s="545" t="s">
        <v>5283</v>
      </c>
      <c r="D3548" s="669" t="s">
        <v>408</v>
      </c>
      <c r="E3548" s="546">
        <v>858.55384200000003</v>
      </c>
    </row>
    <row r="3549" spans="2:5" x14ac:dyDescent="0.25">
      <c r="B3549" s="545">
        <v>4204</v>
      </c>
      <c r="C3549" s="545" t="s">
        <v>4508</v>
      </c>
      <c r="D3549" s="669" t="s">
        <v>408</v>
      </c>
      <c r="E3549" s="546">
        <v>780.44000200000005</v>
      </c>
    </row>
    <row r="3550" spans="2:5" x14ac:dyDescent="0.25">
      <c r="B3550" s="545">
        <v>4205</v>
      </c>
      <c r="C3550" s="545" t="s">
        <v>7021</v>
      </c>
      <c r="D3550" s="669" t="s">
        <v>408</v>
      </c>
      <c r="E3550" s="546">
        <v>882.75</v>
      </c>
    </row>
    <row r="3551" spans="2:5" x14ac:dyDescent="0.25">
      <c r="B3551" s="545">
        <v>4206</v>
      </c>
      <c r="C3551" s="545" t="s">
        <v>5197</v>
      </c>
      <c r="D3551" s="669" t="s">
        <v>408</v>
      </c>
      <c r="E3551" s="546">
        <v>845.46667500000001</v>
      </c>
    </row>
    <row r="3552" spans="2:5" x14ac:dyDescent="0.25">
      <c r="B3552" s="545">
        <v>4207</v>
      </c>
      <c r="C3552" s="545" t="s">
        <v>3353</v>
      </c>
      <c r="D3552" s="669" t="s">
        <v>408</v>
      </c>
      <c r="E3552" s="546">
        <v>804.64999399999999</v>
      </c>
    </row>
    <row r="3553" spans="2:5" x14ac:dyDescent="0.25">
      <c r="B3553" s="545">
        <v>4208</v>
      </c>
      <c r="C3553" s="545" t="s">
        <v>4658</v>
      </c>
      <c r="D3553" s="669" t="s">
        <v>408</v>
      </c>
      <c r="E3553" s="546">
        <v>792.79998799999998</v>
      </c>
    </row>
    <row r="3554" spans="2:5" x14ac:dyDescent="0.25">
      <c r="B3554" s="545">
        <v>4209</v>
      </c>
      <c r="C3554" s="545" t="s">
        <v>5152</v>
      </c>
      <c r="D3554" s="669" t="s">
        <v>408</v>
      </c>
      <c r="E3554" s="546">
        <v>839.14999399999999</v>
      </c>
    </row>
    <row r="3555" spans="2:5" x14ac:dyDescent="0.25">
      <c r="B3555" s="545">
        <v>4210</v>
      </c>
      <c r="C3555" s="545" t="s">
        <v>5247</v>
      </c>
      <c r="D3555" s="669" t="s">
        <v>408</v>
      </c>
      <c r="E3555" s="546">
        <v>853.31538699999999</v>
      </c>
    </row>
    <row r="3556" spans="2:5" x14ac:dyDescent="0.25">
      <c r="B3556" s="545">
        <v>4211</v>
      </c>
      <c r="C3556" s="545" t="s">
        <v>4734</v>
      </c>
      <c r="D3556" s="669" t="s">
        <v>408</v>
      </c>
      <c r="E3556" s="546">
        <v>799.13999000000001</v>
      </c>
    </row>
    <row r="3557" spans="2:5" x14ac:dyDescent="0.25">
      <c r="B3557" s="545">
        <v>4212</v>
      </c>
      <c r="C3557" s="545" t="s">
        <v>4507</v>
      </c>
      <c r="D3557" s="669" t="s">
        <v>408</v>
      </c>
      <c r="E3557" s="546">
        <v>780.43076699999995</v>
      </c>
    </row>
    <row r="3558" spans="2:5" x14ac:dyDescent="0.25">
      <c r="B3558" s="545">
        <v>4213</v>
      </c>
      <c r="C3558" s="545" t="s">
        <v>7241</v>
      </c>
      <c r="D3558" s="669" t="s">
        <v>408</v>
      </c>
      <c r="E3558" s="546">
        <v>807.79998799999998</v>
      </c>
    </row>
    <row r="3559" spans="2:5" x14ac:dyDescent="0.25">
      <c r="B3559" s="545">
        <v>4214</v>
      </c>
      <c r="C3559" s="545" t="s">
        <v>4985</v>
      </c>
      <c r="D3559" s="669" t="s">
        <v>408</v>
      </c>
      <c r="E3559" s="546">
        <v>946.19230300000004</v>
      </c>
    </row>
    <row r="3560" spans="2:5" x14ac:dyDescent="0.25">
      <c r="B3560" s="545">
        <v>4215</v>
      </c>
      <c r="C3560" s="545" t="s">
        <v>5182</v>
      </c>
      <c r="D3560" s="669" t="s">
        <v>408</v>
      </c>
      <c r="E3560" s="546">
        <v>843.55998499999998</v>
      </c>
    </row>
    <row r="3561" spans="2:5" x14ac:dyDescent="0.25">
      <c r="B3561" s="545">
        <v>4216</v>
      </c>
      <c r="C3561" s="545" t="s">
        <v>4347</v>
      </c>
      <c r="D3561" s="669" t="s">
        <v>408</v>
      </c>
      <c r="E3561" s="546">
        <v>768.04285500000003</v>
      </c>
    </row>
    <row r="3562" spans="2:5" x14ac:dyDescent="0.25">
      <c r="B3562" s="545">
        <v>4217</v>
      </c>
      <c r="C3562" s="545" t="s">
        <v>5568</v>
      </c>
      <c r="D3562" s="669" t="s">
        <v>408</v>
      </c>
      <c r="E3562" s="546">
        <v>907.00714500000004</v>
      </c>
    </row>
    <row r="3563" spans="2:5" x14ac:dyDescent="0.25">
      <c r="B3563" s="545">
        <v>4218</v>
      </c>
      <c r="C3563" s="545" t="s">
        <v>3763</v>
      </c>
      <c r="D3563" s="669" t="s">
        <v>408</v>
      </c>
      <c r="E3563" s="546">
        <v>730.79998799999998</v>
      </c>
    </row>
    <row r="3564" spans="2:5" x14ac:dyDescent="0.25">
      <c r="B3564" s="545">
        <v>4219</v>
      </c>
      <c r="C3564" s="545" t="s">
        <v>4530</v>
      </c>
      <c r="D3564" s="669" t="s">
        <v>408</v>
      </c>
      <c r="E3564" s="546">
        <v>781.92501100000004</v>
      </c>
    </row>
    <row r="3565" spans="2:5" x14ac:dyDescent="0.25">
      <c r="B3565" s="545">
        <v>4220</v>
      </c>
      <c r="C3565" s="545" t="s">
        <v>4218</v>
      </c>
      <c r="D3565" s="669" t="s">
        <v>408</v>
      </c>
      <c r="E3565" s="546">
        <v>758.86000999999999</v>
      </c>
    </row>
    <row r="3566" spans="2:5" x14ac:dyDescent="0.25">
      <c r="B3566" s="545">
        <v>4221</v>
      </c>
      <c r="C3566" s="545" t="s">
        <v>7296</v>
      </c>
      <c r="D3566" s="669" t="s">
        <v>408</v>
      </c>
      <c r="E3566" s="546">
        <v>825.51999499999999</v>
      </c>
    </row>
    <row r="3567" spans="2:5" x14ac:dyDescent="0.25">
      <c r="B3567" s="545">
        <v>4222</v>
      </c>
      <c r="C3567" s="545" t="s">
        <v>7103</v>
      </c>
      <c r="D3567" s="669" t="s">
        <v>408</v>
      </c>
      <c r="E3567" s="546">
        <v>730.84997599999997</v>
      </c>
    </row>
    <row r="3568" spans="2:5" x14ac:dyDescent="0.25">
      <c r="B3568" s="545">
        <v>4223</v>
      </c>
      <c r="C3568" s="545" t="s">
        <v>3416</v>
      </c>
      <c r="D3568" s="669" t="s">
        <v>408</v>
      </c>
      <c r="E3568" s="546">
        <v>750.29998799999998</v>
      </c>
    </row>
    <row r="3569" spans="2:5" x14ac:dyDescent="0.25">
      <c r="B3569" s="545">
        <v>4224</v>
      </c>
      <c r="C3569" s="545" t="s">
        <v>3143</v>
      </c>
      <c r="D3569" s="669" t="s">
        <v>408</v>
      </c>
      <c r="E3569" s="546">
        <v>698.59997599999997</v>
      </c>
    </row>
    <row r="3570" spans="2:5" x14ac:dyDescent="0.25">
      <c r="B3570" s="545">
        <v>4225</v>
      </c>
      <c r="C3570" s="545" t="s">
        <v>7001</v>
      </c>
      <c r="D3570" s="669" t="s">
        <v>408</v>
      </c>
      <c r="E3570" s="546">
        <v>692.26667299999997</v>
      </c>
    </row>
    <row r="3571" spans="2:5" x14ac:dyDescent="0.25">
      <c r="B3571" s="545">
        <v>4226</v>
      </c>
      <c r="C3571" s="545" t="s">
        <v>3679</v>
      </c>
      <c r="D3571" s="669" t="s">
        <v>408</v>
      </c>
      <c r="E3571" s="546">
        <v>726.1</v>
      </c>
    </row>
    <row r="3572" spans="2:5" x14ac:dyDescent="0.25">
      <c r="B3572" s="545">
        <v>4227</v>
      </c>
      <c r="C3572" s="545" t="s">
        <v>3726</v>
      </c>
      <c r="D3572" s="669" t="s">
        <v>408</v>
      </c>
      <c r="E3572" s="546">
        <v>728.56664999999998</v>
      </c>
    </row>
    <row r="3573" spans="2:5" x14ac:dyDescent="0.25">
      <c r="B3573" s="545">
        <v>4228</v>
      </c>
      <c r="C3573" s="545" t="s">
        <v>7456</v>
      </c>
      <c r="D3573" s="669" t="s">
        <v>408</v>
      </c>
      <c r="E3573" s="546">
        <v>736.04999799999996</v>
      </c>
    </row>
    <row r="3574" spans="2:5" x14ac:dyDescent="0.25">
      <c r="B3574" s="545">
        <v>4229</v>
      </c>
      <c r="C3574" s="545" t="s">
        <v>4153</v>
      </c>
      <c r="D3574" s="669" t="s">
        <v>408</v>
      </c>
      <c r="E3574" s="546">
        <v>754.06001000000003</v>
      </c>
    </row>
    <row r="3575" spans="2:5" x14ac:dyDescent="0.25">
      <c r="B3575" s="545">
        <v>4230</v>
      </c>
      <c r="C3575" s="545" t="s">
        <v>4802</v>
      </c>
      <c r="D3575" s="669" t="s">
        <v>408</v>
      </c>
      <c r="E3575" s="546">
        <v>803.65999799999997</v>
      </c>
    </row>
    <row r="3576" spans="2:5" x14ac:dyDescent="0.25">
      <c r="B3576" s="545">
        <v>4231</v>
      </c>
      <c r="C3576" s="545" t="s">
        <v>3392</v>
      </c>
      <c r="D3576" s="669" t="s">
        <v>408</v>
      </c>
      <c r="E3576" s="546">
        <v>710.59999600000003</v>
      </c>
    </row>
    <row r="3577" spans="2:5" x14ac:dyDescent="0.25">
      <c r="B3577" s="545">
        <v>4232</v>
      </c>
      <c r="C3577" s="545" t="s">
        <v>3052</v>
      </c>
      <c r="D3577" s="669" t="s">
        <v>408</v>
      </c>
      <c r="E3577" s="546">
        <v>693.73333700000001</v>
      </c>
    </row>
    <row r="3578" spans="2:5" x14ac:dyDescent="0.25">
      <c r="B3578" s="545">
        <v>4233</v>
      </c>
      <c r="C3578" s="545" t="s">
        <v>7142</v>
      </c>
      <c r="D3578" s="669" t="s">
        <v>408</v>
      </c>
      <c r="E3578" s="546">
        <v>718.09997599999997</v>
      </c>
    </row>
    <row r="3579" spans="2:5" x14ac:dyDescent="0.25">
      <c r="B3579" s="545">
        <v>4234</v>
      </c>
      <c r="C3579" s="545" t="s">
        <v>3690</v>
      </c>
      <c r="D3579" s="669" t="s">
        <v>408</v>
      </c>
      <c r="E3579" s="546">
        <v>726.61427500000002</v>
      </c>
    </row>
    <row r="3580" spans="2:5" x14ac:dyDescent="0.25">
      <c r="B3580" s="545">
        <v>4235</v>
      </c>
      <c r="C3580" s="545" t="s">
        <v>4312</v>
      </c>
      <c r="D3580" s="669" t="s">
        <v>408</v>
      </c>
      <c r="E3580" s="546">
        <v>765.60000300000002</v>
      </c>
    </row>
    <row r="3581" spans="2:5" x14ac:dyDescent="0.25">
      <c r="B3581" s="545">
        <v>4237</v>
      </c>
      <c r="C3581" s="545" t="s">
        <v>3320</v>
      </c>
      <c r="D3581" s="669" t="s">
        <v>408</v>
      </c>
      <c r="E3581" s="546">
        <v>707.10001599999998</v>
      </c>
    </row>
    <row r="3582" spans="2:5" x14ac:dyDescent="0.25">
      <c r="B3582" s="545">
        <v>4238</v>
      </c>
      <c r="C3582" s="545" t="s">
        <v>2374</v>
      </c>
      <c r="D3582" s="669" t="s">
        <v>408</v>
      </c>
      <c r="E3582" s="546">
        <v>660.70001200000002</v>
      </c>
    </row>
    <row r="3583" spans="2:5" x14ac:dyDescent="0.25">
      <c r="B3583" s="545">
        <v>4239</v>
      </c>
      <c r="C3583" s="545" t="s">
        <v>3129</v>
      </c>
      <c r="D3583" s="669" t="s">
        <v>408</v>
      </c>
      <c r="E3583" s="546">
        <v>697.57691799999998</v>
      </c>
    </row>
    <row r="3584" spans="2:5" x14ac:dyDescent="0.25">
      <c r="B3584" s="545">
        <v>4240</v>
      </c>
      <c r="C3584" s="545" t="s">
        <v>2057</v>
      </c>
      <c r="D3584" s="669" t="s">
        <v>408</v>
      </c>
      <c r="E3584" s="546">
        <v>645.83333300000004</v>
      </c>
    </row>
    <row r="3585" spans="2:5" x14ac:dyDescent="0.25">
      <c r="B3585" s="545">
        <v>4241</v>
      </c>
      <c r="C3585" s="545" t="s">
        <v>1868</v>
      </c>
      <c r="D3585" s="669" t="s">
        <v>406</v>
      </c>
      <c r="E3585" s="546">
        <v>768.16154100000006</v>
      </c>
    </row>
    <row r="3586" spans="2:5" x14ac:dyDescent="0.25">
      <c r="B3586" s="545">
        <v>4242</v>
      </c>
      <c r="C3586" s="545" t="s">
        <v>4966</v>
      </c>
      <c r="D3586" s="669" t="s">
        <v>406</v>
      </c>
      <c r="E3586" s="546">
        <v>818.74999200000002</v>
      </c>
    </row>
    <row r="3587" spans="2:5" x14ac:dyDescent="0.25">
      <c r="B3587" s="545">
        <v>4243</v>
      </c>
      <c r="C3587" s="545" t="s">
        <v>4078</v>
      </c>
      <c r="D3587" s="669" t="s">
        <v>406</v>
      </c>
      <c r="E3587" s="546">
        <v>749.89999399999999</v>
      </c>
    </row>
    <row r="3588" spans="2:5" x14ac:dyDescent="0.25">
      <c r="B3588" s="545">
        <v>4244</v>
      </c>
      <c r="C3588" s="545" t="s">
        <v>4980</v>
      </c>
      <c r="D3588" s="669" t="s">
        <v>406</v>
      </c>
      <c r="E3588" s="546">
        <v>820.18333399999995</v>
      </c>
    </row>
    <row r="3589" spans="2:5" x14ac:dyDescent="0.25">
      <c r="B3589" s="545">
        <v>4245</v>
      </c>
      <c r="C3589" s="545" t="s">
        <v>4123</v>
      </c>
      <c r="D3589" s="669" t="s">
        <v>406</v>
      </c>
      <c r="E3589" s="546">
        <v>752.18181800000002</v>
      </c>
    </row>
    <row r="3590" spans="2:5" x14ac:dyDescent="0.25">
      <c r="B3590" s="545">
        <v>4246</v>
      </c>
      <c r="C3590" s="545" t="s">
        <v>3591</v>
      </c>
      <c r="D3590" s="669" t="s">
        <v>406</v>
      </c>
      <c r="E3590" s="546">
        <v>720.83332299999995</v>
      </c>
    </row>
    <row r="3591" spans="2:5" x14ac:dyDescent="0.25">
      <c r="B3591" s="545">
        <v>4247</v>
      </c>
      <c r="C3591" s="545" t="s">
        <v>2967</v>
      </c>
      <c r="D3591" s="669" t="s">
        <v>406</v>
      </c>
      <c r="E3591" s="546">
        <v>688.86665900000003</v>
      </c>
    </row>
    <row r="3592" spans="2:5" x14ac:dyDescent="0.25">
      <c r="B3592" s="545">
        <v>4248</v>
      </c>
      <c r="C3592" s="545" t="s">
        <v>2791</v>
      </c>
      <c r="D3592" s="669" t="s">
        <v>406</v>
      </c>
      <c r="E3592" s="546">
        <v>680.44286199999999</v>
      </c>
    </row>
    <row r="3593" spans="2:5" x14ac:dyDescent="0.25">
      <c r="B3593" s="545">
        <v>4249</v>
      </c>
      <c r="C3593" s="545" t="s">
        <v>1434</v>
      </c>
      <c r="D3593" s="669" t="s">
        <v>406</v>
      </c>
      <c r="E3593" s="546">
        <v>689.5625</v>
      </c>
    </row>
    <row r="3594" spans="2:5" x14ac:dyDescent="0.25">
      <c r="B3594" s="545">
        <v>4250</v>
      </c>
      <c r="C3594" s="545" t="s">
        <v>1285</v>
      </c>
      <c r="D3594" s="669" t="s">
        <v>406</v>
      </c>
      <c r="E3594" s="546">
        <v>682.60714299999995</v>
      </c>
    </row>
    <row r="3595" spans="2:5" x14ac:dyDescent="0.25">
      <c r="B3595" s="545">
        <v>4251</v>
      </c>
      <c r="C3595" s="545" t="s">
        <v>7001</v>
      </c>
      <c r="D3595" s="669" t="s">
        <v>406</v>
      </c>
      <c r="E3595" s="546">
        <v>680.70001200000002</v>
      </c>
    </row>
    <row r="3596" spans="2:5" x14ac:dyDescent="0.25">
      <c r="B3596" s="545">
        <v>4252</v>
      </c>
      <c r="C3596" s="545" t="s">
        <v>2059</v>
      </c>
      <c r="D3596" s="669" t="s">
        <v>406</v>
      </c>
      <c r="E3596" s="546">
        <v>685.24998500000004</v>
      </c>
    </row>
    <row r="3597" spans="2:5" x14ac:dyDescent="0.25">
      <c r="B3597" s="545">
        <v>4253</v>
      </c>
      <c r="C3597" s="545" t="s">
        <v>2561</v>
      </c>
      <c r="D3597" s="669" t="s">
        <v>406</v>
      </c>
      <c r="E3597" s="546">
        <v>668.83749399999999</v>
      </c>
    </row>
    <row r="3598" spans="2:5" x14ac:dyDescent="0.25">
      <c r="B3598" s="545">
        <v>4254</v>
      </c>
      <c r="C3598" s="545" t="s">
        <v>2870</v>
      </c>
      <c r="D3598" s="669" t="s">
        <v>406</v>
      </c>
      <c r="E3598" s="546">
        <v>684.78000499999996</v>
      </c>
    </row>
    <row r="3599" spans="2:5" x14ac:dyDescent="0.25">
      <c r="B3599" s="545">
        <v>4255</v>
      </c>
      <c r="C3599" s="545" t="s">
        <v>2497</v>
      </c>
      <c r="D3599" s="669" t="s">
        <v>406</v>
      </c>
      <c r="E3599" s="546">
        <v>665.57999299999994</v>
      </c>
    </row>
    <row r="3600" spans="2:5" x14ac:dyDescent="0.25">
      <c r="B3600" s="545">
        <v>4256</v>
      </c>
      <c r="C3600" s="545" t="s">
        <v>2451</v>
      </c>
      <c r="D3600" s="669" t="s">
        <v>406</v>
      </c>
      <c r="E3600" s="546">
        <v>664.116669</v>
      </c>
    </row>
    <row r="3601" spans="2:5" x14ac:dyDescent="0.25">
      <c r="B3601" s="545">
        <v>4257</v>
      </c>
      <c r="C3601" s="545" t="s">
        <v>2486</v>
      </c>
      <c r="D3601" s="669" t="s">
        <v>406</v>
      </c>
      <c r="E3601" s="546">
        <v>665.221047</v>
      </c>
    </row>
    <row r="3602" spans="2:5" x14ac:dyDescent="0.25">
      <c r="B3602" s="545">
        <v>4258</v>
      </c>
      <c r="C3602" s="545" t="s">
        <v>2099</v>
      </c>
      <c r="D3602" s="669" t="s">
        <v>406</v>
      </c>
      <c r="E3602" s="546">
        <v>648.08333300000004</v>
      </c>
    </row>
    <row r="3603" spans="2:5" x14ac:dyDescent="0.25">
      <c r="B3603" s="545">
        <v>4259</v>
      </c>
      <c r="C3603" s="545" t="s">
        <v>2357</v>
      </c>
      <c r="D3603" s="669" t="s">
        <v>406</v>
      </c>
      <c r="E3603" s="546">
        <v>660.19999900000005</v>
      </c>
    </row>
    <row r="3604" spans="2:5" x14ac:dyDescent="0.25">
      <c r="B3604" s="545">
        <v>4260</v>
      </c>
      <c r="C3604" s="545" t="s">
        <v>2228</v>
      </c>
      <c r="D3604" s="669" t="s">
        <v>406</v>
      </c>
      <c r="E3604" s="546">
        <v>654.23332500000004</v>
      </c>
    </row>
    <row r="3605" spans="2:5" x14ac:dyDescent="0.25">
      <c r="B3605" s="545">
        <v>4261</v>
      </c>
      <c r="C3605" s="545" t="s">
        <v>1985</v>
      </c>
      <c r="D3605" s="669" t="s">
        <v>406</v>
      </c>
      <c r="E3605" s="546">
        <v>642.942858</v>
      </c>
    </row>
    <row r="3606" spans="2:5" x14ac:dyDescent="0.25">
      <c r="B3606" s="545">
        <v>4262</v>
      </c>
      <c r="C3606" s="545" t="s">
        <v>2379</v>
      </c>
      <c r="D3606" s="669" t="s">
        <v>406</v>
      </c>
      <c r="E3606" s="546">
        <v>660.87273100000004</v>
      </c>
    </row>
    <row r="3607" spans="2:5" x14ac:dyDescent="0.25">
      <c r="B3607" s="545">
        <v>4263</v>
      </c>
      <c r="C3607" s="545" t="s">
        <v>7328</v>
      </c>
      <c r="D3607" s="669" t="s">
        <v>406</v>
      </c>
      <c r="E3607" s="546">
        <v>658.32500500000003</v>
      </c>
    </row>
    <row r="3608" spans="2:5" x14ac:dyDescent="0.25">
      <c r="B3608" s="545">
        <v>4264</v>
      </c>
      <c r="C3608" s="545" t="s">
        <v>2739</v>
      </c>
      <c r="D3608" s="669" t="s">
        <v>406</v>
      </c>
      <c r="E3608" s="546">
        <v>677.67500299999995</v>
      </c>
    </row>
    <row r="3609" spans="2:5" x14ac:dyDescent="0.25">
      <c r="B3609" s="545">
        <v>4265</v>
      </c>
      <c r="C3609" s="545" t="s">
        <v>2159</v>
      </c>
      <c r="D3609" s="669" t="s">
        <v>406</v>
      </c>
      <c r="E3609" s="546">
        <v>651.21666500000003</v>
      </c>
    </row>
    <row r="3610" spans="2:5" x14ac:dyDescent="0.25">
      <c r="B3610" s="545">
        <v>4266</v>
      </c>
      <c r="C3610" s="545" t="s">
        <v>2581</v>
      </c>
      <c r="D3610" s="669" t="s">
        <v>406</v>
      </c>
      <c r="E3610" s="546">
        <v>669.68332899999996</v>
      </c>
    </row>
    <row r="3611" spans="2:5" x14ac:dyDescent="0.25">
      <c r="B3611" s="545">
        <v>4267</v>
      </c>
      <c r="C3611" s="545" t="s">
        <v>3424</v>
      </c>
      <c r="D3611" s="669" t="s">
        <v>406</v>
      </c>
      <c r="E3611" s="546">
        <v>712.29069500000003</v>
      </c>
    </row>
    <row r="3612" spans="2:5" x14ac:dyDescent="0.25">
      <c r="B3612" s="545">
        <v>4268</v>
      </c>
      <c r="C3612" s="545" t="s">
        <v>3183</v>
      </c>
      <c r="D3612" s="669" t="s">
        <v>406</v>
      </c>
      <c r="E3612" s="546">
        <v>700.26666299999999</v>
      </c>
    </row>
    <row r="3613" spans="2:5" x14ac:dyDescent="0.25">
      <c r="B3613" s="545">
        <v>4269</v>
      </c>
      <c r="C3613" s="545" t="s">
        <v>3118</v>
      </c>
      <c r="D3613" s="669" t="s">
        <v>406</v>
      </c>
      <c r="E3613" s="546">
        <v>697.01999899999998</v>
      </c>
    </row>
    <row r="3614" spans="2:5" x14ac:dyDescent="0.25">
      <c r="B3614" s="545">
        <v>4270</v>
      </c>
      <c r="C3614" s="545" t="s">
        <v>6633</v>
      </c>
      <c r="D3614" s="669" t="s">
        <v>406</v>
      </c>
      <c r="E3614" s="546">
        <v>641.72499800000003</v>
      </c>
    </row>
    <row r="3615" spans="2:5" x14ac:dyDescent="0.25">
      <c r="B3615" s="545">
        <v>4271</v>
      </c>
      <c r="C3615" s="545" t="s">
        <v>6802</v>
      </c>
      <c r="D3615" s="669" t="s">
        <v>406</v>
      </c>
      <c r="E3615" s="546">
        <v>707.65174100000002</v>
      </c>
    </row>
    <row r="3616" spans="2:5" x14ac:dyDescent="0.25">
      <c r="B3616" s="545">
        <v>4272</v>
      </c>
      <c r="C3616" s="545" t="s">
        <v>6801</v>
      </c>
      <c r="D3616" s="669" t="s">
        <v>406</v>
      </c>
      <c r="E3616" s="546">
        <v>637.70000000000005</v>
      </c>
    </row>
    <row r="3617" spans="2:5" x14ac:dyDescent="0.25">
      <c r="B3617" s="545">
        <v>4273</v>
      </c>
      <c r="C3617" s="545" t="s">
        <v>7041</v>
      </c>
      <c r="D3617" s="669" t="s">
        <v>406</v>
      </c>
      <c r="E3617" s="546">
        <v>625.93332899999996</v>
      </c>
    </row>
    <row r="3618" spans="2:5" x14ac:dyDescent="0.25">
      <c r="B3618" s="545">
        <v>4274</v>
      </c>
      <c r="C3618" s="545" t="s">
        <v>5086</v>
      </c>
      <c r="D3618" s="669" t="s">
        <v>403</v>
      </c>
      <c r="E3618" s="546">
        <v>831.64999399999999</v>
      </c>
    </row>
    <row r="3619" spans="2:5" x14ac:dyDescent="0.25">
      <c r="B3619" s="545">
        <v>4275</v>
      </c>
      <c r="C3619" s="545" t="s">
        <v>1140</v>
      </c>
      <c r="D3619" s="669" t="s">
        <v>403</v>
      </c>
      <c r="E3619" s="546">
        <v>856.10999800000002</v>
      </c>
    </row>
    <row r="3620" spans="2:5" x14ac:dyDescent="0.25">
      <c r="B3620" s="545">
        <v>4276</v>
      </c>
      <c r="C3620" s="545" t="s">
        <v>4850</v>
      </c>
      <c r="D3620" s="669" t="s">
        <v>403</v>
      </c>
      <c r="E3620" s="546">
        <v>807.11998300000005</v>
      </c>
    </row>
    <row r="3621" spans="2:5" x14ac:dyDescent="0.25">
      <c r="B3621" s="545">
        <v>4277</v>
      </c>
      <c r="C3621" s="545" t="s">
        <v>5122</v>
      </c>
      <c r="D3621" s="669" t="s">
        <v>403</v>
      </c>
      <c r="E3621" s="546">
        <v>835.64998400000002</v>
      </c>
    </row>
    <row r="3622" spans="2:5" x14ac:dyDescent="0.25">
      <c r="B3622" s="545">
        <v>4278</v>
      </c>
      <c r="C3622" s="545" t="s">
        <v>5333</v>
      </c>
      <c r="D3622" s="669" t="s">
        <v>403</v>
      </c>
      <c r="E3622" s="546">
        <v>868.19999199999995</v>
      </c>
    </row>
    <row r="3623" spans="2:5" x14ac:dyDescent="0.25">
      <c r="B3623" s="545">
        <v>4279</v>
      </c>
      <c r="C3623" s="545" t="s">
        <v>5172</v>
      </c>
      <c r="D3623" s="669" t="s">
        <v>403</v>
      </c>
      <c r="E3623" s="546">
        <v>841.19999199999995</v>
      </c>
    </row>
    <row r="3624" spans="2:5" x14ac:dyDescent="0.25">
      <c r="B3624" s="545">
        <v>4280</v>
      </c>
      <c r="C3624" s="545" t="s">
        <v>703</v>
      </c>
      <c r="D3624" s="669" t="s">
        <v>403</v>
      </c>
      <c r="E3624" s="546">
        <v>784.01666599999999</v>
      </c>
    </row>
    <row r="3625" spans="2:5" x14ac:dyDescent="0.25">
      <c r="B3625" s="545">
        <v>4281</v>
      </c>
      <c r="C3625" s="545" t="s">
        <v>3713</v>
      </c>
      <c r="D3625" s="669" t="s">
        <v>403</v>
      </c>
      <c r="E3625" s="546">
        <v>727.96667500000001</v>
      </c>
    </row>
    <row r="3626" spans="2:5" x14ac:dyDescent="0.25">
      <c r="B3626" s="545">
        <v>4282</v>
      </c>
      <c r="C3626" s="545" t="s">
        <v>4842</v>
      </c>
      <c r="D3626" s="669" t="s">
        <v>403</v>
      </c>
      <c r="E3626" s="546">
        <v>806.72500400000001</v>
      </c>
    </row>
    <row r="3627" spans="2:5" x14ac:dyDescent="0.25">
      <c r="B3627" s="545">
        <v>4283</v>
      </c>
      <c r="C3627" s="545" t="s">
        <v>5110</v>
      </c>
      <c r="D3627" s="669" t="s">
        <v>403</v>
      </c>
      <c r="E3627" s="546">
        <v>834.5</v>
      </c>
    </row>
    <row r="3628" spans="2:5" x14ac:dyDescent="0.25">
      <c r="B3628" s="545">
        <v>4284</v>
      </c>
      <c r="C3628" s="545" t="s">
        <v>373</v>
      </c>
      <c r="D3628" s="669" t="s">
        <v>403</v>
      </c>
      <c r="E3628" s="546">
        <v>800.5</v>
      </c>
    </row>
    <row r="3629" spans="2:5" x14ac:dyDescent="0.25">
      <c r="B3629" s="545">
        <v>4301</v>
      </c>
      <c r="C3629" s="545" t="s">
        <v>3190</v>
      </c>
      <c r="D3629" s="669" t="s">
        <v>406</v>
      </c>
      <c r="E3629" s="546">
        <v>700.44545100000005</v>
      </c>
    </row>
    <row r="3630" spans="2:5" x14ac:dyDescent="0.25">
      <c r="B3630" s="545">
        <v>4302</v>
      </c>
      <c r="C3630" s="545" t="s">
        <v>3570</v>
      </c>
      <c r="D3630" s="669" t="s">
        <v>406</v>
      </c>
      <c r="E3630" s="546">
        <v>719.65000399999997</v>
      </c>
    </row>
    <row r="3631" spans="2:5" x14ac:dyDescent="0.25">
      <c r="B3631" s="545">
        <v>4303</v>
      </c>
      <c r="C3631" s="545" t="s">
        <v>1014</v>
      </c>
      <c r="D3631" s="669" t="s">
        <v>406</v>
      </c>
      <c r="E3631" s="546">
        <v>699.47142699999995</v>
      </c>
    </row>
    <row r="3632" spans="2:5" x14ac:dyDescent="0.25">
      <c r="B3632" s="545">
        <v>4304</v>
      </c>
      <c r="C3632" s="545" t="s">
        <v>3317</v>
      </c>
      <c r="D3632" s="669" t="s">
        <v>406</v>
      </c>
      <c r="E3632" s="546">
        <v>707.06249200000002</v>
      </c>
    </row>
    <row r="3633" spans="2:5" x14ac:dyDescent="0.25">
      <c r="B3633" s="545">
        <v>4305</v>
      </c>
      <c r="C3633" s="545" t="s">
        <v>1187</v>
      </c>
      <c r="D3633" s="669" t="s">
        <v>406</v>
      </c>
      <c r="E3633" s="546">
        <v>709.60000600000001</v>
      </c>
    </row>
    <row r="3634" spans="2:5" x14ac:dyDescent="0.25">
      <c r="B3634" s="545">
        <v>4306</v>
      </c>
      <c r="C3634" s="545" t="s">
        <v>3308</v>
      </c>
      <c r="D3634" s="669" t="s">
        <v>406</v>
      </c>
      <c r="E3634" s="546">
        <v>706.33998999999994</v>
      </c>
    </row>
    <row r="3635" spans="2:5" x14ac:dyDescent="0.25">
      <c r="B3635" s="545">
        <v>4307</v>
      </c>
      <c r="C3635" s="545" t="s">
        <v>2901</v>
      </c>
      <c r="D3635" s="669" t="s">
        <v>406</v>
      </c>
      <c r="E3635" s="546">
        <v>686.04999799999996</v>
      </c>
    </row>
    <row r="3636" spans="2:5" x14ac:dyDescent="0.25">
      <c r="B3636" s="545">
        <v>4308</v>
      </c>
      <c r="C3636" s="545" t="s">
        <v>2670</v>
      </c>
      <c r="D3636" s="669" t="s">
        <v>406</v>
      </c>
      <c r="E3636" s="546">
        <v>674.56667100000004</v>
      </c>
    </row>
    <row r="3637" spans="2:5" x14ac:dyDescent="0.25">
      <c r="B3637" s="545">
        <v>4309</v>
      </c>
      <c r="C3637" s="545" t="s">
        <v>2724</v>
      </c>
      <c r="D3637" s="669" t="s">
        <v>406</v>
      </c>
      <c r="E3637" s="546">
        <v>677.13749700000005</v>
      </c>
    </row>
    <row r="3638" spans="2:5" x14ac:dyDescent="0.25">
      <c r="B3638" s="545">
        <v>4310</v>
      </c>
      <c r="C3638" s="545" t="s">
        <v>3345</v>
      </c>
      <c r="D3638" s="669" t="s">
        <v>406</v>
      </c>
      <c r="E3638" s="546">
        <v>708.22500600000001</v>
      </c>
    </row>
    <row r="3639" spans="2:5" x14ac:dyDescent="0.25">
      <c r="B3639" s="545">
        <v>4311</v>
      </c>
      <c r="C3639" s="545" t="s">
        <v>3910</v>
      </c>
      <c r="D3639" s="669" t="s">
        <v>406</v>
      </c>
      <c r="E3639" s="546">
        <v>739.58000500000003</v>
      </c>
    </row>
    <row r="3640" spans="2:5" x14ac:dyDescent="0.25">
      <c r="B3640" s="545">
        <v>4312</v>
      </c>
      <c r="C3640" s="545" t="s">
        <v>6647</v>
      </c>
      <c r="D3640" s="669" t="s">
        <v>406</v>
      </c>
      <c r="E3640" s="546">
        <v>694.70001200000002</v>
      </c>
    </row>
    <row r="3641" spans="2:5" x14ac:dyDescent="0.25">
      <c r="B3641" s="545">
        <v>4313</v>
      </c>
      <c r="C3641" s="545" t="s">
        <v>2789</v>
      </c>
      <c r="D3641" s="669" t="s">
        <v>406</v>
      </c>
      <c r="E3641" s="546">
        <v>680.27500899999995</v>
      </c>
    </row>
    <row r="3642" spans="2:5" x14ac:dyDescent="0.25">
      <c r="B3642" s="545">
        <v>4314</v>
      </c>
      <c r="C3642" s="545" t="s">
        <v>3057</v>
      </c>
      <c r="D3642" s="669" t="s">
        <v>406</v>
      </c>
      <c r="E3642" s="546">
        <v>693.81999499999995</v>
      </c>
    </row>
    <row r="3643" spans="2:5" x14ac:dyDescent="0.25">
      <c r="B3643" s="545">
        <v>4315</v>
      </c>
      <c r="C3643" s="545" t="s">
        <v>2606</v>
      </c>
      <c r="D3643" s="669" t="s">
        <v>406</v>
      </c>
      <c r="E3643" s="546">
        <v>671.16001000000006</v>
      </c>
    </row>
    <row r="3644" spans="2:5" x14ac:dyDescent="0.25">
      <c r="B3644" s="545">
        <v>4316</v>
      </c>
      <c r="C3644" s="545" t="s">
        <v>2939</v>
      </c>
      <c r="D3644" s="669" t="s">
        <v>406</v>
      </c>
      <c r="E3644" s="546">
        <v>687.40769599999999</v>
      </c>
    </row>
    <row r="3645" spans="2:5" x14ac:dyDescent="0.25">
      <c r="B3645" s="545">
        <v>4317</v>
      </c>
      <c r="C3645" s="545" t="s">
        <v>3259</v>
      </c>
      <c r="D3645" s="669" t="s">
        <v>406</v>
      </c>
      <c r="E3645" s="546">
        <v>703.54998799999998</v>
      </c>
    </row>
    <row r="3646" spans="2:5" x14ac:dyDescent="0.25">
      <c r="B3646" s="545">
        <v>4318</v>
      </c>
      <c r="C3646" s="545" t="s">
        <v>6712</v>
      </c>
      <c r="D3646" s="669" t="s">
        <v>406</v>
      </c>
      <c r="E3646" s="546">
        <v>707.48000500000001</v>
      </c>
    </row>
    <row r="3647" spans="2:5" x14ac:dyDescent="0.25">
      <c r="B3647" s="545">
        <v>4319</v>
      </c>
      <c r="C3647" s="545" t="s">
        <v>2667</v>
      </c>
      <c r="D3647" s="669" t="s">
        <v>406</v>
      </c>
      <c r="E3647" s="546">
        <v>674.53333499999997</v>
      </c>
    </row>
    <row r="3648" spans="2:5" x14ac:dyDescent="0.25">
      <c r="B3648" s="545">
        <v>4320</v>
      </c>
      <c r="C3648" s="545" t="s">
        <v>7125</v>
      </c>
      <c r="D3648" s="669" t="s">
        <v>406</v>
      </c>
      <c r="E3648" s="546">
        <v>673.740002</v>
      </c>
    </row>
    <row r="3649" spans="2:5" x14ac:dyDescent="0.25">
      <c r="B3649" s="545">
        <v>4321</v>
      </c>
      <c r="C3649" s="545" t="s">
        <v>3218</v>
      </c>
      <c r="D3649" s="669" t="s">
        <v>406</v>
      </c>
      <c r="E3649" s="546">
        <v>702.16001000000006</v>
      </c>
    </row>
    <row r="3650" spans="2:5" x14ac:dyDescent="0.25">
      <c r="B3650" s="545">
        <v>4322</v>
      </c>
      <c r="C3650" s="545" t="s">
        <v>3357</v>
      </c>
      <c r="D3650" s="669" t="s">
        <v>406</v>
      </c>
      <c r="E3650" s="546">
        <v>708.78750600000001</v>
      </c>
    </row>
    <row r="3651" spans="2:5" x14ac:dyDescent="0.25">
      <c r="B3651" s="545">
        <v>4323</v>
      </c>
      <c r="C3651" s="545" t="s">
        <v>3967</v>
      </c>
      <c r="D3651" s="669" t="s">
        <v>406</v>
      </c>
      <c r="E3651" s="546">
        <v>742.86249499999997</v>
      </c>
    </row>
    <row r="3652" spans="2:5" x14ac:dyDescent="0.25">
      <c r="B3652" s="545">
        <v>4324</v>
      </c>
      <c r="C3652" s="545" t="s">
        <v>4066</v>
      </c>
      <c r="D3652" s="669" t="s">
        <v>406</v>
      </c>
      <c r="E3652" s="546">
        <v>749.1875</v>
      </c>
    </row>
    <row r="3653" spans="2:5" x14ac:dyDescent="0.25">
      <c r="B3653" s="545">
        <v>4325</v>
      </c>
      <c r="C3653" s="545" t="s">
        <v>3249</v>
      </c>
      <c r="D3653" s="669" t="s">
        <v>406</v>
      </c>
      <c r="E3653" s="546">
        <v>703.28332499999999</v>
      </c>
    </row>
    <row r="3654" spans="2:5" x14ac:dyDescent="0.25">
      <c r="B3654" s="545">
        <v>4326</v>
      </c>
      <c r="C3654" s="545" t="s">
        <v>6553</v>
      </c>
      <c r="D3654" s="669" t="s">
        <v>406</v>
      </c>
      <c r="E3654" s="546">
        <v>718.87143400000002</v>
      </c>
    </row>
    <row r="3655" spans="2:5" x14ac:dyDescent="0.25">
      <c r="B3655" s="545">
        <v>4327</v>
      </c>
      <c r="C3655" s="545" t="s">
        <v>3936</v>
      </c>
      <c r="D3655" s="669" t="s">
        <v>406</v>
      </c>
      <c r="E3655" s="546">
        <v>741</v>
      </c>
    </row>
    <row r="3656" spans="2:5" x14ac:dyDescent="0.25">
      <c r="B3656" s="545">
        <v>4328</v>
      </c>
      <c r="C3656" s="545" t="s">
        <v>6814</v>
      </c>
      <c r="D3656" s="669" t="s">
        <v>406</v>
      </c>
      <c r="E3656" s="546">
        <v>747.29999799999996</v>
      </c>
    </row>
    <row r="3657" spans="2:5" x14ac:dyDescent="0.25">
      <c r="B3657" s="545">
        <v>4329</v>
      </c>
      <c r="C3657" s="545" t="s">
        <v>2983</v>
      </c>
      <c r="D3657" s="669" t="s">
        <v>406</v>
      </c>
      <c r="E3657" s="546">
        <v>689.73331700000006</v>
      </c>
    </row>
    <row r="3658" spans="2:5" x14ac:dyDescent="0.25">
      <c r="B3658" s="545">
        <v>4330</v>
      </c>
      <c r="C3658" s="545" t="s">
        <v>7439</v>
      </c>
      <c r="D3658" s="669" t="s">
        <v>406</v>
      </c>
      <c r="E3658" s="546">
        <v>725.889996</v>
      </c>
    </row>
    <row r="3659" spans="2:5" x14ac:dyDescent="0.25">
      <c r="B3659" s="545">
        <v>4331</v>
      </c>
      <c r="C3659" s="545" t="s">
        <v>3433</v>
      </c>
      <c r="D3659" s="669" t="s">
        <v>406</v>
      </c>
      <c r="E3659" s="546">
        <v>712.51428199999998</v>
      </c>
    </row>
    <row r="3660" spans="2:5" x14ac:dyDescent="0.25">
      <c r="B3660" s="545">
        <v>4332</v>
      </c>
      <c r="C3660" s="545" t="s">
        <v>3215</v>
      </c>
      <c r="D3660" s="669" t="s">
        <v>406</v>
      </c>
      <c r="E3660" s="546">
        <v>726.32499700000005</v>
      </c>
    </row>
    <row r="3661" spans="2:5" x14ac:dyDescent="0.25">
      <c r="B3661" s="545">
        <v>4333</v>
      </c>
      <c r="C3661" s="545" t="s">
        <v>6732</v>
      </c>
      <c r="D3661" s="669" t="s">
        <v>406</v>
      </c>
      <c r="E3661" s="546">
        <v>784.90869399999997</v>
      </c>
    </row>
    <row r="3662" spans="2:5" x14ac:dyDescent="0.25">
      <c r="B3662" s="545">
        <v>4334</v>
      </c>
      <c r="C3662" s="545" t="s">
        <v>3746</v>
      </c>
      <c r="D3662" s="669" t="s">
        <v>406</v>
      </c>
      <c r="E3662" s="546">
        <v>750.72222199999999</v>
      </c>
    </row>
    <row r="3663" spans="2:5" x14ac:dyDescent="0.25">
      <c r="B3663" s="545">
        <v>4335</v>
      </c>
      <c r="C3663" s="545" t="s">
        <v>3046</v>
      </c>
      <c r="D3663" s="669" t="s">
        <v>406</v>
      </c>
      <c r="E3663" s="546">
        <v>693.327271</v>
      </c>
    </row>
    <row r="3664" spans="2:5" x14ac:dyDescent="0.25">
      <c r="B3664" s="545">
        <v>4336</v>
      </c>
      <c r="C3664" s="545" t="s">
        <v>3786</v>
      </c>
      <c r="D3664" s="669" t="s">
        <v>406</v>
      </c>
      <c r="E3664" s="546">
        <v>731.95713599999999</v>
      </c>
    </row>
    <row r="3665" spans="2:5" x14ac:dyDescent="0.25">
      <c r="B3665" s="545">
        <v>4337</v>
      </c>
      <c r="C3665" s="545" t="s">
        <v>4416</v>
      </c>
      <c r="D3665" s="669" t="s">
        <v>406</v>
      </c>
      <c r="E3665" s="546">
        <v>773.93636800000002</v>
      </c>
    </row>
    <row r="3666" spans="2:5" x14ac:dyDescent="0.25">
      <c r="B3666" s="545">
        <v>4338</v>
      </c>
      <c r="C3666" s="545" t="s">
        <v>3814</v>
      </c>
      <c r="D3666" s="669" t="s">
        <v>406</v>
      </c>
      <c r="E3666" s="546">
        <v>793.09999600000003</v>
      </c>
    </row>
    <row r="3667" spans="2:5" x14ac:dyDescent="0.25">
      <c r="B3667" s="545">
        <v>4339</v>
      </c>
      <c r="C3667" s="545" t="s">
        <v>848</v>
      </c>
      <c r="D3667" s="669" t="s">
        <v>406</v>
      </c>
      <c r="E3667" s="546">
        <v>786.92941099999996</v>
      </c>
    </row>
    <row r="3668" spans="2:5" x14ac:dyDescent="0.25">
      <c r="B3668" s="545">
        <v>4340</v>
      </c>
      <c r="C3668" s="545" t="s">
        <v>4342</v>
      </c>
      <c r="D3668" s="669" t="s">
        <v>406</v>
      </c>
      <c r="E3668" s="546">
        <v>767.5</v>
      </c>
    </row>
    <row r="3669" spans="2:5" x14ac:dyDescent="0.25">
      <c r="B3669" s="545">
        <v>4341</v>
      </c>
      <c r="C3669" s="545" t="s">
        <v>4435</v>
      </c>
      <c r="D3669" s="669" t="s">
        <v>406</v>
      </c>
      <c r="E3669" s="546">
        <v>775.616669</v>
      </c>
    </row>
    <row r="3670" spans="2:5" x14ac:dyDescent="0.25">
      <c r="B3670" s="545">
        <v>4342</v>
      </c>
      <c r="C3670" s="545" t="s">
        <v>6594</v>
      </c>
      <c r="D3670" s="669" t="s">
        <v>406</v>
      </c>
      <c r="E3670" s="546">
        <v>786.75</v>
      </c>
    </row>
    <row r="3671" spans="2:5" x14ac:dyDescent="0.25">
      <c r="B3671" s="545">
        <v>4343</v>
      </c>
      <c r="C3671" s="545" t="s">
        <v>4284</v>
      </c>
      <c r="D3671" s="669" t="s">
        <v>406</v>
      </c>
      <c r="E3671" s="546">
        <v>763.52141900000004</v>
      </c>
    </row>
    <row r="3672" spans="2:5" x14ac:dyDescent="0.25">
      <c r="B3672" s="545">
        <v>4344</v>
      </c>
      <c r="C3672" s="545" t="s">
        <v>3564</v>
      </c>
      <c r="D3672" s="669" t="s">
        <v>406</v>
      </c>
      <c r="E3672" s="546">
        <v>719.30000399999994</v>
      </c>
    </row>
    <row r="3673" spans="2:5" x14ac:dyDescent="0.25">
      <c r="B3673" s="545">
        <v>4345</v>
      </c>
      <c r="C3673" s="545" t="s">
        <v>3567</v>
      </c>
      <c r="D3673" s="669" t="s">
        <v>406</v>
      </c>
      <c r="E3673" s="546">
        <v>719.55999799999995</v>
      </c>
    </row>
    <row r="3674" spans="2:5" x14ac:dyDescent="0.25">
      <c r="B3674" s="545">
        <v>4346</v>
      </c>
      <c r="C3674" s="545" t="s">
        <v>2607</v>
      </c>
      <c r="D3674" s="669" t="s">
        <v>406</v>
      </c>
      <c r="E3674" s="546">
        <v>671.20001200000002</v>
      </c>
    </row>
    <row r="3675" spans="2:5" x14ac:dyDescent="0.25">
      <c r="B3675" s="545">
        <v>4347</v>
      </c>
      <c r="C3675" s="545" t="s">
        <v>2821</v>
      </c>
      <c r="D3675" s="669" t="s">
        <v>406</v>
      </c>
      <c r="E3675" s="546">
        <v>682.21250199999997</v>
      </c>
    </row>
    <row r="3676" spans="2:5" x14ac:dyDescent="0.25">
      <c r="B3676" s="545">
        <v>4348</v>
      </c>
      <c r="C3676" s="545" t="s">
        <v>3810</v>
      </c>
      <c r="D3676" s="669" t="s">
        <v>406</v>
      </c>
      <c r="E3676" s="546">
        <v>733.44546000000003</v>
      </c>
    </row>
    <row r="3677" spans="2:5" x14ac:dyDescent="0.25">
      <c r="B3677" s="545">
        <v>4349</v>
      </c>
      <c r="C3677" s="545" t="s">
        <v>3066</v>
      </c>
      <c r="D3677" s="669" t="s">
        <v>406</v>
      </c>
      <c r="E3677" s="546">
        <v>694.25384499999996</v>
      </c>
    </row>
    <row r="3678" spans="2:5" x14ac:dyDescent="0.25">
      <c r="B3678" s="545">
        <v>4350</v>
      </c>
      <c r="C3678" s="545" t="s">
        <v>1714</v>
      </c>
      <c r="D3678" s="669" t="s">
        <v>406</v>
      </c>
      <c r="E3678" s="546">
        <v>632.79998799999998</v>
      </c>
    </row>
    <row r="3679" spans="2:5" x14ac:dyDescent="0.25">
      <c r="B3679" s="545">
        <v>4351</v>
      </c>
      <c r="C3679" s="545" t="s">
        <v>921</v>
      </c>
      <c r="D3679" s="669" t="s">
        <v>406</v>
      </c>
      <c r="E3679" s="546">
        <v>652.94210699999996</v>
      </c>
    </row>
    <row r="3680" spans="2:5" x14ac:dyDescent="0.25">
      <c r="B3680" s="545">
        <v>4351</v>
      </c>
      <c r="C3680" s="545" t="s">
        <v>921</v>
      </c>
      <c r="D3680" s="669" t="s">
        <v>402</v>
      </c>
      <c r="E3680" s="546">
        <v>652.94210699999996</v>
      </c>
    </row>
    <row r="3681" spans="2:5" x14ac:dyDescent="0.25">
      <c r="B3681" s="545">
        <v>4352</v>
      </c>
      <c r="C3681" s="545" t="s">
        <v>1837</v>
      </c>
      <c r="D3681" s="669" t="s">
        <v>406</v>
      </c>
      <c r="E3681" s="546">
        <v>637.25160700000004</v>
      </c>
    </row>
    <row r="3682" spans="2:5" x14ac:dyDescent="0.25">
      <c r="B3682" s="545">
        <v>4352</v>
      </c>
      <c r="C3682" s="545" t="s">
        <v>1837</v>
      </c>
      <c r="D3682" s="669" t="s">
        <v>402</v>
      </c>
      <c r="E3682" s="546">
        <v>637.25160700000004</v>
      </c>
    </row>
    <row r="3683" spans="2:5" x14ac:dyDescent="0.25">
      <c r="B3683" s="545">
        <v>4353</v>
      </c>
      <c r="C3683" s="545" t="s">
        <v>2312</v>
      </c>
      <c r="D3683" s="669" t="s">
        <v>406</v>
      </c>
      <c r="E3683" s="546">
        <v>657.84737399999995</v>
      </c>
    </row>
    <row r="3684" spans="2:5" x14ac:dyDescent="0.25">
      <c r="B3684" s="545">
        <v>4354</v>
      </c>
      <c r="C3684" s="545" t="s">
        <v>2589</v>
      </c>
      <c r="D3684" s="669" t="s">
        <v>406</v>
      </c>
      <c r="E3684" s="546">
        <v>670.03001099999994</v>
      </c>
    </row>
    <row r="3685" spans="2:5" x14ac:dyDescent="0.25">
      <c r="B3685" s="545">
        <v>4355</v>
      </c>
      <c r="C3685" s="545" t="s">
        <v>406</v>
      </c>
      <c r="D3685" s="669" t="s">
        <v>406</v>
      </c>
      <c r="E3685" s="546">
        <v>674.53333899999996</v>
      </c>
    </row>
    <row r="3686" spans="2:5" x14ac:dyDescent="0.25">
      <c r="B3686" s="545">
        <v>4356</v>
      </c>
      <c r="C3686" s="545" t="s">
        <v>2271</v>
      </c>
      <c r="D3686" s="669" t="s">
        <v>402</v>
      </c>
      <c r="E3686" s="546">
        <v>656.18332899999996</v>
      </c>
    </row>
    <row r="3687" spans="2:5" x14ac:dyDescent="0.25">
      <c r="B3687" s="545">
        <v>4357</v>
      </c>
      <c r="C3687" s="545" t="s">
        <v>2273</v>
      </c>
      <c r="D3687" s="669" t="s">
        <v>402</v>
      </c>
      <c r="E3687" s="546">
        <v>656.20000300000004</v>
      </c>
    </row>
    <row r="3688" spans="2:5" x14ac:dyDescent="0.25">
      <c r="B3688" s="545">
        <v>4358</v>
      </c>
      <c r="C3688" s="545" t="s">
        <v>2484</v>
      </c>
      <c r="D3688" s="669" t="s">
        <v>406</v>
      </c>
      <c r="E3688" s="546">
        <v>665.17999299999997</v>
      </c>
    </row>
    <row r="3689" spans="2:5" x14ac:dyDescent="0.25">
      <c r="B3689" s="545">
        <v>4358</v>
      </c>
      <c r="C3689" s="545" t="s">
        <v>2484</v>
      </c>
      <c r="D3689" s="669" t="s">
        <v>402</v>
      </c>
      <c r="E3689" s="546">
        <v>665.17999299999997</v>
      </c>
    </row>
    <row r="3690" spans="2:5" x14ac:dyDescent="0.25">
      <c r="B3690" s="545">
        <v>4359</v>
      </c>
      <c r="C3690" s="545" t="s">
        <v>1565</v>
      </c>
      <c r="D3690" s="669" t="s">
        <v>406</v>
      </c>
      <c r="E3690" s="546">
        <v>624.4375</v>
      </c>
    </row>
    <row r="3691" spans="2:5" x14ac:dyDescent="0.25">
      <c r="B3691" s="545">
        <v>4359</v>
      </c>
      <c r="C3691" s="545" t="s">
        <v>1565</v>
      </c>
      <c r="D3691" s="669" t="s">
        <v>402</v>
      </c>
      <c r="E3691" s="546">
        <v>624.4375</v>
      </c>
    </row>
    <row r="3692" spans="2:5" x14ac:dyDescent="0.25">
      <c r="B3692" s="545">
        <v>4360</v>
      </c>
      <c r="C3692" s="545" t="s">
        <v>402</v>
      </c>
      <c r="D3692" s="669" t="s">
        <v>402</v>
      </c>
      <c r="E3692" s="546">
        <v>648.49443900000006</v>
      </c>
    </row>
    <row r="3693" spans="2:5" x14ac:dyDescent="0.25">
      <c r="B3693" s="545">
        <v>4361</v>
      </c>
      <c r="C3693" s="545" t="s">
        <v>4410</v>
      </c>
      <c r="D3693" s="669" t="s">
        <v>402</v>
      </c>
      <c r="E3693" s="546">
        <v>773.63334099999997</v>
      </c>
    </row>
    <row r="3694" spans="2:5" x14ac:dyDescent="0.25">
      <c r="B3694" s="545">
        <v>4362</v>
      </c>
      <c r="C3694" s="545" t="s">
        <v>3721</v>
      </c>
      <c r="D3694" s="669" t="s">
        <v>402</v>
      </c>
      <c r="E3694" s="546">
        <v>728.37143400000002</v>
      </c>
    </row>
    <row r="3695" spans="2:5" x14ac:dyDescent="0.25">
      <c r="B3695" s="545">
        <v>4363</v>
      </c>
      <c r="C3695" s="545" t="s">
        <v>2891</v>
      </c>
      <c r="D3695" s="669" t="s">
        <v>406</v>
      </c>
      <c r="E3695" s="546">
        <v>685.53846599999997</v>
      </c>
    </row>
    <row r="3696" spans="2:5" x14ac:dyDescent="0.25">
      <c r="B3696" s="545">
        <v>4364</v>
      </c>
      <c r="C3696" s="545" t="s">
        <v>6492</v>
      </c>
      <c r="D3696" s="669" t="s">
        <v>406</v>
      </c>
      <c r="E3696" s="546">
        <v>717.39999699999998</v>
      </c>
    </row>
    <row r="3697" spans="2:5" x14ac:dyDescent="0.25">
      <c r="B3697" s="545">
        <v>4365</v>
      </c>
      <c r="C3697" s="545" t="s">
        <v>6493</v>
      </c>
      <c r="D3697" s="669" t="s">
        <v>406</v>
      </c>
      <c r="E3697" s="546">
        <v>717.65882099999999</v>
      </c>
    </row>
    <row r="3698" spans="2:5" x14ac:dyDescent="0.25">
      <c r="B3698" s="545">
        <v>4366</v>
      </c>
      <c r="C3698" s="545" t="s">
        <v>7594</v>
      </c>
      <c r="D3698" s="669" t="s">
        <v>406</v>
      </c>
      <c r="E3698" s="546">
        <v>748.29998799999998</v>
      </c>
    </row>
    <row r="3699" spans="2:5" x14ac:dyDescent="0.25">
      <c r="B3699" s="545">
        <v>4367</v>
      </c>
      <c r="C3699" s="545" t="s">
        <v>3289</v>
      </c>
      <c r="D3699" s="669" t="s">
        <v>406</v>
      </c>
      <c r="E3699" s="546">
        <v>705.16667700000005</v>
      </c>
    </row>
    <row r="3700" spans="2:5" x14ac:dyDescent="0.25">
      <c r="B3700" s="545">
        <v>4368</v>
      </c>
      <c r="C3700" s="545" t="s">
        <v>3109</v>
      </c>
      <c r="D3700" s="669" t="s">
        <v>406</v>
      </c>
      <c r="E3700" s="546">
        <v>696.75</v>
      </c>
    </row>
    <row r="3701" spans="2:5" x14ac:dyDescent="0.25">
      <c r="B3701" s="545">
        <v>4369</v>
      </c>
      <c r="C3701" s="545" t="s">
        <v>7122</v>
      </c>
      <c r="D3701" s="669" t="s">
        <v>406</v>
      </c>
      <c r="E3701" s="546">
        <v>667.59997599999997</v>
      </c>
    </row>
    <row r="3702" spans="2:5" x14ac:dyDescent="0.25">
      <c r="B3702" s="545">
        <v>4370</v>
      </c>
      <c r="C3702" s="545" t="s">
        <v>2651</v>
      </c>
      <c r="D3702" s="669" t="s">
        <v>406</v>
      </c>
      <c r="E3702" s="546">
        <v>673.87999300000001</v>
      </c>
    </row>
    <row r="3703" spans="2:5" x14ac:dyDescent="0.25">
      <c r="B3703" s="545">
        <v>4371</v>
      </c>
      <c r="C3703" s="545" t="s">
        <v>2977</v>
      </c>
      <c r="D3703" s="669" t="s">
        <v>406</v>
      </c>
      <c r="E3703" s="546">
        <v>689.1875</v>
      </c>
    </row>
    <row r="3704" spans="2:5" x14ac:dyDescent="0.25">
      <c r="B3704" s="545">
        <v>4372</v>
      </c>
      <c r="C3704" s="545" t="s">
        <v>3792</v>
      </c>
      <c r="D3704" s="669" t="s">
        <v>406</v>
      </c>
      <c r="E3704" s="546">
        <v>732.20001200000002</v>
      </c>
    </row>
    <row r="3705" spans="2:5" x14ac:dyDescent="0.25">
      <c r="B3705" s="545">
        <v>4373</v>
      </c>
      <c r="C3705" s="545" t="s">
        <v>6576</v>
      </c>
      <c r="D3705" s="669" t="s">
        <v>406</v>
      </c>
      <c r="E3705" s="546">
        <v>685.80000800000005</v>
      </c>
    </row>
    <row r="3706" spans="2:5" x14ac:dyDescent="0.25">
      <c r="B3706" s="545">
        <v>4374</v>
      </c>
      <c r="C3706" s="545" t="s">
        <v>6847</v>
      </c>
      <c r="D3706" s="669" t="s">
        <v>406</v>
      </c>
      <c r="E3706" s="546">
        <v>684.08332299999995</v>
      </c>
    </row>
    <row r="3707" spans="2:5" x14ac:dyDescent="0.25">
      <c r="B3707" s="545">
        <v>4375</v>
      </c>
      <c r="C3707" s="545" t="s">
        <v>3166</v>
      </c>
      <c r="D3707" s="669" t="s">
        <v>406</v>
      </c>
      <c r="E3707" s="546">
        <v>699.59999400000004</v>
      </c>
    </row>
    <row r="3708" spans="2:5" x14ac:dyDescent="0.25">
      <c r="B3708" s="545">
        <v>4376</v>
      </c>
      <c r="C3708" s="545" t="s">
        <v>1920</v>
      </c>
      <c r="D3708" s="669" t="s">
        <v>406</v>
      </c>
      <c r="E3708" s="546">
        <v>698.02857300000005</v>
      </c>
    </row>
    <row r="3709" spans="2:5" x14ac:dyDescent="0.25">
      <c r="B3709" s="545">
        <v>4377</v>
      </c>
      <c r="C3709" s="545" t="s">
        <v>3429</v>
      </c>
      <c r="D3709" s="669" t="s">
        <v>406</v>
      </c>
      <c r="E3709" s="546">
        <v>712.44000200000005</v>
      </c>
    </row>
    <row r="3710" spans="2:5" x14ac:dyDescent="0.25">
      <c r="B3710" s="545">
        <v>4378</v>
      </c>
      <c r="C3710" s="545" t="s">
        <v>4082</v>
      </c>
      <c r="D3710" s="669" t="s">
        <v>406</v>
      </c>
      <c r="E3710" s="546">
        <v>750.11665900000003</v>
      </c>
    </row>
    <row r="3711" spans="2:5" x14ac:dyDescent="0.25">
      <c r="B3711" s="545">
        <v>4379</v>
      </c>
      <c r="C3711" s="545" t="s">
        <v>7531</v>
      </c>
      <c r="D3711" s="669" t="s">
        <v>406</v>
      </c>
      <c r="E3711" s="546">
        <v>739.18332899999996</v>
      </c>
    </row>
    <row r="3712" spans="2:5" x14ac:dyDescent="0.25">
      <c r="B3712" s="545">
        <v>4380</v>
      </c>
      <c r="C3712" s="545" t="s">
        <v>7401</v>
      </c>
      <c r="D3712" s="669" t="s">
        <v>406</v>
      </c>
      <c r="E3712" s="546">
        <v>781.85000600000001</v>
      </c>
    </row>
    <row r="3713" spans="2:5" x14ac:dyDescent="0.25">
      <c r="B3713" s="545">
        <v>4381</v>
      </c>
      <c r="C3713" s="545" t="s">
        <v>4211</v>
      </c>
      <c r="D3713" s="669" t="s">
        <v>406</v>
      </c>
      <c r="E3713" s="546">
        <v>758.30000500000006</v>
      </c>
    </row>
    <row r="3714" spans="2:5" x14ac:dyDescent="0.25">
      <c r="B3714" s="545">
        <v>4382</v>
      </c>
      <c r="C3714" s="545" t="s">
        <v>4079</v>
      </c>
      <c r="D3714" s="669" t="s">
        <v>406</v>
      </c>
      <c r="E3714" s="546">
        <v>749.97142699999995</v>
      </c>
    </row>
    <row r="3715" spans="2:5" x14ac:dyDescent="0.25">
      <c r="B3715" s="545">
        <v>4383</v>
      </c>
      <c r="C3715" s="545" t="s">
        <v>4105</v>
      </c>
      <c r="D3715" s="669" t="s">
        <v>406</v>
      </c>
      <c r="E3715" s="546">
        <v>751.05714599999999</v>
      </c>
    </row>
    <row r="3716" spans="2:5" x14ac:dyDescent="0.25">
      <c r="B3716" s="545">
        <v>4384</v>
      </c>
      <c r="C3716" s="545" t="s">
        <v>1713</v>
      </c>
      <c r="D3716" s="669" t="s">
        <v>406</v>
      </c>
      <c r="E3716" s="546">
        <v>632.75</v>
      </c>
    </row>
    <row r="3717" spans="2:5" x14ac:dyDescent="0.25">
      <c r="B3717" s="545">
        <v>4385</v>
      </c>
      <c r="C3717" s="545" t="s">
        <v>1854</v>
      </c>
      <c r="D3717" s="669" t="s">
        <v>406</v>
      </c>
      <c r="E3717" s="546">
        <v>638.13334099999997</v>
      </c>
    </row>
    <row r="3718" spans="2:5" x14ac:dyDescent="0.25">
      <c r="B3718" s="545">
        <v>4386</v>
      </c>
      <c r="C3718" s="545" t="s">
        <v>1509</v>
      </c>
      <c r="D3718" s="669" t="s">
        <v>406</v>
      </c>
      <c r="E3718" s="546">
        <v>621.06667100000004</v>
      </c>
    </row>
    <row r="3719" spans="2:5" x14ac:dyDescent="0.25">
      <c r="B3719" s="545">
        <v>4387</v>
      </c>
      <c r="C3719" s="545" t="s">
        <v>722</v>
      </c>
      <c r="D3719" s="669" t="s">
        <v>406</v>
      </c>
      <c r="E3719" s="546">
        <v>657.75262799999996</v>
      </c>
    </row>
    <row r="3720" spans="2:5" x14ac:dyDescent="0.25">
      <c r="B3720" s="545">
        <v>4388</v>
      </c>
      <c r="C3720" s="545" t="s">
        <v>7387</v>
      </c>
      <c r="D3720" s="669" t="s">
        <v>406</v>
      </c>
      <c r="E3720" s="546">
        <v>650.41333399999996</v>
      </c>
    </row>
    <row r="3721" spans="2:5" x14ac:dyDescent="0.25">
      <c r="B3721" s="545">
        <v>4389</v>
      </c>
      <c r="C3721" s="545" t="s">
        <v>1589</v>
      </c>
      <c r="D3721" s="669" t="s">
        <v>406</v>
      </c>
      <c r="E3721" s="546">
        <v>625.783997</v>
      </c>
    </row>
    <row r="3722" spans="2:5" x14ac:dyDescent="0.25">
      <c r="B3722" s="545">
        <v>4390</v>
      </c>
      <c r="C3722" s="545" t="s">
        <v>2735</v>
      </c>
      <c r="D3722" s="669" t="s">
        <v>406</v>
      </c>
      <c r="E3722" s="546">
        <v>677.45001200000002</v>
      </c>
    </row>
    <row r="3723" spans="2:5" x14ac:dyDescent="0.25">
      <c r="B3723" s="545">
        <v>4391</v>
      </c>
      <c r="C3723" s="545" t="s">
        <v>2674</v>
      </c>
      <c r="D3723" s="669" t="s">
        <v>406</v>
      </c>
      <c r="E3723" s="546">
        <v>674.85555699999998</v>
      </c>
    </row>
    <row r="3724" spans="2:5" x14ac:dyDescent="0.25">
      <c r="B3724" s="545">
        <v>4392</v>
      </c>
      <c r="C3724" s="545" t="s">
        <v>6974</v>
      </c>
      <c r="D3724" s="669" t="s">
        <v>406</v>
      </c>
      <c r="E3724" s="546">
        <v>676.60909800000002</v>
      </c>
    </row>
    <row r="3725" spans="2:5" x14ac:dyDescent="0.25">
      <c r="B3725" s="545">
        <v>4393</v>
      </c>
      <c r="C3725" s="545" t="s">
        <v>1820</v>
      </c>
      <c r="D3725" s="669" t="s">
        <v>406</v>
      </c>
      <c r="E3725" s="546">
        <v>636.759998</v>
      </c>
    </row>
    <row r="3726" spans="2:5" x14ac:dyDescent="0.25">
      <c r="B3726" s="545">
        <v>4394</v>
      </c>
      <c r="C3726" s="545" t="s">
        <v>1275</v>
      </c>
      <c r="D3726" s="669" t="s">
        <v>406</v>
      </c>
      <c r="E3726" s="546">
        <v>607.95001200000002</v>
      </c>
    </row>
    <row r="3727" spans="2:5" x14ac:dyDescent="0.25">
      <c r="B3727" s="545">
        <v>4395</v>
      </c>
      <c r="C3727" s="545" t="s">
        <v>2010</v>
      </c>
      <c r="D3727" s="669" t="s">
        <v>406</v>
      </c>
      <c r="E3727" s="546">
        <v>643.70000200000004</v>
      </c>
    </row>
    <row r="3728" spans="2:5" x14ac:dyDescent="0.25">
      <c r="B3728" s="545">
        <v>4396</v>
      </c>
      <c r="C3728" s="545" t="s">
        <v>1630</v>
      </c>
      <c r="D3728" s="669" t="s">
        <v>406</v>
      </c>
      <c r="E3728" s="546">
        <v>627.93999599999995</v>
      </c>
    </row>
    <row r="3729" spans="2:5" x14ac:dyDescent="0.25">
      <c r="B3729" s="545">
        <v>4397</v>
      </c>
      <c r="C3729" s="545" t="s">
        <v>1736</v>
      </c>
      <c r="D3729" s="669" t="s">
        <v>406</v>
      </c>
      <c r="E3729" s="546">
        <v>633.69374500000004</v>
      </c>
    </row>
    <row r="3730" spans="2:5" x14ac:dyDescent="0.25">
      <c r="B3730" s="545">
        <v>4398</v>
      </c>
      <c r="C3730" s="545" t="s">
        <v>1885</v>
      </c>
      <c r="D3730" s="669" t="s">
        <v>406</v>
      </c>
      <c r="E3730" s="546">
        <v>639.42500299999995</v>
      </c>
    </row>
    <row r="3731" spans="2:5" x14ac:dyDescent="0.25">
      <c r="B3731" s="545">
        <v>4399</v>
      </c>
      <c r="C3731" s="545" t="s">
        <v>2905</v>
      </c>
      <c r="D3731" s="669" t="s">
        <v>406</v>
      </c>
      <c r="E3731" s="546">
        <v>686.07499700000005</v>
      </c>
    </row>
    <row r="3732" spans="2:5" x14ac:dyDescent="0.25">
      <c r="B3732" s="545">
        <v>4400</v>
      </c>
      <c r="C3732" s="545" t="s">
        <v>2593</v>
      </c>
      <c r="D3732" s="669" t="s">
        <v>406</v>
      </c>
      <c r="E3732" s="546">
        <v>670.34997599999997</v>
      </c>
    </row>
    <row r="3733" spans="2:5" x14ac:dyDescent="0.25">
      <c r="B3733" s="545">
        <v>4401</v>
      </c>
      <c r="C3733" s="545" t="s">
        <v>2380</v>
      </c>
      <c r="D3733" s="669" t="s">
        <v>406</v>
      </c>
      <c r="E3733" s="546">
        <v>660.875</v>
      </c>
    </row>
    <row r="3734" spans="2:5" x14ac:dyDescent="0.25">
      <c r="B3734" s="545">
        <v>4402</v>
      </c>
      <c r="C3734" s="545" t="s">
        <v>1616</v>
      </c>
      <c r="D3734" s="669" t="s">
        <v>406</v>
      </c>
      <c r="E3734" s="546">
        <v>627.37272499999995</v>
      </c>
    </row>
    <row r="3735" spans="2:5" x14ac:dyDescent="0.25">
      <c r="B3735" s="545">
        <v>4403</v>
      </c>
      <c r="C3735" s="545" t="s">
        <v>2301</v>
      </c>
      <c r="D3735" s="669" t="s">
        <v>406</v>
      </c>
      <c r="E3735" s="546">
        <v>657.35554999999999</v>
      </c>
    </row>
    <row r="3736" spans="2:5" x14ac:dyDescent="0.25">
      <c r="B3736" s="545">
        <v>4404</v>
      </c>
      <c r="C3736" s="545" t="s">
        <v>2168</v>
      </c>
      <c r="D3736" s="669" t="s">
        <v>406</v>
      </c>
      <c r="E3736" s="546">
        <v>651.677775</v>
      </c>
    </row>
    <row r="3737" spans="2:5" x14ac:dyDescent="0.25">
      <c r="B3737" s="545">
        <v>4405</v>
      </c>
      <c r="C3737" s="545" t="s">
        <v>2663</v>
      </c>
      <c r="D3737" s="669" t="s">
        <v>406</v>
      </c>
      <c r="E3737" s="546">
        <v>674.35714299999995</v>
      </c>
    </row>
    <row r="3738" spans="2:5" x14ac:dyDescent="0.25">
      <c r="B3738" s="545">
        <v>4406</v>
      </c>
      <c r="C3738" s="545" t="s">
        <v>2917</v>
      </c>
      <c r="D3738" s="669" t="s">
        <v>406</v>
      </c>
      <c r="E3738" s="546">
        <v>686.44998799999996</v>
      </c>
    </row>
    <row r="3739" spans="2:5" x14ac:dyDescent="0.25">
      <c r="B3739" s="545">
        <v>4407</v>
      </c>
      <c r="C3739" s="545" t="s">
        <v>3383</v>
      </c>
      <c r="D3739" s="669" t="s">
        <v>406</v>
      </c>
      <c r="E3739" s="546">
        <v>709.91999499999997</v>
      </c>
    </row>
    <row r="3740" spans="2:5" x14ac:dyDescent="0.25">
      <c r="B3740" s="545">
        <v>4408</v>
      </c>
      <c r="C3740" s="545" t="s">
        <v>6644</v>
      </c>
      <c r="D3740" s="669" t="s">
        <v>406</v>
      </c>
      <c r="E3740" s="546">
        <v>680.08000500000003</v>
      </c>
    </row>
    <row r="3741" spans="2:5" x14ac:dyDescent="0.25">
      <c r="B3741" s="545">
        <v>4409</v>
      </c>
      <c r="C3741" s="545" t="s">
        <v>2773</v>
      </c>
      <c r="D3741" s="669" t="s">
        <v>406</v>
      </c>
      <c r="E3741" s="546">
        <v>679.44000200000005</v>
      </c>
    </row>
    <row r="3742" spans="2:5" x14ac:dyDescent="0.25">
      <c r="B3742" s="545">
        <v>4410</v>
      </c>
      <c r="C3742" s="545" t="s">
        <v>3162</v>
      </c>
      <c r="D3742" s="669" t="s">
        <v>406</v>
      </c>
      <c r="E3742" s="546">
        <v>699.52500899999995</v>
      </c>
    </row>
    <row r="3743" spans="2:5" x14ac:dyDescent="0.25">
      <c r="B3743" s="545">
        <v>4411</v>
      </c>
      <c r="C3743" s="545" t="s">
        <v>6876</v>
      </c>
      <c r="D3743" s="669" t="s">
        <v>406</v>
      </c>
      <c r="E3743" s="546">
        <v>680.72857699999997</v>
      </c>
    </row>
    <row r="3744" spans="2:5" x14ac:dyDescent="0.25">
      <c r="B3744" s="545">
        <v>4412</v>
      </c>
      <c r="C3744" s="545" t="s">
        <v>6645</v>
      </c>
      <c r="D3744" s="669" t="s">
        <v>406</v>
      </c>
      <c r="E3744" s="546">
        <v>753.69686899999999</v>
      </c>
    </row>
    <row r="3745" spans="2:5" x14ac:dyDescent="0.25">
      <c r="B3745" s="545">
        <v>4451</v>
      </c>
      <c r="C3745" s="545" t="s">
        <v>6778</v>
      </c>
      <c r="D3745" s="669" t="s">
        <v>403</v>
      </c>
      <c r="E3745" s="546">
        <v>826.635716</v>
      </c>
    </row>
    <row r="3746" spans="2:5" x14ac:dyDescent="0.25">
      <c r="B3746" s="545">
        <v>4452</v>
      </c>
      <c r="C3746" s="545" t="s">
        <v>6777</v>
      </c>
      <c r="D3746" s="669" t="s">
        <v>403</v>
      </c>
      <c r="E3746" s="546">
        <v>792.63750500000003</v>
      </c>
    </row>
    <row r="3747" spans="2:5" x14ac:dyDescent="0.25">
      <c r="B3747" s="545">
        <v>4453</v>
      </c>
      <c r="C3747" s="545" t="s">
        <v>7116</v>
      </c>
      <c r="D3747" s="669" t="s">
        <v>403</v>
      </c>
      <c r="E3747" s="546">
        <v>744.55001800000002</v>
      </c>
    </row>
    <row r="3748" spans="2:5" x14ac:dyDescent="0.25">
      <c r="B3748" s="545">
        <v>4454</v>
      </c>
      <c r="C3748" s="545" t="s">
        <v>4315</v>
      </c>
      <c r="D3748" s="669" t="s">
        <v>403</v>
      </c>
      <c r="E3748" s="546">
        <v>765.80908799999997</v>
      </c>
    </row>
    <row r="3749" spans="2:5" x14ac:dyDescent="0.25">
      <c r="B3749" s="545">
        <v>4455</v>
      </c>
      <c r="C3749" s="545" t="s">
        <v>3515</v>
      </c>
      <c r="D3749" s="669" t="s">
        <v>403</v>
      </c>
      <c r="E3749" s="546">
        <v>717.11333400000001</v>
      </c>
    </row>
    <row r="3750" spans="2:5" x14ac:dyDescent="0.25">
      <c r="B3750" s="545">
        <v>4456</v>
      </c>
      <c r="C3750" s="545" t="s">
        <v>2563</v>
      </c>
      <c r="D3750" s="669" t="s">
        <v>403</v>
      </c>
      <c r="E3750" s="546">
        <v>668.91110600000002</v>
      </c>
    </row>
    <row r="3751" spans="2:5" x14ac:dyDescent="0.25">
      <c r="B3751" s="545">
        <v>4457</v>
      </c>
      <c r="C3751" s="545" t="s">
        <v>3191</v>
      </c>
      <c r="D3751" s="669" t="s">
        <v>403</v>
      </c>
      <c r="E3751" s="546">
        <v>700.49999500000001</v>
      </c>
    </row>
    <row r="3752" spans="2:5" x14ac:dyDescent="0.25">
      <c r="B3752" s="545">
        <v>4458</v>
      </c>
      <c r="C3752" s="545" t="s">
        <v>2979</v>
      </c>
      <c r="D3752" s="669" t="s">
        <v>403</v>
      </c>
      <c r="E3752" s="546">
        <v>689.24445900000001</v>
      </c>
    </row>
    <row r="3753" spans="2:5" x14ac:dyDescent="0.25">
      <c r="B3753" s="545">
        <v>4459</v>
      </c>
      <c r="C3753" s="545" t="s">
        <v>2277</v>
      </c>
      <c r="D3753" s="669" t="s">
        <v>403</v>
      </c>
      <c r="E3753" s="546">
        <v>656.34999100000005</v>
      </c>
    </row>
    <row r="3754" spans="2:5" x14ac:dyDescent="0.25">
      <c r="B3754" s="545">
        <v>4460</v>
      </c>
      <c r="C3754" s="545" t="s">
        <v>6841</v>
      </c>
      <c r="D3754" s="669" t="s">
        <v>403</v>
      </c>
      <c r="E3754" s="546">
        <v>655.48095999999998</v>
      </c>
    </row>
    <row r="3755" spans="2:5" x14ac:dyDescent="0.25">
      <c r="B3755" s="545">
        <v>4461</v>
      </c>
      <c r="C3755" s="545" t="s">
        <v>2483</v>
      </c>
      <c r="D3755" s="669" t="s">
        <v>403</v>
      </c>
      <c r="E3755" s="546">
        <v>665.09999100000005</v>
      </c>
    </row>
    <row r="3756" spans="2:5" x14ac:dyDescent="0.25">
      <c r="B3756" s="545">
        <v>4462</v>
      </c>
      <c r="C3756" s="545" t="s">
        <v>2439</v>
      </c>
      <c r="D3756" s="669" t="s">
        <v>403</v>
      </c>
      <c r="E3756" s="546">
        <v>663.79998799999998</v>
      </c>
    </row>
    <row r="3757" spans="2:5" x14ac:dyDescent="0.25">
      <c r="B3757" s="545">
        <v>4463</v>
      </c>
      <c r="C3757" s="545" t="s">
        <v>7511</v>
      </c>
      <c r="D3757" s="669" t="s">
        <v>403</v>
      </c>
      <c r="E3757" s="546">
        <v>668.33845899999994</v>
      </c>
    </row>
    <row r="3758" spans="2:5" x14ac:dyDescent="0.25">
      <c r="B3758" s="545">
        <v>4464</v>
      </c>
      <c r="C3758" s="545" t="s">
        <v>2416</v>
      </c>
      <c r="D3758" s="669" t="s">
        <v>403</v>
      </c>
      <c r="E3758" s="546">
        <v>663.04998799999998</v>
      </c>
    </row>
    <row r="3759" spans="2:5" x14ac:dyDescent="0.25">
      <c r="B3759" s="545">
        <v>4465</v>
      </c>
      <c r="C3759" s="545" t="s">
        <v>3037</v>
      </c>
      <c r="D3759" s="669" t="s">
        <v>403</v>
      </c>
      <c r="E3759" s="546">
        <v>692.66923599999996</v>
      </c>
    </row>
    <row r="3760" spans="2:5" x14ac:dyDescent="0.25">
      <c r="B3760" s="545">
        <v>4466</v>
      </c>
      <c r="C3760" s="545" t="s">
        <v>4883</v>
      </c>
      <c r="D3760" s="669" t="s">
        <v>403</v>
      </c>
      <c r="E3760" s="546">
        <v>809.95417499999996</v>
      </c>
    </row>
    <row r="3761" spans="2:5" x14ac:dyDescent="0.25">
      <c r="B3761" s="545">
        <v>4467</v>
      </c>
      <c r="C3761" s="545" t="s">
        <v>4896</v>
      </c>
      <c r="D3761" s="669" t="s">
        <v>403</v>
      </c>
      <c r="E3761" s="546">
        <v>811.80001800000002</v>
      </c>
    </row>
    <row r="3762" spans="2:5" x14ac:dyDescent="0.25">
      <c r="B3762" s="545">
        <v>4468</v>
      </c>
      <c r="C3762" s="545" t="s">
        <v>4385</v>
      </c>
      <c r="D3762" s="669" t="s">
        <v>403</v>
      </c>
      <c r="E3762" s="546">
        <v>771.06249200000002</v>
      </c>
    </row>
    <row r="3763" spans="2:5" x14ac:dyDescent="0.25">
      <c r="B3763" s="545">
        <v>4469</v>
      </c>
      <c r="C3763" s="545" t="s">
        <v>3460</v>
      </c>
      <c r="D3763" s="669" t="s">
        <v>403</v>
      </c>
      <c r="E3763" s="546">
        <v>763.23333100000002</v>
      </c>
    </row>
    <row r="3764" spans="2:5" x14ac:dyDescent="0.25">
      <c r="B3764" s="545">
        <v>4470</v>
      </c>
      <c r="C3764" s="545" t="s">
        <v>4195</v>
      </c>
      <c r="D3764" s="669" t="s">
        <v>403</v>
      </c>
      <c r="E3764" s="546">
        <v>757.17142200000001</v>
      </c>
    </row>
    <row r="3765" spans="2:5" x14ac:dyDescent="0.25">
      <c r="B3765" s="545">
        <v>4471</v>
      </c>
      <c r="C3765" s="545" t="s">
        <v>3903</v>
      </c>
      <c r="D3765" s="669" t="s">
        <v>403</v>
      </c>
      <c r="E3765" s="546">
        <v>739.32499700000005</v>
      </c>
    </row>
    <row r="3766" spans="2:5" x14ac:dyDescent="0.25">
      <c r="B3766" s="545">
        <v>4472</v>
      </c>
      <c r="C3766" s="545" t="s">
        <v>7584</v>
      </c>
      <c r="D3766" s="669" t="s">
        <v>403</v>
      </c>
      <c r="E3766" s="546">
        <v>693.15713900000003</v>
      </c>
    </row>
    <row r="3767" spans="2:5" x14ac:dyDescent="0.25">
      <c r="B3767" s="545">
        <v>4473</v>
      </c>
      <c r="C3767" s="545" t="s">
        <v>2366</v>
      </c>
      <c r="D3767" s="669" t="s">
        <v>403</v>
      </c>
      <c r="E3767" s="546">
        <v>660.42500299999995</v>
      </c>
    </row>
    <row r="3768" spans="2:5" x14ac:dyDescent="0.25">
      <c r="B3768" s="545">
        <v>4474</v>
      </c>
      <c r="C3768" s="545" t="s">
        <v>3459</v>
      </c>
      <c r="D3768" s="669" t="s">
        <v>403</v>
      </c>
      <c r="E3768" s="546">
        <v>713.75454400000001</v>
      </c>
    </row>
    <row r="3769" spans="2:5" x14ac:dyDescent="0.25">
      <c r="B3769" s="545">
        <v>4475</v>
      </c>
      <c r="C3769" s="545" t="s">
        <v>6915</v>
      </c>
      <c r="D3769" s="669" t="s">
        <v>403</v>
      </c>
      <c r="E3769" s="546">
        <v>698.34667200000001</v>
      </c>
    </row>
    <row r="3770" spans="2:5" x14ac:dyDescent="0.25">
      <c r="B3770" s="545">
        <v>4476</v>
      </c>
      <c r="C3770" s="545" t="s">
        <v>3163</v>
      </c>
      <c r="D3770" s="669" t="s">
        <v>403</v>
      </c>
      <c r="E3770" s="546">
        <v>699.57500700000003</v>
      </c>
    </row>
    <row r="3771" spans="2:5" x14ac:dyDescent="0.25">
      <c r="B3771" s="545">
        <v>4477</v>
      </c>
      <c r="C3771" s="545" t="s">
        <v>4029</v>
      </c>
      <c r="D3771" s="669" t="s">
        <v>403</v>
      </c>
      <c r="E3771" s="546">
        <v>832.57498199999998</v>
      </c>
    </row>
    <row r="3772" spans="2:5" x14ac:dyDescent="0.25">
      <c r="B3772" s="545">
        <v>4478</v>
      </c>
      <c r="C3772" s="545" t="s">
        <v>4594</v>
      </c>
      <c r="D3772" s="669" t="s">
        <v>403</v>
      </c>
      <c r="E3772" s="546">
        <v>787.54444699999999</v>
      </c>
    </row>
    <row r="3773" spans="2:5" x14ac:dyDescent="0.25">
      <c r="B3773" s="545">
        <v>4479</v>
      </c>
      <c r="C3773" s="545" t="s">
        <v>4282</v>
      </c>
      <c r="D3773" s="669" t="s">
        <v>403</v>
      </c>
      <c r="E3773" s="546">
        <v>763.49998800000003</v>
      </c>
    </row>
    <row r="3774" spans="2:5" x14ac:dyDescent="0.25">
      <c r="B3774" s="545">
        <v>4480</v>
      </c>
      <c r="C3774" s="545" t="s">
        <v>3865</v>
      </c>
      <c r="D3774" s="669" t="s">
        <v>403</v>
      </c>
      <c r="E3774" s="546">
        <v>736.59999300000004</v>
      </c>
    </row>
    <row r="3775" spans="2:5" x14ac:dyDescent="0.25">
      <c r="B3775" s="545">
        <v>4481</v>
      </c>
      <c r="C3775" s="545" t="s">
        <v>3510</v>
      </c>
      <c r="D3775" s="669" t="s">
        <v>403</v>
      </c>
      <c r="E3775" s="546">
        <v>716.95000200000004</v>
      </c>
    </row>
    <row r="3776" spans="2:5" x14ac:dyDescent="0.25">
      <c r="B3776" s="545">
        <v>4482</v>
      </c>
      <c r="C3776" s="545" t="s">
        <v>7357</v>
      </c>
      <c r="D3776" s="669" t="s">
        <v>403</v>
      </c>
      <c r="E3776" s="546">
        <v>730.22857199999999</v>
      </c>
    </row>
    <row r="3777" spans="2:5" x14ac:dyDescent="0.25">
      <c r="B3777" s="545">
        <v>4483</v>
      </c>
      <c r="C3777" s="545" t="s">
        <v>6854</v>
      </c>
      <c r="D3777" s="669" t="s">
        <v>403</v>
      </c>
      <c r="E3777" s="546">
        <v>729.72307899999998</v>
      </c>
    </row>
    <row r="3778" spans="2:5" x14ac:dyDescent="0.25">
      <c r="B3778" s="545">
        <v>4484</v>
      </c>
      <c r="C3778" s="545" t="s">
        <v>3021</v>
      </c>
      <c r="D3778" s="669" t="s">
        <v>403</v>
      </c>
      <c r="E3778" s="546">
        <v>691.97857699999997</v>
      </c>
    </row>
    <row r="3779" spans="2:5" x14ac:dyDescent="0.25">
      <c r="B3779" s="545">
        <v>4485</v>
      </c>
      <c r="C3779" s="545" t="s">
        <v>7507</v>
      </c>
      <c r="D3779" s="669" t="s">
        <v>403</v>
      </c>
      <c r="E3779" s="546">
        <v>668.98334799999998</v>
      </c>
    </row>
    <row r="3780" spans="2:5" x14ac:dyDescent="0.25">
      <c r="B3780" s="545">
        <v>4486</v>
      </c>
      <c r="C3780" s="545" t="s">
        <v>2916</v>
      </c>
      <c r="D3780" s="669" t="s">
        <v>403</v>
      </c>
      <c r="E3780" s="546">
        <v>686.42222100000004</v>
      </c>
    </row>
    <row r="3781" spans="2:5" x14ac:dyDescent="0.25">
      <c r="B3781" s="545">
        <v>4487</v>
      </c>
      <c r="C3781" s="545" t="s">
        <v>3239</v>
      </c>
      <c r="D3781" s="669" t="s">
        <v>403</v>
      </c>
      <c r="E3781" s="546">
        <v>702.90000399999997</v>
      </c>
    </row>
    <row r="3782" spans="2:5" x14ac:dyDescent="0.25">
      <c r="B3782" s="545">
        <v>4488</v>
      </c>
      <c r="C3782" s="545" t="s">
        <v>3337</v>
      </c>
      <c r="D3782" s="669" t="s">
        <v>403</v>
      </c>
      <c r="E3782" s="546">
        <v>707.65</v>
      </c>
    </row>
    <row r="3783" spans="2:5" x14ac:dyDescent="0.25">
      <c r="B3783" s="545">
        <v>4489</v>
      </c>
      <c r="C3783" s="545" t="s">
        <v>2904</v>
      </c>
      <c r="D3783" s="669" t="s">
        <v>403</v>
      </c>
      <c r="E3783" s="546">
        <v>686.06667100000004</v>
      </c>
    </row>
    <row r="3784" spans="2:5" x14ac:dyDescent="0.25">
      <c r="B3784" s="545">
        <v>4490</v>
      </c>
      <c r="C3784" s="545" t="s">
        <v>2443</v>
      </c>
      <c r="D3784" s="669" t="s">
        <v>403</v>
      </c>
      <c r="E3784" s="546">
        <v>663.94643099999996</v>
      </c>
    </row>
    <row r="3785" spans="2:5" x14ac:dyDescent="0.25">
      <c r="B3785" s="545">
        <v>4491</v>
      </c>
      <c r="C3785" s="545" t="s">
        <v>1892</v>
      </c>
      <c r="D3785" s="669" t="s">
        <v>403</v>
      </c>
      <c r="E3785" s="546">
        <v>639.59997599999997</v>
      </c>
    </row>
    <row r="3786" spans="2:5" x14ac:dyDescent="0.25">
      <c r="B3786" s="545">
        <v>4492</v>
      </c>
      <c r="C3786" s="545" t="s">
        <v>2122</v>
      </c>
      <c r="D3786" s="669" t="s">
        <v>403</v>
      </c>
      <c r="E3786" s="546">
        <v>649.53889000000004</v>
      </c>
    </row>
    <row r="3787" spans="2:5" x14ac:dyDescent="0.25">
      <c r="B3787" s="545">
        <v>4493</v>
      </c>
      <c r="C3787" s="545" t="s">
        <v>1198</v>
      </c>
      <c r="D3787" s="669" t="s">
        <v>403</v>
      </c>
      <c r="E3787" s="546">
        <v>679.28749100000005</v>
      </c>
    </row>
    <row r="3788" spans="2:5" x14ac:dyDescent="0.25">
      <c r="B3788" s="545">
        <v>4494</v>
      </c>
      <c r="C3788" s="545" t="s">
        <v>1840</v>
      </c>
      <c r="D3788" s="669" t="s">
        <v>403</v>
      </c>
      <c r="E3788" s="546">
        <v>637.375</v>
      </c>
    </row>
    <row r="3789" spans="2:5" x14ac:dyDescent="0.25">
      <c r="B3789" s="545">
        <v>4495</v>
      </c>
      <c r="C3789" s="545" t="s">
        <v>3739</v>
      </c>
      <c r="D3789" s="669" t="s">
        <v>403</v>
      </c>
      <c r="E3789" s="546">
        <v>729.12307999999996</v>
      </c>
    </row>
    <row r="3790" spans="2:5" x14ac:dyDescent="0.25">
      <c r="B3790" s="545">
        <v>4496</v>
      </c>
      <c r="C3790" s="545" t="s">
        <v>3312</v>
      </c>
      <c r="D3790" s="669" t="s">
        <v>403</v>
      </c>
      <c r="E3790" s="546">
        <v>706.64616000000001</v>
      </c>
    </row>
    <row r="3791" spans="2:5" x14ac:dyDescent="0.25">
      <c r="B3791" s="545">
        <v>4497</v>
      </c>
      <c r="C3791" s="545" t="s">
        <v>3184</v>
      </c>
      <c r="D3791" s="669" t="s">
        <v>403</v>
      </c>
      <c r="E3791" s="546">
        <v>700.29091000000005</v>
      </c>
    </row>
    <row r="3792" spans="2:5" x14ac:dyDescent="0.25">
      <c r="B3792" s="545">
        <v>4498</v>
      </c>
      <c r="C3792" s="545" t="s">
        <v>1776</v>
      </c>
      <c r="D3792" s="669" t="s">
        <v>403</v>
      </c>
      <c r="E3792" s="546">
        <v>718.01110200000005</v>
      </c>
    </row>
    <row r="3793" spans="2:5" x14ac:dyDescent="0.25">
      <c r="B3793" s="545">
        <v>4499</v>
      </c>
      <c r="C3793" s="545" t="s">
        <v>2767</v>
      </c>
      <c r="D3793" s="669" t="s">
        <v>403</v>
      </c>
      <c r="E3793" s="546">
        <v>679.077766</v>
      </c>
    </row>
    <row r="3794" spans="2:5" x14ac:dyDescent="0.25">
      <c r="B3794" s="545">
        <v>4500</v>
      </c>
      <c r="C3794" s="545" t="s">
        <v>7104</v>
      </c>
      <c r="D3794" s="669" t="s">
        <v>403</v>
      </c>
      <c r="E3794" s="546">
        <v>670.75556099999994</v>
      </c>
    </row>
    <row r="3795" spans="2:5" x14ac:dyDescent="0.25">
      <c r="B3795" s="545">
        <v>4501</v>
      </c>
      <c r="C3795" s="545" t="s">
        <v>2516</v>
      </c>
      <c r="D3795" s="669" t="s">
        <v>403</v>
      </c>
      <c r="E3795" s="546">
        <v>666.64999399999999</v>
      </c>
    </row>
    <row r="3796" spans="2:5" x14ac:dyDescent="0.25">
      <c r="B3796" s="545">
        <v>4502</v>
      </c>
      <c r="C3796" s="545" t="s">
        <v>3153</v>
      </c>
      <c r="D3796" s="669" t="s">
        <v>403</v>
      </c>
      <c r="E3796" s="546">
        <v>699.12222599999996</v>
      </c>
    </row>
    <row r="3797" spans="2:5" x14ac:dyDescent="0.25">
      <c r="B3797" s="545">
        <v>4503</v>
      </c>
      <c r="C3797" s="545" t="s">
        <v>2599</v>
      </c>
      <c r="D3797" s="669" t="s">
        <v>403</v>
      </c>
      <c r="E3797" s="546">
        <v>717.28888600000005</v>
      </c>
    </row>
    <row r="3798" spans="2:5" x14ac:dyDescent="0.25">
      <c r="B3798" s="545">
        <v>4504</v>
      </c>
      <c r="C3798" s="545" t="s">
        <v>6767</v>
      </c>
      <c r="D3798" s="669" t="s">
        <v>403</v>
      </c>
      <c r="E3798" s="546">
        <v>735.05998499999998</v>
      </c>
    </row>
    <row r="3799" spans="2:5" x14ac:dyDescent="0.25">
      <c r="B3799" s="545">
        <v>4505</v>
      </c>
      <c r="C3799" s="545" t="s">
        <v>3860</v>
      </c>
      <c r="D3799" s="669" t="s">
        <v>403</v>
      </c>
      <c r="E3799" s="546">
        <v>736.21111399999995</v>
      </c>
    </row>
    <row r="3800" spans="2:5" x14ac:dyDescent="0.25">
      <c r="B3800" s="545">
        <v>4506</v>
      </c>
      <c r="C3800" s="545" t="s">
        <v>4716</v>
      </c>
      <c r="D3800" s="669" t="s">
        <v>403</v>
      </c>
      <c r="E3800" s="546">
        <v>797.50000499999999</v>
      </c>
    </row>
    <row r="3801" spans="2:5" x14ac:dyDescent="0.25">
      <c r="B3801" s="545">
        <v>4507</v>
      </c>
      <c r="C3801" s="545" t="s">
        <v>4363</v>
      </c>
      <c r="D3801" s="669" t="s">
        <v>403</v>
      </c>
      <c r="E3801" s="546">
        <v>769.03333999999995</v>
      </c>
    </row>
    <row r="3802" spans="2:5" x14ac:dyDescent="0.25">
      <c r="B3802" s="545">
        <v>4508</v>
      </c>
      <c r="C3802" s="545" t="s">
        <v>3541</v>
      </c>
      <c r="D3802" s="669" t="s">
        <v>403</v>
      </c>
      <c r="E3802" s="546">
        <v>718.41874700000005</v>
      </c>
    </row>
    <row r="3803" spans="2:5" x14ac:dyDescent="0.25">
      <c r="B3803" s="545">
        <v>4509</v>
      </c>
      <c r="C3803" s="545" t="s">
        <v>3769</v>
      </c>
      <c r="D3803" s="669" t="s">
        <v>403</v>
      </c>
      <c r="E3803" s="546">
        <v>731.13635799999997</v>
      </c>
    </row>
    <row r="3804" spans="2:5" x14ac:dyDescent="0.25">
      <c r="B3804" s="545">
        <v>4510</v>
      </c>
      <c r="C3804" s="545" t="s">
        <v>2910</v>
      </c>
      <c r="D3804" s="669" t="s">
        <v>403</v>
      </c>
      <c r="E3804" s="546">
        <v>686.23333200000002</v>
      </c>
    </row>
    <row r="3805" spans="2:5" x14ac:dyDescent="0.25">
      <c r="B3805" s="545">
        <v>4511</v>
      </c>
      <c r="C3805" s="545" t="s">
        <v>3156</v>
      </c>
      <c r="D3805" s="669" t="s">
        <v>403</v>
      </c>
      <c r="E3805" s="546">
        <v>699.25714100000005</v>
      </c>
    </row>
    <row r="3806" spans="2:5" x14ac:dyDescent="0.25">
      <c r="B3806" s="545">
        <v>4512</v>
      </c>
      <c r="C3806" s="545" t="s">
        <v>2464</v>
      </c>
      <c r="D3806" s="669" t="s">
        <v>403</v>
      </c>
      <c r="E3806" s="546">
        <v>664.66667700000005</v>
      </c>
    </row>
    <row r="3807" spans="2:5" x14ac:dyDescent="0.25">
      <c r="B3807" s="545">
        <v>4513</v>
      </c>
      <c r="C3807" s="545" t="s">
        <v>2756</v>
      </c>
      <c r="D3807" s="669" t="s">
        <v>403</v>
      </c>
      <c r="E3807" s="546">
        <v>678.63332100000002</v>
      </c>
    </row>
    <row r="3808" spans="2:5" x14ac:dyDescent="0.25">
      <c r="B3808" s="545">
        <v>4514</v>
      </c>
      <c r="C3808" s="545" t="s">
        <v>7058</v>
      </c>
      <c r="D3808" s="669" t="s">
        <v>400</v>
      </c>
      <c r="E3808" s="546">
        <v>651.15999799999997</v>
      </c>
    </row>
    <row r="3809" spans="2:5" x14ac:dyDescent="0.25">
      <c r="B3809" s="545">
        <v>4515</v>
      </c>
      <c r="C3809" s="545" t="s">
        <v>7530</v>
      </c>
      <c r="D3809" s="669" t="s">
        <v>400</v>
      </c>
      <c r="E3809" s="546">
        <v>640.46249399999999</v>
      </c>
    </row>
    <row r="3810" spans="2:5" x14ac:dyDescent="0.25">
      <c r="B3810" s="545">
        <v>4515</v>
      </c>
      <c r="C3810" s="545" t="s">
        <v>7530</v>
      </c>
      <c r="D3810" s="669" t="s">
        <v>403</v>
      </c>
      <c r="E3810" s="546">
        <v>640.46249399999999</v>
      </c>
    </row>
    <row r="3811" spans="2:5" x14ac:dyDescent="0.25">
      <c r="B3811" s="545">
        <v>4516</v>
      </c>
      <c r="C3811" s="545" t="s">
        <v>2133</v>
      </c>
      <c r="D3811" s="669" t="s">
        <v>400</v>
      </c>
      <c r="E3811" s="546">
        <v>650.08333300000004</v>
      </c>
    </row>
    <row r="3812" spans="2:5" x14ac:dyDescent="0.25">
      <c r="B3812" s="545">
        <v>4517</v>
      </c>
      <c r="C3812" s="545" t="s">
        <v>400</v>
      </c>
      <c r="D3812" s="669" t="s">
        <v>400</v>
      </c>
      <c r="E3812" s="546">
        <v>639.879999</v>
      </c>
    </row>
    <row r="3813" spans="2:5" x14ac:dyDescent="0.25">
      <c r="B3813" s="545">
        <v>4518</v>
      </c>
      <c r="C3813" s="545" t="s">
        <v>2118</v>
      </c>
      <c r="D3813" s="669" t="s">
        <v>400</v>
      </c>
      <c r="E3813" s="546">
        <v>649.40002400000003</v>
      </c>
    </row>
    <row r="3814" spans="2:5" x14ac:dyDescent="0.25">
      <c r="B3814" s="545">
        <v>4519</v>
      </c>
      <c r="C3814" s="545" t="s">
        <v>1562</v>
      </c>
      <c r="D3814" s="669" t="s">
        <v>403</v>
      </c>
      <c r="E3814" s="546">
        <v>695.56363699999997</v>
      </c>
    </row>
    <row r="3815" spans="2:5" x14ac:dyDescent="0.25">
      <c r="B3815" s="545">
        <v>4520</v>
      </c>
      <c r="C3815" s="545" t="s">
        <v>2489</v>
      </c>
      <c r="D3815" s="669" t="s">
        <v>403</v>
      </c>
      <c r="E3815" s="546">
        <v>665.36665900000003</v>
      </c>
    </row>
    <row r="3816" spans="2:5" x14ac:dyDescent="0.25">
      <c r="B3816" s="545">
        <v>4521</v>
      </c>
      <c r="C3816" s="545" t="s">
        <v>2921</v>
      </c>
      <c r="D3816" s="669" t="s">
        <v>403</v>
      </c>
      <c r="E3816" s="546">
        <v>686.614284</v>
      </c>
    </row>
    <row r="3817" spans="2:5" x14ac:dyDescent="0.25">
      <c r="B3817" s="545">
        <v>4522</v>
      </c>
      <c r="C3817" s="545" t="s">
        <v>3703</v>
      </c>
      <c r="D3817" s="669" t="s">
        <v>403</v>
      </c>
      <c r="E3817" s="546">
        <v>727.33076800000003</v>
      </c>
    </row>
    <row r="3818" spans="2:5" x14ac:dyDescent="0.25">
      <c r="B3818" s="545">
        <v>4523</v>
      </c>
      <c r="C3818" s="545" t="s">
        <v>3948</v>
      </c>
      <c r="D3818" s="669" t="s">
        <v>403</v>
      </c>
      <c r="E3818" s="546">
        <v>741.46668299999999</v>
      </c>
    </row>
    <row r="3819" spans="2:5" x14ac:dyDescent="0.25">
      <c r="B3819" s="545">
        <v>4524</v>
      </c>
      <c r="C3819" s="545" t="s">
        <v>2676</v>
      </c>
      <c r="D3819" s="669" t="s">
        <v>403</v>
      </c>
      <c r="E3819" s="546">
        <v>674.93685100000005</v>
      </c>
    </row>
    <row r="3820" spans="2:5" x14ac:dyDescent="0.25">
      <c r="B3820" s="545">
        <v>4525</v>
      </c>
      <c r="C3820" s="545" t="s">
        <v>4439</v>
      </c>
      <c r="D3820" s="669" t="s">
        <v>403</v>
      </c>
      <c r="E3820" s="546">
        <v>775.86667199999999</v>
      </c>
    </row>
    <row r="3821" spans="2:5" x14ac:dyDescent="0.25">
      <c r="B3821" s="545">
        <v>4526</v>
      </c>
      <c r="C3821" s="545" t="s">
        <v>4755</v>
      </c>
      <c r="D3821" s="669" t="s">
        <v>403</v>
      </c>
      <c r="E3821" s="546">
        <v>800.12222599999996</v>
      </c>
    </row>
    <row r="3822" spans="2:5" x14ac:dyDescent="0.25">
      <c r="B3822" s="545">
        <v>4527</v>
      </c>
      <c r="C3822" s="545" t="s">
        <v>4623</v>
      </c>
      <c r="D3822" s="669" t="s">
        <v>403</v>
      </c>
      <c r="E3822" s="546">
        <v>789.91334199999994</v>
      </c>
    </row>
    <row r="3823" spans="2:5" x14ac:dyDescent="0.25">
      <c r="B3823" s="545">
        <v>4528</v>
      </c>
      <c r="C3823" s="545" t="s">
        <v>7127</v>
      </c>
      <c r="D3823" s="669" t="s">
        <v>403</v>
      </c>
      <c r="E3823" s="546">
        <v>745</v>
      </c>
    </row>
    <row r="3824" spans="2:5" x14ac:dyDescent="0.25">
      <c r="B3824" s="545">
        <v>4529</v>
      </c>
      <c r="C3824" s="545" t="s">
        <v>3539</v>
      </c>
      <c r="D3824" s="669" t="s">
        <v>403</v>
      </c>
      <c r="E3824" s="546">
        <v>718.33845899999994</v>
      </c>
    </row>
    <row r="3825" spans="2:5" x14ac:dyDescent="0.25">
      <c r="B3825" s="545">
        <v>4530</v>
      </c>
      <c r="C3825" s="545" t="s">
        <v>6830</v>
      </c>
      <c r="D3825" s="669" t="s">
        <v>403</v>
      </c>
      <c r="E3825" s="546">
        <v>705.77272700000003</v>
      </c>
    </row>
    <row r="3826" spans="2:5" x14ac:dyDescent="0.25">
      <c r="B3826" s="545">
        <v>4531</v>
      </c>
      <c r="C3826" s="545" t="s">
        <v>2583</v>
      </c>
      <c r="D3826" s="669" t="s">
        <v>403</v>
      </c>
      <c r="E3826" s="546">
        <v>669.77500199999997</v>
      </c>
    </row>
    <row r="3827" spans="2:5" x14ac:dyDescent="0.25">
      <c r="B3827" s="545">
        <v>4532</v>
      </c>
      <c r="C3827" s="545" t="s">
        <v>2928</v>
      </c>
      <c r="D3827" s="669" t="s">
        <v>403</v>
      </c>
      <c r="E3827" s="546">
        <v>687.03334600000005</v>
      </c>
    </row>
    <row r="3828" spans="2:5" x14ac:dyDescent="0.25">
      <c r="B3828" s="545">
        <v>4533</v>
      </c>
      <c r="C3828" s="545" t="s">
        <v>2692</v>
      </c>
      <c r="D3828" s="669" t="s">
        <v>403</v>
      </c>
      <c r="E3828" s="546">
        <v>675.52499399999999</v>
      </c>
    </row>
    <row r="3829" spans="2:5" x14ac:dyDescent="0.25">
      <c r="B3829" s="545">
        <v>4534</v>
      </c>
      <c r="C3829" s="545" t="s">
        <v>1597</v>
      </c>
      <c r="D3829" s="669" t="s">
        <v>403</v>
      </c>
      <c r="E3829" s="546">
        <v>648.00000799999998</v>
      </c>
    </row>
    <row r="3830" spans="2:5" x14ac:dyDescent="0.25">
      <c r="B3830" s="545">
        <v>4535</v>
      </c>
      <c r="C3830" s="545" t="s">
        <v>1708</v>
      </c>
      <c r="D3830" s="669" t="s">
        <v>400</v>
      </c>
      <c r="E3830" s="546">
        <v>632.64999399999999</v>
      </c>
    </row>
    <row r="3831" spans="2:5" x14ac:dyDescent="0.25">
      <c r="B3831" s="545">
        <v>4536</v>
      </c>
      <c r="C3831" s="545" t="s">
        <v>7078</v>
      </c>
      <c r="D3831" s="669" t="s">
        <v>403</v>
      </c>
      <c r="E3831" s="546">
        <v>627.63888499999996</v>
      </c>
    </row>
    <row r="3832" spans="2:5" x14ac:dyDescent="0.25">
      <c r="B3832" s="545">
        <v>4537</v>
      </c>
      <c r="C3832" s="545" t="s">
        <v>1803</v>
      </c>
      <c r="D3832" s="669" t="s">
        <v>403</v>
      </c>
      <c r="E3832" s="546">
        <v>636.21000400000003</v>
      </c>
    </row>
    <row r="3833" spans="2:5" x14ac:dyDescent="0.25">
      <c r="B3833" s="545">
        <v>4538</v>
      </c>
      <c r="C3833" s="545" t="s">
        <v>1660</v>
      </c>
      <c r="D3833" s="669" t="s">
        <v>403</v>
      </c>
      <c r="E3833" s="546">
        <v>630.27500199999997</v>
      </c>
    </row>
    <row r="3834" spans="2:5" x14ac:dyDescent="0.25">
      <c r="B3834" s="545">
        <v>4539</v>
      </c>
      <c r="C3834" s="545" t="s">
        <v>6782</v>
      </c>
      <c r="D3834" s="669" t="s">
        <v>400</v>
      </c>
      <c r="E3834" s="546">
        <v>630.90952600000003</v>
      </c>
    </row>
    <row r="3835" spans="2:5" x14ac:dyDescent="0.25">
      <c r="B3835" s="545">
        <v>4539</v>
      </c>
      <c r="C3835" s="545" t="s">
        <v>6782</v>
      </c>
      <c r="D3835" s="669" t="s">
        <v>403</v>
      </c>
      <c r="E3835" s="546">
        <v>630.90952600000003</v>
      </c>
    </row>
    <row r="3836" spans="2:5" x14ac:dyDescent="0.25">
      <c r="B3836" s="545">
        <v>4540</v>
      </c>
      <c r="C3836" s="545" t="s">
        <v>1581</v>
      </c>
      <c r="D3836" s="669" t="s">
        <v>403</v>
      </c>
      <c r="E3836" s="546">
        <v>625.31000400000005</v>
      </c>
    </row>
    <row r="3837" spans="2:5" x14ac:dyDescent="0.25">
      <c r="B3837" s="545">
        <v>4541</v>
      </c>
      <c r="C3837" s="545" t="s">
        <v>2261</v>
      </c>
      <c r="D3837" s="669" t="s">
        <v>403</v>
      </c>
      <c r="E3837" s="546">
        <v>655.77856899999995</v>
      </c>
    </row>
    <row r="3838" spans="2:5" x14ac:dyDescent="0.25">
      <c r="B3838" s="545">
        <v>4542</v>
      </c>
      <c r="C3838" s="545" t="s">
        <v>1315</v>
      </c>
      <c r="D3838" s="669" t="s">
        <v>403</v>
      </c>
      <c r="E3838" s="546">
        <v>764.41666699999996</v>
      </c>
    </row>
    <row r="3839" spans="2:5" x14ac:dyDescent="0.25">
      <c r="B3839" s="545">
        <v>4543</v>
      </c>
      <c r="C3839" s="545" t="s">
        <v>3129</v>
      </c>
      <c r="D3839" s="669" t="s">
        <v>403</v>
      </c>
      <c r="E3839" s="546">
        <v>735.40909099999999</v>
      </c>
    </row>
    <row r="3840" spans="2:5" x14ac:dyDescent="0.25">
      <c r="B3840" s="545">
        <v>4544</v>
      </c>
      <c r="C3840" s="545" t="s">
        <v>3471</v>
      </c>
      <c r="D3840" s="669" t="s">
        <v>403</v>
      </c>
      <c r="E3840" s="546">
        <v>714.33333700000003</v>
      </c>
    </row>
    <row r="3841" spans="2:5" x14ac:dyDescent="0.25">
      <c r="B3841" s="545">
        <v>4545</v>
      </c>
      <c r="C3841" s="545" t="s">
        <v>963</v>
      </c>
      <c r="D3841" s="669" t="s">
        <v>403</v>
      </c>
      <c r="E3841" s="546">
        <v>686.366669</v>
      </c>
    </row>
    <row r="3842" spans="2:5" x14ac:dyDescent="0.25">
      <c r="B3842" s="545">
        <v>4546</v>
      </c>
      <c r="C3842" s="545" t="s">
        <v>2826</v>
      </c>
      <c r="D3842" s="669" t="s">
        <v>403</v>
      </c>
      <c r="E3842" s="546">
        <v>682.34999400000004</v>
      </c>
    </row>
    <row r="3843" spans="2:5" x14ac:dyDescent="0.25">
      <c r="B3843" s="545">
        <v>4547</v>
      </c>
      <c r="C3843" s="545" t="s">
        <v>2680</v>
      </c>
      <c r="D3843" s="669" t="s">
        <v>403</v>
      </c>
      <c r="E3843" s="546">
        <v>675.16060600000003</v>
      </c>
    </row>
    <row r="3844" spans="2:5" x14ac:dyDescent="0.25">
      <c r="B3844" s="545">
        <v>4548</v>
      </c>
      <c r="C3844" s="545" t="s">
        <v>3528</v>
      </c>
      <c r="D3844" s="669" t="s">
        <v>403</v>
      </c>
      <c r="E3844" s="546">
        <v>717.79998799999998</v>
      </c>
    </row>
    <row r="3845" spans="2:5" x14ac:dyDescent="0.25">
      <c r="B3845" s="545">
        <v>4549</v>
      </c>
      <c r="C3845" s="545" t="s">
        <v>2083</v>
      </c>
      <c r="D3845" s="669" t="s">
        <v>403</v>
      </c>
      <c r="E3845" s="546">
        <v>647.35833200000002</v>
      </c>
    </row>
    <row r="3846" spans="2:5" x14ac:dyDescent="0.25">
      <c r="B3846" s="545">
        <v>4550</v>
      </c>
      <c r="C3846" s="545" t="s">
        <v>2988</v>
      </c>
      <c r="D3846" s="669" t="s">
        <v>403</v>
      </c>
      <c r="E3846" s="546">
        <v>690.08570599999996</v>
      </c>
    </row>
    <row r="3847" spans="2:5" x14ac:dyDescent="0.25">
      <c r="B3847" s="545">
        <v>4551</v>
      </c>
      <c r="C3847" s="545" t="s">
        <v>2477</v>
      </c>
      <c r="D3847" s="669" t="s">
        <v>403</v>
      </c>
      <c r="E3847" s="546">
        <v>665</v>
      </c>
    </row>
    <row r="3848" spans="2:5" x14ac:dyDescent="0.25">
      <c r="B3848" s="545">
        <v>4552</v>
      </c>
      <c r="C3848" s="545" t="s">
        <v>1757</v>
      </c>
      <c r="D3848" s="669" t="s">
        <v>403</v>
      </c>
      <c r="E3848" s="546">
        <v>634.33999600000004</v>
      </c>
    </row>
    <row r="3849" spans="2:5" x14ac:dyDescent="0.25">
      <c r="B3849" s="545">
        <v>4553</v>
      </c>
      <c r="C3849" s="545" t="s">
        <v>1287</v>
      </c>
      <c r="D3849" s="669" t="s">
        <v>403</v>
      </c>
      <c r="E3849" s="546">
        <v>608.88260600000001</v>
      </c>
    </row>
    <row r="3850" spans="2:5" x14ac:dyDescent="0.25">
      <c r="B3850" s="545">
        <v>4554</v>
      </c>
      <c r="C3850" s="545" t="s">
        <v>1741</v>
      </c>
      <c r="D3850" s="669" t="s">
        <v>403</v>
      </c>
      <c r="E3850" s="546">
        <v>633.77499399999999</v>
      </c>
    </row>
    <row r="3851" spans="2:5" x14ac:dyDescent="0.25">
      <c r="B3851" s="545">
        <v>4555</v>
      </c>
      <c r="C3851" s="545" t="s">
        <v>1609</v>
      </c>
      <c r="D3851" s="669" t="s">
        <v>403</v>
      </c>
      <c r="E3851" s="546">
        <v>627</v>
      </c>
    </row>
    <row r="3852" spans="2:5" x14ac:dyDescent="0.25">
      <c r="B3852" s="545">
        <v>4556</v>
      </c>
      <c r="C3852" s="545" t="s">
        <v>3709</v>
      </c>
      <c r="D3852" s="669" t="s">
        <v>403</v>
      </c>
      <c r="E3852" s="546">
        <v>727.65</v>
      </c>
    </row>
    <row r="3853" spans="2:5" x14ac:dyDescent="0.25">
      <c r="B3853" s="545">
        <v>4557</v>
      </c>
      <c r="C3853" s="545" t="s">
        <v>3228</v>
      </c>
      <c r="D3853" s="669" t="s">
        <v>403</v>
      </c>
      <c r="E3853" s="546">
        <v>702.53332499999999</v>
      </c>
    </row>
    <row r="3854" spans="2:5" x14ac:dyDescent="0.25">
      <c r="B3854" s="545">
        <v>4558</v>
      </c>
      <c r="C3854" s="545" t="s">
        <v>2537</v>
      </c>
      <c r="D3854" s="669" t="s">
        <v>403</v>
      </c>
      <c r="E3854" s="546">
        <v>668.02856399999996</v>
      </c>
    </row>
    <row r="3855" spans="2:5" x14ac:dyDescent="0.25">
      <c r="B3855" s="545">
        <v>4559</v>
      </c>
      <c r="C3855" s="545" t="s">
        <v>2126</v>
      </c>
      <c r="D3855" s="669" t="s">
        <v>403</v>
      </c>
      <c r="E3855" s="546">
        <v>649.71176700000001</v>
      </c>
    </row>
    <row r="3856" spans="2:5" x14ac:dyDescent="0.25">
      <c r="B3856" s="545">
        <v>4560</v>
      </c>
      <c r="C3856" s="545" t="s">
        <v>934</v>
      </c>
      <c r="D3856" s="669" t="s">
        <v>403</v>
      </c>
      <c r="E3856" s="546">
        <v>582.90002400000003</v>
      </c>
    </row>
    <row r="3857" spans="2:5" x14ac:dyDescent="0.25">
      <c r="B3857" s="545">
        <v>4561</v>
      </c>
      <c r="C3857" s="545" t="s">
        <v>1351</v>
      </c>
      <c r="D3857" s="669" t="s">
        <v>403</v>
      </c>
      <c r="E3857" s="546">
        <v>612.53332499999999</v>
      </c>
    </row>
    <row r="3858" spans="2:5" x14ac:dyDescent="0.25">
      <c r="B3858" s="545">
        <v>4562</v>
      </c>
      <c r="C3858" s="545" t="s">
        <v>1812</v>
      </c>
      <c r="D3858" s="669" t="s">
        <v>403</v>
      </c>
      <c r="E3858" s="546">
        <v>636.54284700000005</v>
      </c>
    </row>
    <row r="3859" spans="2:5" x14ac:dyDescent="0.25">
      <c r="B3859" s="545">
        <v>4563</v>
      </c>
      <c r="C3859" s="545" t="s">
        <v>1937</v>
      </c>
      <c r="D3859" s="669" t="s">
        <v>403</v>
      </c>
      <c r="E3859" s="546">
        <v>641.35000600000001</v>
      </c>
    </row>
    <row r="3860" spans="2:5" x14ac:dyDescent="0.25">
      <c r="B3860" s="545">
        <v>4564</v>
      </c>
      <c r="C3860" s="545" t="s">
        <v>2743</v>
      </c>
      <c r="D3860" s="669" t="s">
        <v>403</v>
      </c>
      <c r="E3860" s="546">
        <v>677.86428799999999</v>
      </c>
    </row>
    <row r="3861" spans="2:5" x14ac:dyDescent="0.25">
      <c r="B3861" s="545">
        <v>4565</v>
      </c>
      <c r="C3861" s="545" t="s">
        <v>2214</v>
      </c>
      <c r="D3861" s="669" t="s">
        <v>403</v>
      </c>
      <c r="E3861" s="546">
        <v>653.58750199999997</v>
      </c>
    </row>
    <row r="3862" spans="2:5" x14ac:dyDescent="0.25">
      <c r="B3862" s="545">
        <v>4566</v>
      </c>
      <c r="C3862" s="545" t="s">
        <v>1047</v>
      </c>
      <c r="D3862" s="669" t="s">
        <v>403</v>
      </c>
      <c r="E3862" s="546">
        <v>665.47142699999995</v>
      </c>
    </row>
    <row r="3863" spans="2:5" x14ac:dyDescent="0.25">
      <c r="B3863" s="545">
        <v>4567</v>
      </c>
      <c r="C3863" s="545" t="s">
        <v>2077</v>
      </c>
      <c r="D3863" s="669" t="s">
        <v>403</v>
      </c>
      <c r="E3863" s="546">
        <v>647.17500299999995</v>
      </c>
    </row>
    <row r="3864" spans="2:5" x14ac:dyDescent="0.25">
      <c r="B3864" s="545">
        <v>4568</v>
      </c>
      <c r="C3864" s="545" t="s">
        <v>2050</v>
      </c>
      <c r="D3864" s="669" t="s">
        <v>403</v>
      </c>
      <c r="E3864" s="546">
        <v>645.49091099999998</v>
      </c>
    </row>
    <row r="3865" spans="2:5" x14ac:dyDescent="0.25">
      <c r="B3865" s="545">
        <v>4569</v>
      </c>
      <c r="C3865" s="545" t="s">
        <v>6709</v>
      </c>
      <c r="D3865" s="669" t="s">
        <v>403</v>
      </c>
      <c r="E3865" s="546">
        <v>656.106673</v>
      </c>
    </row>
    <row r="3866" spans="2:5" x14ac:dyDescent="0.25">
      <c r="B3866" s="545">
        <v>4570</v>
      </c>
      <c r="C3866" s="545" t="s">
        <v>2531</v>
      </c>
      <c r="D3866" s="669" t="s">
        <v>403</v>
      </c>
      <c r="E3866" s="546">
        <v>667.82501200000002</v>
      </c>
    </row>
    <row r="3867" spans="2:5" x14ac:dyDescent="0.25">
      <c r="B3867" s="545">
        <v>4601</v>
      </c>
      <c r="C3867" s="545" t="s">
        <v>3791</v>
      </c>
      <c r="D3867" s="669" t="s">
        <v>405</v>
      </c>
      <c r="E3867" s="546">
        <v>732.18000500000005</v>
      </c>
    </row>
    <row r="3868" spans="2:5" x14ac:dyDescent="0.25">
      <c r="B3868" s="545">
        <v>4602</v>
      </c>
      <c r="C3868" s="545" t="s">
        <v>6516</v>
      </c>
      <c r="D3868" s="669" t="s">
        <v>405</v>
      </c>
      <c r="E3868" s="546">
        <v>712.3</v>
      </c>
    </row>
    <row r="3869" spans="2:5" x14ac:dyDescent="0.25">
      <c r="B3869" s="545">
        <v>4603</v>
      </c>
      <c r="C3869" s="545" t="s">
        <v>2542</v>
      </c>
      <c r="D3869" s="669" t="s">
        <v>405</v>
      </c>
      <c r="E3869" s="546">
        <v>668.15999799999997</v>
      </c>
    </row>
    <row r="3870" spans="2:5" x14ac:dyDescent="0.25">
      <c r="B3870" s="545">
        <v>4604</v>
      </c>
      <c r="C3870" s="545" t="s">
        <v>3298</v>
      </c>
      <c r="D3870" s="669" t="s">
        <v>405</v>
      </c>
      <c r="E3870" s="546">
        <v>705.71999500000004</v>
      </c>
    </row>
    <row r="3871" spans="2:5" x14ac:dyDescent="0.25">
      <c r="B3871" s="545">
        <v>4605</v>
      </c>
      <c r="C3871" s="545" t="s">
        <v>3877</v>
      </c>
      <c r="D3871" s="669" t="s">
        <v>405</v>
      </c>
      <c r="E3871" s="546">
        <v>737.366669</v>
      </c>
    </row>
    <row r="3872" spans="2:5" x14ac:dyDescent="0.25">
      <c r="B3872" s="545">
        <v>4606</v>
      </c>
      <c r="C3872" s="545" t="s">
        <v>3832</v>
      </c>
      <c r="D3872" s="669" t="s">
        <v>405</v>
      </c>
      <c r="E3872" s="546">
        <v>734.77856399999996</v>
      </c>
    </row>
    <row r="3873" spans="2:5" x14ac:dyDescent="0.25">
      <c r="B3873" s="545">
        <v>4607</v>
      </c>
      <c r="C3873" s="545" t="s">
        <v>1076</v>
      </c>
      <c r="D3873" s="669" t="s">
        <v>405</v>
      </c>
      <c r="E3873" s="546">
        <v>788.11249499999997</v>
      </c>
    </row>
    <row r="3874" spans="2:5" x14ac:dyDescent="0.25">
      <c r="B3874" s="545">
        <v>4608</v>
      </c>
      <c r="C3874" s="545" t="s">
        <v>807</v>
      </c>
      <c r="D3874" s="669" t="s">
        <v>405</v>
      </c>
      <c r="E3874" s="546">
        <v>743.05001800000002</v>
      </c>
    </row>
    <row r="3875" spans="2:5" x14ac:dyDescent="0.25">
      <c r="B3875" s="545">
        <v>4609</v>
      </c>
      <c r="C3875" s="545" t="s">
        <v>3055</v>
      </c>
      <c r="D3875" s="669" t="s">
        <v>405</v>
      </c>
      <c r="E3875" s="546">
        <v>693.78749800000003</v>
      </c>
    </row>
    <row r="3876" spans="2:5" x14ac:dyDescent="0.25">
      <c r="B3876" s="545">
        <v>4610</v>
      </c>
      <c r="C3876" s="545" t="s">
        <v>3918</v>
      </c>
      <c r="D3876" s="669" t="s">
        <v>405</v>
      </c>
      <c r="E3876" s="546">
        <v>740</v>
      </c>
    </row>
    <row r="3877" spans="2:5" x14ac:dyDescent="0.25">
      <c r="B3877" s="545">
        <v>4611</v>
      </c>
      <c r="C3877" s="545" t="s">
        <v>5241</v>
      </c>
      <c r="D3877" s="669" t="s">
        <v>405</v>
      </c>
      <c r="E3877" s="546">
        <v>852.75715000000002</v>
      </c>
    </row>
    <row r="3878" spans="2:5" x14ac:dyDescent="0.25">
      <c r="B3878" s="545">
        <v>4612</v>
      </c>
      <c r="C3878" s="545" t="s">
        <v>4354</v>
      </c>
      <c r="D3878" s="669" t="s">
        <v>405</v>
      </c>
      <c r="E3878" s="546">
        <v>768.38750500000003</v>
      </c>
    </row>
    <row r="3879" spans="2:5" x14ac:dyDescent="0.25">
      <c r="B3879" s="545">
        <v>4613</v>
      </c>
      <c r="C3879" s="545" t="s">
        <v>5202</v>
      </c>
      <c r="D3879" s="669" t="s">
        <v>405</v>
      </c>
      <c r="E3879" s="546">
        <v>846.01668299999994</v>
      </c>
    </row>
    <row r="3880" spans="2:5" x14ac:dyDescent="0.25">
      <c r="B3880" s="545">
        <v>4614</v>
      </c>
      <c r="C3880" s="545" t="s">
        <v>6646</v>
      </c>
      <c r="D3880" s="669" t="s">
        <v>405</v>
      </c>
      <c r="E3880" s="546">
        <v>745.75453900000002</v>
      </c>
    </row>
    <row r="3881" spans="2:5" x14ac:dyDescent="0.25">
      <c r="B3881" s="545">
        <v>4615</v>
      </c>
      <c r="C3881" s="545" t="s">
        <v>4848</v>
      </c>
      <c r="D3881" s="669" t="s">
        <v>405</v>
      </c>
      <c r="E3881" s="546">
        <v>807.03999399999998</v>
      </c>
    </row>
    <row r="3882" spans="2:5" x14ac:dyDescent="0.25">
      <c r="B3882" s="545">
        <v>4616</v>
      </c>
      <c r="C3882" s="545" t="s">
        <v>3335</v>
      </c>
      <c r="D3882" s="669" t="s">
        <v>405</v>
      </c>
      <c r="E3882" s="546">
        <v>707.62856599999998</v>
      </c>
    </row>
    <row r="3883" spans="2:5" x14ac:dyDescent="0.25">
      <c r="B3883" s="545">
        <v>4617</v>
      </c>
      <c r="C3883" s="545" t="s">
        <v>4422</v>
      </c>
      <c r="D3883" s="669" t="s">
        <v>405</v>
      </c>
      <c r="E3883" s="546">
        <v>774.375</v>
      </c>
    </row>
    <row r="3884" spans="2:5" x14ac:dyDescent="0.25">
      <c r="B3884" s="545">
        <v>4618</v>
      </c>
      <c r="C3884" s="545" t="s">
        <v>413</v>
      </c>
      <c r="D3884" s="669" t="s">
        <v>405</v>
      </c>
      <c r="E3884" s="546">
        <v>641.17499499999997</v>
      </c>
    </row>
    <row r="3885" spans="2:5" x14ac:dyDescent="0.25">
      <c r="B3885" s="545">
        <v>4619</v>
      </c>
      <c r="C3885" s="545" t="s">
        <v>1198</v>
      </c>
      <c r="D3885" s="669" t="s">
        <v>405</v>
      </c>
      <c r="E3885" s="546">
        <v>684.82726500000001</v>
      </c>
    </row>
    <row r="3886" spans="2:5" x14ac:dyDescent="0.25">
      <c r="B3886" s="545">
        <v>4620</v>
      </c>
      <c r="C3886" s="545" t="s">
        <v>2813</v>
      </c>
      <c r="D3886" s="669" t="s">
        <v>405</v>
      </c>
      <c r="E3886" s="546">
        <v>681.82499700000005</v>
      </c>
    </row>
    <row r="3887" spans="2:5" x14ac:dyDescent="0.25">
      <c r="B3887" s="545">
        <v>4621</v>
      </c>
      <c r="C3887" s="545" t="s">
        <v>4724</v>
      </c>
      <c r="D3887" s="669" t="s">
        <v>405</v>
      </c>
      <c r="E3887" s="546">
        <v>797.82000700000003</v>
      </c>
    </row>
    <row r="3888" spans="2:5" x14ac:dyDescent="0.25">
      <c r="B3888" s="545">
        <v>4622</v>
      </c>
      <c r="C3888" s="545" t="s">
        <v>4913</v>
      </c>
      <c r="D3888" s="669" t="s">
        <v>405</v>
      </c>
      <c r="E3888" s="546">
        <v>813.47141799999997</v>
      </c>
    </row>
    <row r="3889" spans="2:5" x14ac:dyDescent="0.25">
      <c r="B3889" s="545">
        <v>4623</v>
      </c>
      <c r="C3889" s="545" t="s">
        <v>4299</v>
      </c>
      <c r="D3889" s="669" t="s">
        <v>405</v>
      </c>
      <c r="E3889" s="546">
        <v>764.47058500000003</v>
      </c>
    </row>
    <row r="3890" spans="2:5" x14ac:dyDescent="0.25">
      <c r="B3890" s="545">
        <v>4624</v>
      </c>
      <c r="C3890" s="545" t="s">
        <v>5256</v>
      </c>
      <c r="D3890" s="669" t="s">
        <v>405</v>
      </c>
      <c r="E3890" s="546">
        <v>854.57999299999994</v>
      </c>
    </row>
    <row r="3891" spans="2:5" x14ac:dyDescent="0.25">
      <c r="B3891" s="545">
        <v>4625</v>
      </c>
      <c r="C3891" s="545" t="s">
        <v>6855</v>
      </c>
      <c r="D3891" s="669" t="s">
        <v>405</v>
      </c>
      <c r="E3891" s="546">
        <v>755.63750500000003</v>
      </c>
    </row>
    <row r="3892" spans="2:5" x14ac:dyDescent="0.25">
      <c r="B3892" s="545">
        <v>4626</v>
      </c>
      <c r="C3892" s="545" t="s">
        <v>6862</v>
      </c>
      <c r="D3892" s="669" t="s">
        <v>405</v>
      </c>
      <c r="E3892" s="546">
        <v>695.34999100000005</v>
      </c>
    </row>
    <row r="3893" spans="2:5" x14ac:dyDescent="0.25">
      <c r="B3893" s="545">
        <v>4627</v>
      </c>
      <c r="C3893" s="545" t="s">
        <v>6946</v>
      </c>
      <c r="D3893" s="669" t="s">
        <v>405</v>
      </c>
      <c r="E3893" s="546">
        <v>775.31818199999998</v>
      </c>
    </row>
    <row r="3894" spans="2:5" x14ac:dyDescent="0.25">
      <c r="B3894" s="545">
        <v>4628</v>
      </c>
      <c r="C3894" s="545" t="s">
        <v>4693</v>
      </c>
      <c r="D3894" s="669" t="s">
        <v>405</v>
      </c>
      <c r="E3894" s="546">
        <v>795.40002400000003</v>
      </c>
    </row>
    <row r="3895" spans="2:5" x14ac:dyDescent="0.25">
      <c r="B3895" s="545">
        <v>4629</v>
      </c>
      <c r="C3895" s="545" t="s">
        <v>4662</v>
      </c>
      <c r="D3895" s="669" t="s">
        <v>405</v>
      </c>
      <c r="E3895" s="546">
        <v>793.14000199999998</v>
      </c>
    </row>
    <row r="3896" spans="2:5" x14ac:dyDescent="0.25">
      <c r="B3896" s="545">
        <v>4630</v>
      </c>
      <c r="C3896" s="545" t="s">
        <v>6983</v>
      </c>
      <c r="D3896" s="669" t="s">
        <v>405</v>
      </c>
      <c r="E3896" s="546">
        <v>831.97142699999995</v>
      </c>
    </row>
    <row r="3897" spans="2:5" x14ac:dyDescent="0.25">
      <c r="B3897" s="545">
        <v>4631</v>
      </c>
      <c r="C3897" s="545" t="s">
        <v>4603</v>
      </c>
      <c r="D3897" s="669" t="s">
        <v>405</v>
      </c>
      <c r="E3897" s="546">
        <v>788.13076100000001</v>
      </c>
    </row>
    <row r="3898" spans="2:5" x14ac:dyDescent="0.25">
      <c r="B3898" s="545">
        <v>4632</v>
      </c>
      <c r="C3898" s="545" t="s">
        <v>4806</v>
      </c>
      <c r="D3898" s="669" t="s">
        <v>405</v>
      </c>
      <c r="E3898" s="546">
        <v>803.96667000000002</v>
      </c>
    </row>
    <row r="3899" spans="2:5" x14ac:dyDescent="0.25">
      <c r="B3899" s="545">
        <v>4633</v>
      </c>
      <c r="C3899" s="545" t="s">
        <v>4506</v>
      </c>
      <c r="D3899" s="669" t="s">
        <v>405</v>
      </c>
      <c r="E3899" s="546">
        <v>780.38570700000002</v>
      </c>
    </row>
    <row r="3900" spans="2:5" x14ac:dyDescent="0.25">
      <c r="B3900" s="545">
        <v>4634</v>
      </c>
      <c r="C3900" s="545" t="s">
        <v>6998</v>
      </c>
      <c r="D3900" s="669" t="s">
        <v>405</v>
      </c>
      <c r="E3900" s="546">
        <v>633.23333700000001</v>
      </c>
    </row>
    <row r="3901" spans="2:5" x14ac:dyDescent="0.25">
      <c r="B3901" s="545">
        <v>4635</v>
      </c>
      <c r="C3901" s="545" t="s">
        <v>3460</v>
      </c>
      <c r="D3901" s="669" t="s">
        <v>405</v>
      </c>
      <c r="E3901" s="546">
        <v>713.78571399999998</v>
      </c>
    </row>
    <row r="3902" spans="2:5" x14ac:dyDescent="0.25">
      <c r="B3902" s="545">
        <v>4636</v>
      </c>
      <c r="C3902" s="545" t="s">
        <v>3171</v>
      </c>
      <c r="D3902" s="669" t="s">
        <v>405</v>
      </c>
      <c r="E3902" s="546">
        <v>761.69999199999995</v>
      </c>
    </row>
    <row r="3903" spans="2:5" x14ac:dyDescent="0.25">
      <c r="B3903" s="545">
        <v>4637</v>
      </c>
      <c r="C3903" s="545" t="s">
        <v>2980</v>
      </c>
      <c r="D3903" s="669" t="s">
        <v>405</v>
      </c>
      <c r="E3903" s="546">
        <v>689.45715299999995</v>
      </c>
    </row>
    <row r="3904" spans="2:5" x14ac:dyDescent="0.25">
      <c r="B3904" s="545">
        <v>4638</v>
      </c>
      <c r="C3904" s="545" t="s">
        <v>2795</v>
      </c>
      <c r="D3904" s="669" t="s">
        <v>405</v>
      </c>
      <c r="E3904" s="546">
        <v>869.46250899999995</v>
      </c>
    </row>
    <row r="3905" spans="2:5" x14ac:dyDescent="0.25">
      <c r="B3905" s="545">
        <v>4639</v>
      </c>
      <c r="C3905" s="545" t="s">
        <v>4701</v>
      </c>
      <c r="D3905" s="669" t="s">
        <v>405</v>
      </c>
      <c r="E3905" s="546">
        <v>795.75001499999996</v>
      </c>
    </row>
    <row r="3906" spans="2:5" x14ac:dyDescent="0.25">
      <c r="B3906" s="545">
        <v>4640</v>
      </c>
      <c r="C3906" s="545" t="s">
        <v>1269</v>
      </c>
      <c r="D3906" s="669" t="s">
        <v>405</v>
      </c>
      <c r="E3906" s="546">
        <v>607.59999600000003</v>
      </c>
    </row>
    <row r="3907" spans="2:5" x14ac:dyDescent="0.25">
      <c r="B3907" s="545">
        <v>4641</v>
      </c>
      <c r="C3907" s="545" t="s">
        <v>4653</v>
      </c>
      <c r="D3907" s="669" t="s">
        <v>405</v>
      </c>
      <c r="E3907" s="546">
        <v>792.59167000000002</v>
      </c>
    </row>
    <row r="3908" spans="2:5" x14ac:dyDescent="0.25">
      <c r="B3908" s="545">
        <v>4642</v>
      </c>
      <c r="C3908" s="545" t="s">
        <v>4170</v>
      </c>
      <c r="D3908" s="669" t="s">
        <v>405</v>
      </c>
      <c r="E3908" s="546">
        <v>755.47691899999995</v>
      </c>
    </row>
    <row r="3909" spans="2:5" x14ac:dyDescent="0.25">
      <c r="B3909" s="545">
        <v>4643</v>
      </c>
      <c r="C3909" s="545" t="s">
        <v>4426</v>
      </c>
      <c r="D3909" s="669" t="s">
        <v>405</v>
      </c>
      <c r="E3909" s="546">
        <v>774.83076800000003</v>
      </c>
    </row>
    <row r="3910" spans="2:5" x14ac:dyDescent="0.25">
      <c r="B3910" s="545">
        <v>4644</v>
      </c>
      <c r="C3910" s="545" t="s">
        <v>1810</v>
      </c>
      <c r="D3910" s="669" t="s">
        <v>405</v>
      </c>
      <c r="E3910" s="546">
        <v>816.58570199999997</v>
      </c>
    </row>
    <row r="3911" spans="2:5" x14ac:dyDescent="0.25">
      <c r="B3911" s="545">
        <v>4645</v>
      </c>
      <c r="C3911" s="545" t="s">
        <v>5192</v>
      </c>
      <c r="D3911" s="669" t="s">
        <v>405</v>
      </c>
      <c r="E3911" s="546">
        <v>844.69167100000004</v>
      </c>
    </row>
    <row r="3912" spans="2:5" x14ac:dyDescent="0.25">
      <c r="B3912" s="545">
        <v>4646</v>
      </c>
      <c r="C3912" s="545" t="s">
        <v>4080</v>
      </c>
      <c r="D3912" s="669" t="s">
        <v>405</v>
      </c>
      <c r="E3912" s="546">
        <v>749.97499100000005</v>
      </c>
    </row>
    <row r="3913" spans="2:5" x14ac:dyDescent="0.25">
      <c r="B3913" s="545">
        <v>4647</v>
      </c>
      <c r="C3913" s="545" t="s">
        <v>3979</v>
      </c>
      <c r="D3913" s="669" t="s">
        <v>405</v>
      </c>
      <c r="E3913" s="546">
        <v>743.875</v>
      </c>
    </row>
    <row r="3914" spans="2:5" x14ac:dyDescent="0.25">
      <c r="B3914" s="545">
        <v>4648</v>
      </c>
      <c r="C3914" s="545" t="s">
        <v>2760</v>
      </c>
      <c r="D3914" s="669" t="s">
        <v>405</v>
      </c>
      <c r="E3914" s="546">
        <v>678.73333700000001</v>
      </c>
    </row>
    <row r="3915" spans="2:5" x14ac:dyDescent="0.25">
      <c r="B3915" s="545">
        <v>4649</v>
      </c>
      <c r="C3915" s="545" t="s">
        <v>3347</v>
      </c>
      <c r="D3915" s="669" t="s">
        <v>405</v>
      </c>
      <c r="E3915" s="546">
        <v>708.36665900000003</v>
      </c>
    </row>
    <row r="3916" spans="2:5" x14ac:dyDescent="0.25">
      <c r="B3916" s="545">
        <v>4650</v>
      </c>
      <c r="C3916" s="545" t="s">
        <v>4185</v>
      </c>
      <c r="D3916" s="669" t="s">
        <v>405</v>
      </c>
      <c r="E3916" s="546">
        <v>756.192858</v>
      </c>
    </row>
    <row r="3917" spans="2:5" x14ac:dyDescent="0.25">
      <c r="B3917" s="545">
        <v>4651</v>
      </c>
      <c r="C3917" s="545" t="s">
        <v>7186</v>
      </c>
      <c r="D3917" s="669" t="s">
        <v>405</v>
      </c>
      <c r="E3917" s="546">
        <v>723</v>
      </c>
    </row>
    <row r="3918" spans="2:5" x14ac:dyDescent="0.25">
      <c r="B3918" s="545">
        <v>4652</v>
      </c>
      <c r="C3918" s="545" t="s">
        <v>7194</v>
      </c>
      <c r="D3918" s="669" t="s">
        <v>405</v>
      </c>
      <c r="E3918" s="546">
        <v>699.78572299999996</v>
      </c>
    </row>
    <row r="3919" spans="2:5" x14ac:dyDescent="0.25">
      <c r="B3919" s="545">
        <v>4653</v>
      </c>
      <c r="C3919" s="545" t="s">
        <v>7202</v>
      </c>
      <c r="D3919" s="669" t="s">
        <v>405</v>
      </c>
      <c r="E3919" s="546">
        <v>776.95000500000003</v>
      </c>
    </row>
    <row r="3920" spans="2:5" x14ac:dyDescent="0.25">
      <c r="B3920" s="545">
        <v>4654</v>
      </c>
      <c r="C3920" s="545" t="s">
        <v>6530</v>
      </c>
      <c r="D3920" s="669" t="s">
        <v>405</v>
      </c>
      <c r="E3920" s="546">
        <v>703.52499399999999</v>
      </c>
    </row>
    <row r="3921" spans="2:5" x14ac:dyDescent="0.25">
      <c r="B3921" s="545">
        <v>4655</v>
      </c>
      <c r="C3921" s="545" t="s">
        <v>405</v>
      </c>
      <c r="D3921" s="669" t="s">
        <v>405</v>
      </c>
      <c r="E3921" s="546">
        <v>741.82142399999998</v>
      </c>
    </row>
    <row r="3922" spans="2:5" x14ac:dyDescent="0.25">
      <c r="B3922" s="545">
        <v>4656</v>
      </c>
      <c r="C3922" s="545" t="s">
        <v>4611</v>
      </c>
      <c r="D3922" s="669" t="s">
        <v>405</v>
      </c>
      <c r="E3922" s="546">
        <v>788.642875</v>
      </c>
    </row>
    <row r="3923" spans="2:5" x14ac:dyDescent="0.25">
      <c r="B3923" s="545">
        <v>4657</v>
      </c>
      <c r="C3923" s="545" t="s">
        <v>3159</v>
      </c>
      <c r="D3923" s="669" t="s">
        <v>405</v>
      </c>
      <c r="E3923" s="546">
        <v>699.38000199999999</v>
      </c>
    </row>
    <row r="3924" spans="2:5" x14ac:dyDescent="0.25">
      <c r="B3924" s="545">
        <v>4658</v>
      </c>
      <c r="C3924" s="545" t="s">
        <v>700</v>
      </c>
      <c r="D3924" s="669" t="s">
        <v>405</v>
      </c>
      <c r="E3924" s="546">
        <v>672.54285500000003</v>
      </c>
    </row>
    <row r="3925" spans="2:5" x14ac:dyDescent="0.25">
      <c r="B3925" s="545">
        <v>4659</v>
      </c>
      <c r="C3925" s="545" t="s">
        <v>7281</v>
      </c>
      <c r="D3925" s="669" t="s">
        <v>405</v>
      </c>
      <c r="E3925" s="546">
        <v>738.56250799999998</v>
      </c>
    </row>
    <row r="3926" spans="2:5" x14ac:dyDescent="0.25">
      <c r="B3926" s="545">
        <v>4660</v>
      </c>
      <c r="C3926" s="545" t="s">
        <v>3745</v>
      </c>
      <c r="D3926" s="669" t="s">
        <v>405</v>
      </c>
      <c r="E3926" s="546">
        <v>729.5</v>
      </c>
    </row>
    <row r="3927" spans="2:5" x14ac:dyDescent="0.25">
      <c r="B3927" s="545">
        <v>4661</v>
      </c>
      <c r="C3927" s="545" t="s">
        <v>4892</v>
      </c>
      <c r="D3927" s="669" t="s">
        <v>405</v>
      </c>
      <c r="E3927" s="546">
        <v>811.27499699999998</v>
      </c>
    </row>
    <row r="3928" spans="2:5" x14ac:dyDescent="0.25">
      <c r="B3928" s="545">
        <v>4662</v>
      </c>
      <c r="C3928" s="545" t="s">
        <v>3626</v>
      </c>
      <c r="D3928" s="669" t="s">
        <v>405</v>
      </c>
      <c r="E3928" s="546">
        <v>723.419983</v>
      </c>
    </row>
    <row r="3929" spans="2:5" x14ac:dyDescent="0.25">
      <c r="B3929" s="545">
        <v>4663</v>
      </c>
      <c r="C3929" s="545" t="s">
        <v>3752</v>
      </c>
      <c r="D3929" s="669" t="s">
        <v>405</v>
      </c>
      <c r="E3929" s="546">
        <v>729.91111899999999</v>
      </c>
    </row>
    <row r="3930" spans="2:5" x14ac:dyDescent="0.25">
      <c r="B3930" s="545">
        <v>4664</v>
      </c>
      <c r="C3930" s="545" t="s">
        <v>5210</v>
      </c>
      <c r="D3930" s="669" t="s">
        <v>405</v>
      </c>
      <c r="E3930" s="546">
        <v>846.79999799999996</v>
      </c>
    </row>
    <row r="3931" spans="2:5" x14ac:dyDescent="0.25">
      <c r="B3931" s="545">
        <v>4665</v>
      </c>
      <c r="C3931" s="545" t="s">
        <v>1383</v>
      </c>
      <c r="D3931" s="669" t="s">
        <v>405</v>
      </c>
      <c r="E3931" s="546">
        <v>834.42999299999997</v>
      </c>
    </row>
    <row r="3932" spans="2:5" x14ac:dyDescent="0.25">
      <c r="B3932" s="545">
        <v>4666</v>
      </c>
      <c r="C3932" s="545" t="s">
        <v>5216</v>
      </c>
      <c r="D3932" s="669" t="s">
        <v>405</v>
      </c>
      <c r="E3932" s="546">
        <v>847.990002</v>
      </c>
    </row>
    <row r="3933" spans="2:5" x14ac:dyDescent="0.25">
      <c r="B3933" s="545">
        <v>4667</v>
      </c>
      <c r="C3933" s="545" t="s">
        <v>4871</v>
      </c>
      <c r="D3933" s="669" t="s">
        <v>405</v>
      </c>
      <c r="E3933" s="546">
        <v>808.81428700000004</v>
      </c>
    </row>
    <row r="3934" spans="2:5" x14ac:dyDescent="0.25">
      <c r="B3934" s="545">
        <v>4668</v>
      </c>
      <c r="C3934" s="545" t="s">
        <v>3130</v>
      </c>
      <c r="D3934" s="669" t="s">
        <v>405</v>
      </c>
      <c r="E3934" s="546">
        <v>697.62000699999999</v>
      </c>
    </row>
    <row r="3935" spans="2:5" x14ac:dyDescent="0.25">
      <c r="B3935" s="545">
        <v>4669</v>
      </c>
      <c r="C3935" s="545" t="s">
        <v>3941</v>
      </c>
      <c r="D3935" s="669" t="s">
        <v>405</v>
      </c>
      <c r="E3935" s="546">
        <v>741.253333</v>
      </c>
    </row>
    <row r="3936" spans="2:5" x14ac:dyDescent="0.25">
      <c r="B3936" s="545">
        <v>4670</v>
      </c>
      <c r="C3936" s="545" t="s">
        <v>7319</v>
      </c>
      <c r="D3936" s="669" t="s">
        <v>405</v>
      </c>
      <c r="E3936" s="546">
        <v>758.54444699999999</v>
      </c>
    </row>
    <row r="3937" spans="2:5" x14ac:dyDescent="0.25">
      <c r="B3937" s="545">
        <v>4671</v>
      </c>
      <c r="C3937" s="545" t="s">
        <v>4686</v>
      </c>
      <c r="D3937" s="669" t="s">
        <v>405</v>
      </c>
      <c r="E3937" s="546">
        <v>794.759998</v>
      </c>
    </row>
    <row r="3938" spans="2:5" x14ac:dyDescent="0.25">
      <c r="B3938" s="545">
        <v>4672</v>
      </c>
      <c r="C3938" s="545" t="s">
        <v>7330</v>
      </c>
      <c r="D3938" s="669" t="s">
        <v>405</v>
      </c>
      <c r="E3938" s="546">
        <v>744.51333</v>
      </c>
    </row>
    <row r="3939" spans="2:5" x14ac:dyDescent="0.25">
      <c r="B3939" s="545">
        <v>4673</v>
      </c>
      <c r="C3939" s="545" t="s">
        <v>3682</v>
      </c>
      <c r="D3939" s="669" t="s">
        <v>405</v>
      </c>
      <c r="E3939" s="546">
        <v>726.31666399999995</v>
      </c>
    </row>
    <row r="3940" spans="2:5" x14ac:dyDescent="0.25">
      <c r="B3940" s="545">
        <v>4674</v>
      </c>
      <c r="C3940" s="545" t="s">
        <v>3469</v>
      </c>
      <c r="D3940" s="669" t="s">
        <v>405</v>
      </c>
      <c r="E3940" s="546">
        <v>714.21999500000004</v>
      </c>
    </row>
    <row r="3941" spans="2:5" x14ac:dyDescent="0.25">
      <c r="B3941" s="545">
        <v>4675</v>
      </c>
      <c r="C3941" s="545" t="s">
        <v>2458</v>
      </c>
      <c r="D3941" s="669" t="s">
        <v>405</v>
      </c>
      <c r="E3941" s="546">
        <v>711.10000600000001</v>
      </c>
    </row>
    <row r="3942" spans="2:5" x14ac:dyDescent="0.25">
      <c r="B3942" s="545">
        <v>4676</v>
      </c>
      <c r="C3942" s="545" t="s">
        <v>4286</v>
      </c>
      <c r="D3942" s="669" t="s">
        <v>405</v>
      </c>
      <c r="E3942" s="546">
        <v>763.57692799999995</v>
      </c>
    </row>
    <row r="3943" spans="2:5" x14ac:dyDescent="0.25">
      <c r="B3943" s="545">
        <v>4677</v>
      </c>
      <c r="C3943" s="545" t="s">
        <v>3581</v>
      </c>
      <c r="D3943" s="669" t="s">
        <v>405</v>
      </c>
      <c r="E3943" s="546">
        <v>720.30000800000005</v>
      </c>
    </row>
    <row r="3944" spans="2:5" x14ac:dyDescent="0.25">
      <c r="B3944" s="545">
        <v>4678</v>
      </c>
      <c r="C3944" s="545" t="s">
        <v>7358</v>
      </c>
      <c r="D3944" s="669" t="s">
        <v>405</v>
      </c>
      <c r="E3944" s="546">
        <v>727.10000600000001</v>
      </c>
    </row>
    <row r="3945" spans="2:5" x14ac:dyDescent="0.25">
      <c r="B3945" s="545">
        <v>4679</v>
      </c>
      <c r="C3945" s="545" t="s">
        <v>3968</v>
      </c>
      <c r="D3945" s="669" t="s">
        <v>405</v>
      </c>
      <c r="E3945" s="546">
        <v>742.92999899999995</v>
      </c>
    </row>
    <row r="3946" spans="2:5" x14ac:dyDescent="0.25">
      <c r="B3946" s="545">
        <v>4680</v>
      </c>
      <c r="C3946" s="545" t="s">
        <v>4542</v>
      </c>
      <c r="D3946" s="669" t="s">
        <v>405</v>
      </c>
      <c r="E3946" s="546">
        <v>783.14285700000005</v>
      </c>
    </row>
    <row r="3947" spans="2:5" x14ac:dyDescent="0.25">
      <c r="B3947" s="545">
        <v>4681</v>
      </c>
      <c r="C3947" s="545" t="s">
        <v>1045</v>
      </c>
      <c r="D3947" s="669" t="s">
        <v>405</v>
      </c>
      <c r="E3947" s="546">
        <v>593.14999399999999</v>
      </c>
    </row>
    <row r="3948" spans="2:5" x14ac:dyDescent="0.25">
      <c r="B3948" s="545">
        <v>4682</v>
      </c>
      <c r="C3948" s="545" t="s">
        <v>3497</v>
      </c>
      <c r="D3948" s="669" t="s">
        <v>405</v>
      </c>
      <c r="E3948" s="546">
        <v>715.77499399999999</v>
      </c>
    </row>
    <row r="3949" spans="2:5" x14ac:dyDescent="0.25">
      <c r="B3949" s="545">
        <v>4683</v>
      </c>
      <c r="C3949" s="545" t="s">
        <v>3842</v>
      </c>
      <c r="D3949" s="669" t="s">
        <v>405</v>
      </c>
      <c r="E3949" s="546">
        <v>735.23999600000002</v>
      </c>
    </row>
    <row r="3950" spans="2:5" x14ac:dyDescent="0.25">
      <c r="B3950" s="545">
        <v>4684</v>
      </c>
      <c r="C3950" s="545" t="s">
        <v>4990</v>
      </c>
      <c r="D3950" s="669" t="s">
        <v>405</v>
      </c>
      <c r="E3950" s="546">
        <v>821.91818000000001</v>
      </c>
    </row>
    <row r="3951" spans="2:5" x14ac:dyDescent="0.25">
      <c r="B3951" s="545">
        <v>4685</v>
      </c>
      <c r="C3951" s="545" t="s">
        <v>4024</v>
      </c>
      <c r="D3951" s="669" t="s">
        <v>405</v>
      </c>
      <c r="E3951" s="546">
        <v>746.639996</v>
      </c>
    </row>
    <row r="3952" spans="2:5" x14ac:dyDescent="0.25">
      <c r="B3952" s="545">
        <v>4686</v>
      </c>
      <c r="C3952" s="545" t="s">
        <v>3121</v>
      </c>
      <c r="D3952" s="669" t="s">
        <v>405</v>
      </c>
      <c r="E3952" s="546">
        <v>697.25556800000004</v>
      </c>
    </row>
    <row r="3953" spans="2:5" x14ac:dyDescent="0.25">
      <c r="B3953" s="545">
        <v>4687</v>
      </c>
      <c r="C3953" s="545" t="s">
        <v>3760</v>
      </c>
      <c r="D3953" s="669" t="s">
        <v>405</v>
      </c>
      <c r="E3953" s="546">
        <v>737.26248899999996</v>
      </c>
    </row>
    <row r="3954" spans="2:5" x14ac:dyDescent="0.25">
      <c r="B3954" s="545">
        <v>4688</v>
      </c>
      <c r="C3954" s="545" t="s">
        <v>3637</v>
      </c>
      <c r="D3954" s="669" t="s">
        <v>405</v>
      </c>
      <c r="E3954" s="546">
        <v>723.77272700000003</v>
      </c>
    </row>
    <row r="3955" spans="2:5" x14ac:dyDescent="0.25">
      <c r="B3955" s="545">
        <v>4689</v>
      </c>
      <c r="C3955" s="545" t="s">
        <v>4323</v>
      </c>
      <c r="D3955" s="669" t="s">
        <v>405</v>
      </c>
      <c r="E3955" s="546">
        <v>766.67500299999995</v>
      </c>
    </row>
    <row r="3956" spans="2:5" x14ac:dyDescent="0.25">
      <c r="B3956" s="545">
        <v>4690</v>
      </c>
      <c r="C3956" s="545" t="s">
        <v>7488</v>
      </c>
      <c r="D3956" s="669" t="s">
        <v>405</v>
      </c>
      <c r="E3956" s="546">
        <v>811.21112100000005</v>
      </c>
    </row>
    <row r="3957" spans="2:5" x14ac:dyDescent="0.25">
      <c r="B3957" s="545">
        <v>4691</v>
      </c>
      <c r="C3957" s="545" t="s">
        <v>7503</v>
      </c>
      <c r="D3957" s="669" t="s">
        <v>405</v>
      </c>
      <c r="E3957" s="546">
        <v>719.90000399999997</v>
      </c>
    </row>
    <row r="3958" spans="2:5" x14ac:dyDescent="0.25">
      <c r="B3958" s="545">
        <v>4692</v>
      </c>
      <c r="C3958" s="545" t="s">
        <v>2319</v>
      </c>
      <c r="D3958" s="669" t="s">
        <v>405</v>
      </c>
      <c r="E3958" s="546">
        <v>658.27500899999995</v>
      </c>
    </row>
    <row r="3959" spans="2:5" x14ac:dyDescent="0.25">
      <c r="B3959" s="545">
        <v>4693</v>
      </c>
      <c r="C3959" s="545" t="s">
        <v>1337</v>
      </c>
      <c r="D3959" s="669" t="s">
        <v>405</v>
      </c>
      <c r="E3959" s="546">
        <v>748.62857499999996</v>
      </c>
    </row>
    <row r="3960" spans="2:5" x14ac:dyDescent="0.25">
      <c r="B3960" s="545">
        <v>4694</v>
      </c>
      <c r="C3960" s="545" t="s">
        <v>1598</v>
      </c>
      <c r="D3960" s="669" t="s">
        <v>405</v>
      </c>
      <c r="E3960" s="546">
        <v>671.125</v>
      </c>
    </row>
    <row r="3961" spans="2:5" x14ac:dyDescent="0.25">
      <c r="B3961" s="545">
        <v>4695</v>
      </c>
      <c r="C3961" s="545" t="s">
        <v>3135</v>
      </c>
      <c r="D3961" s="669" t="s">
        <v>405</v>
      </c>
      <c r="E3961" s="546">
        <v>698</v>
      </c>
    </row>
    <row r="3962" spans="2:5" x14ac:dyDescent="0.25">
      <c r="B3962" s="545">
        <v>4696</v>
      </c>
      <c r="C3962" s="545" t="s">
        <v>5255</v>
      </c>
      <c r="D3962" s="669" t="s">
        <v>405</v>
      </c>
      <c r="E3962" s="546">
        <v>854.49999100000002</v>
      </c>
    </row>
    <row r="3963" spans="2:5" x14ac:dyDescent="0.25">
      <c r="B3963" s="545">
        <v>4697</v>
      </c>
      <c r="C3963" s="545" t="s">
        <v>5187</v>
      </c>
      <c r="D3963" s="669" t="s">
        <v>405</v>
      </c>
      <c r="E3963" s="546">
        <v>844.20000500000003</v>
      </c>
    </row>
    <row r="3964" spans="2:5" x14ac:dyDescent="0.25">
      <c r="B3964" s="545">
        <v>4698</v>
      </c>
      <c r="C3964" s="545" t="s">
        <v>4348</v>
      </c>
      <c r="D3964" s="669" t="s">
        <v>405</v>
      </c>
      <c r="E3964" s="546">
        <v>768.09999600000003</v>
      </c>
    </row>
    <row r="3965" spans="2:5" x14ac:dyDescent="0.25">
      <c r="B3965" s="545">
        <v>4699</v>
      </c>
      <c r="C3965" s="545" t="s">
        <v>3665</v>
      </c>
      <c r="D3965" s="669" t="s">
        <v>405</v>
      </c>
      <c r="E3965" s="546">
        <v>725</v>
      </c>
    </row>
    <row r="3966" spans="2:5" x14ac:dyDescent="0.25">
      <c r="B3966" s="545">
        <v>4700</v>
      </c>
      <c r="C3966" s="545" t="s">
        <v>4280</v>
      </c>
      <c r="D3966" s="669" t="s">
        <v>405</v>
      </c>
      <c r="E3966" s="546">
        <v>763.45000600000003</v>
      </c>
    </row>
    <row r="3967" spans="2:5" x14ac:dyDescent="0.25">
      <c r="B3967" s="545">
        <v>4701</v>
      </c>
      <c r="C3967" s="545" t="s">
        <v>3834</v>
      </c>
      <c r="D3967" s="669" t="s">
        <v>405</v>
      </c>
      <c r="E3967" s="546">
        <v>734.83749399999999</v>
      </c>
    </row>
    <row r="3968" spans="2:5" x14ac:dyDescent="0.25">
      <c r="B3968" s="545">
        <v>4702</v>
      </c>
      <c r="C3968" s="545" t="s">
        <v>3401</v>
      </c>
      <c r="D3968" s="669" t="s">
        <v>405</v>
      </c>
      <c r="E3968" s="546">
        <v>711.07142899999997</v>
      </c>
    </row>
    <row r="3969" spans="2:5" x14ac:dyDescent="0.25">
      <c r="B3969" s="545">
        <v>4703</v>
      </c>
      <c r="C3969" s="545" t="s">
        <v>3738</v>
      </c>
      <c r="D3969" s="669" t="s">
        <v>405</v>
      </c>
      <c r="E3969" s="546">
        <v>729.04999799999996</v>
      </c>
    </row>
    <row r="3970" spans="2:5" x14ac:dyDescent="0.25">
      <c r="B3970" s="545">
        <v>4704</v>
      </c>
      <c r="C3970" s="545" t="s">
        <v>4246</v>
      </c>
      <c r="D3970" s="669" t="s">
        <v>405</v>
      </c>
      <c r="E3970" s="546">
        <v>760.79998799999998</v>
      </c>
    </row>
    <row r="3971" spans="2:5" x14ac:dyDescent="0.25">
      <c r="B3971" s="545">
        <v>4705</v>
      </c>
      <c r="C3971" s="545" t="s">
        <v>4685</v>
      </c>
      <c r="D3971" s="669" t="s">
        <v>405</v>
      </c>
      <c r="E3971" s="546">
        <v>794.61999500000002</v>
      </c>
    </row>
    <row r="3972" spans="2:5" x14ac:dyDescent="0.25">
      <c r="B3972" s="545">
        <v>4706</v>
      </c>
      <c r="C3972" s="545" t="s">
        <v>3538</v>
      </c>
      <c r="D3972" s="669" t="s">
        <v>405</v>
      </c>
      <c r="E3972" s="546">
        <v>718.240002</v>
      </c>
    </row>
    <row r="3973" spans="2:5" x14ac:dyDescent="0.25">
      <c r="B3973" s="545">
        <v>4751</v>
      </c>
      <c r="C3973" s="545" t="s">
        <v>1166</v>
      </c>
      <c r="D3973" s="669" t="s">
        <v>407</v>
      </c>
      <c r="E3973" s="546">
        <v>602.08000100000004</v>
      </c>
    </row>
    <row r="3974" spans="2:5" x14ac:dyDescent="0.25">
      <c r="B3974" s="545">
        <v>4752</v>
      </c>
      <c r="C3974" s="545" t="s">
        <v>1208</v>
      </c>
      <c r="D3974" s="669" t="s">
        <v>407</v>
      </c>
      <c r="E3974" s="546">
        <v>604.33333300000004</v>
      </c>
    </row>
    <row r="3975" spans="2:5" x14ac:dyDescent="0.25">
      <c r="B3975" s="545">
        <v>4753</v>
      </c>
      <c r="C3975" s="545" t="s">
        <v>1437</v>
      </c>
      <c r="D3975" s="669" t="s">
        <v>407</v>
      </c>
      <c r="E3975" s="546">
        <v>617.02500599999996</v>
      </c>
    </row>
    <row r="3976" spans="2:5" x14ac:dyDescent="0.25">
      <c r="B3976" s="545">
        <v>4754</v>
      </c>
      <c r="C3976" s="545" t="s">
        <v>1327</v>
      </c>
      <c r="D3976" s="669" t="s">
        <v>407</v>
      </c>
      <c r="E3976" s="546">
        <v>611.23750299999995</v>
      </c>
    </row>
    <row r="3977" spans="2:5" x14ac:dyDescent="0.25">
      <c r="B3977" s="545">
        <v>4755</v>
      </c>
      <c r="C3977" s="545" t="s">
        <v>968</v>
      </c>
      <c r="D3977" s="669" t="s">
        <v>407</v>
      </c>
      <c r="E3977" s="546">
        <v>585.55714599999999</v>
      </c>
    </row>
    <row r="3978" spans="2:5" x14ac:dyDescent="0.25">
      <c r="B3978" s="545">
        <v>4756</v>
      </c>
      <c r="C3978" s="545" t="s">
        <v>2329</v>
      </c>
      <c r="D3978" s="669" t="s">
        <v>407</v>
      </c>
      <c r="E3978" s="546">
        <v>658.90000499999996</v>
      </c>
    </row>
    <row r="3979" spans="2:5" x14ac:dyDescent="0.25">
      <c r="B3979" s="545">
        <v>4757</v>
      </c>
      <c r="C3979" s="545" t="s">
        <v>2101</v>
      </c>
      <c r="D3979" s="669" t="s">
        <v>407</v>
      </c>
      <c r="E3979" s="546">
        <v>648.09999100000005</v>
      </c>
    </row>
    <row r="3980" spans="2:5" x14ac:dyDescent="0.25">
      <c r="B3980" s="545">
        <v>4758</v>
      </c>
      <c r="C3980" s="545" t="s">
        <v>1981</v>
      </c>
      <c r="D3980" s="669" t="s">
        <v>407</v>
      </c>
      <c r="E3980" s="546">
        <v>642.75454999999999</v>
      </c>
    </row>
    <row r="3981" spans="2:5" x14ac:dyDescent="0.25">
      <c r="B3981" s="545">
        <v>4759</v>
      </c>
      <c r="C3981" s="545" t="s">
        <v>6806</v>
      </c>
      <c r="D3981" s="669" t="s">
        <v>407</v>
      </c>
      <c r="E3981" s="546">
        <v>598.41665599999999</v>
      </c>
    </row>
    <row r="3982" spans="2:5" x14ac:dyDescent="0.25">
      <c r="B3982" s="545">
        <v>4760</v>
      </c>
      <c r="C3982" s="545" t="s">
        <v>407</v>
      </c>
      <c r="D3982" s="669" t="s">
        <v>407</v>
      </c>
      <c r="E3982" s="546">
        <v>600.311103</v>
      </c>
    </row>
    <row r="3983" spans="2:5" x14ac:dyDescent="0.25">
      <c r="B3983" s="545">
        <v>4761</v>
      </c>
      <c r="C3983" s="545" t="s">
        <v>1480</v>
      </c>
      <c r="D3983" s="669" t="s">
        <v>407</v>
      </c>
      <c r="E3983" s="546">
        <v>619.133331</v>
      </c>
    </row>
    <row r="3984" spans="2:5" x14ac:dyDescent="0.25">
      <c r="B3984" s="545">
        <v>4762</v>
      </c>
      <c r="C3984" s="545" t="s">
        <v>2718</v>
      </c>
      <c r="D3984" s="669" t="s">
        <v>407</v>
      </c>
      <c r="E3984" s="546">
        <v>676.75714100000005</v>
      </c>
    </row>
    <row r="3985" spans="2:5" x14ac:dyDescent="0.25">
      <c r="B3985" s="545">
        <v>4763</v>
      </c>
      <c r="C3985" s="545" t="s">
        <v>6601</v>
      </c>
      <c r="D3985" s="669" t="s">
        <v>407</v>
      </c>
      <c r="E3985" s="546">
        <v>671.58571500000005</v>
      </c>
    </row>
    <row r="3986" spans="2:5" x14ac:dyDescent="0.25">
      <c r="B3986" s="545">
        <v>4764</v>
      </c>
      <c r="C3986" s="545" t="s">
        <v>2218</v>
      </c>
      <c r="D3986" s="669" t="s">
        <v>407</v>
      </c>
      <c r="E3986" s="546">
        <v>653.77500899999995</v>
      </c>
    </row>
    <row r="3987" spans="2:5" x14ac:dyDescent="0.25">
      <c r="B3987" s="545">
        <v>4765</v>
      </c>
      <c r="C3987" s="545" t="s">
        <v>936</v>
      </c>
      <c r="D3987" s="669" t="s">
        <v>407</v>
      </c>
      <c r="E3987" s="546">
        <v>583.02727200000004</v>
      </c>
    </row>
    <row r="3988" spans="2:5" x14ac:dyDescent="0.25">
      <c r="B3988" s="545">
        <v>4766</v>
      </c>
      <c r="C3988" s="545" t="s">
        <v>2188</v>
      </c>
      <c r="D3988" s="669" t="s">
        <v>407</v>
      </c>
      <c r="E3988" s="546">
        <v>652.34999100000005</v>
      </c>
    </row>
    <row r="3989" spans="2:5" x14ac:dyDescent="0.25">
      <c r="B3989" s="545">
        <v>4767</v>
      </c>
      <c r="C3989" s="545" t="s">
        <v>2368</v>
      </c>
      <c r="D3989" s="669" t="s">
        <v>407</v>
      </c>
      <c r="E3989" s="546">
        <v>660.51665200000002</v>
      </c>
    </row>
    <row r="3990" spans="2:5" x14ac:dyDescent="0.25">
      <c r="B3990" s="545">
        <v>4768</v>
      </c>
      <c r="C3990" s="545" t="s">
        <v>978</v>
      </c>
      <c r="D3990" s="669" t="s">
        <v>407</v>
      </c>
      <c r="E3990" s="546">
        <v>586.70000500000003</v>
      </c>
    </row>
    <row r="3991" spans="2:5" x14ac:dyDescent="0.25">
      <c r="B3991" s="545">
        <v>4769</v>
      </c>
      <c r="C3991" s="545" t="s">
        <v>1689</v>
      </c>
      <c r="D3991" s="669" t="s">
        <v>407</v>
      </c>
      <c r="E3991" s="546">
        <v>631.79374700000005</v>
      </c>
    </row>
    <row r="3992" spans="2:5" x14ac:dyDescent="0.25">
      <c r="B3992" s="545">
        <v>4770</v>
      </c>
      <c r="C3992" s="545" t="s">
        <v>1571</v>
      </c>
      <c r="D3992" s="669" t="s">
        <v>407</v>
      </c>
      <c r="E3992" s="546">
        <v>624.75</v>
      </c>
    </row>
    <row r="3993" spans="2:5" x14ac:dyDescent="0.25">
      <c r="B3993" s="545">
        <v>4771</v>
      </c>
      <c r="C3993" s="545" t="s">
        <v>6992</v>
      </c>
      <c r="D3993" s="669" t="s">
        <v>407</v>
      </c>
      <c r="E3993" s="546">
        <v>665.30000299999995</v>
      </c>
    </row>
    <row r="3994" spans="2:5" x14ac:dyDescent="0.25">
      <c r="B3994" s="545">
        <v>4772</v>
      </c>
      <c r="C3994" s="545" t="s">
        <v>2626</v>
      </c>
      <c r="D3994" s="669" t="s">
        <v>407</v>
      </c>
      <c r="E3994" s="546">
        <v>672.633331</v>
      </c>
    </row>
    <row r="3995" spans="2:5" x14ac:dyDescent="0.25">
      <c r="B3995" s="545">
        <v>4773</v>
      </c>
      <c r="C3995" s="545" t="s">
        <v>1303</v>
      </c>
      <c r="D3995" s="669" t="s">
        <v>407</v>
      </c>
      <c r="E3995" s="546">
        <v>609.93749200000002</v>
      </c>
    </row>
    <row r="3996" spans="2:5" x14ac:dyDescent="0.25">
      <c r="B3996" s="545">
        <v>4774</v>
      </c>
      <c r="C3996" s="545" t="s">
        <v>1109</v>
      </c>
      <c r="D3996" s="669" t="s">
        <v>407</v>
      </c>
      <c r="E3996" s="546">
        <v>598.41499899999997</v>
      </c>
    </row>
    <row r="3997" spans="2:5" x14ac:dyDescent="0.25">
      <c r="B3997" s="545">
        <v>4775</v>
      </c>
      <c r="C3997" s="545" t="s">
        <v>2244</v>
      </c>
      <c r="D3997" s="669" t="s">
        <v>407</v>
      </c>
      <c r="E3997" s="546">
        <v>654.92500299999995</v>
      </c>
    </row>
    <row r="3998" spans="2:5" x14ac:dyDescent="0.25">
      <c r="B3998" s="545">
        <v>4776</v>
      </c>
      <c r="C3998" s="545" t="s">
        <v>2047</v>
      </c>
      <c r="D3998" s="669" t="s">
        <v>407</v>
      </c>
      <c r="E3998" s="546">
        <v>645.21818399999995</v>
      </c>
    </row>
    <row r="3999" spans="2:5" x14ac:dyDescent="0.25">
      <c r="B3999" s="545">
        <v>4777</v>
      </c>
      <c r="C3999" s="545" t="s">
        <v>1375</v>
      </c>
      <c r="D3999" s="669" t="s">
        <v>407</v>
      </c>
      <c r="E3999" s="546">
        <v>613.94000200000005</v>
      </c>
    </row>
    <row r="4000" spans="2:5" x14ac:dyDescent="0.25">
      <c r="B4000" s="545">
        <v>4778</v>
      </c>
      <c r="C4000" s="545" t="s">
        <v>7226</v>
      </c>
      <c r="D4000" s="669" t="s">
        <v>407</v>
      </c>
      <c r="E4000" s="546">
        <v>631.30001800000002</v>
      </c>
    </row>
    <row r="4001" spans="2:5" x14ac:dyDescent="0.25">
      <c r="B4001" s="545">
        <v>4779</v>
      </c>
      <c r="C4001" s="545" t="s">
        <v>923</v>
      </c>
      <c r="D4001" s="669" t="s">
        <v>407</v>
      </c>
      <c r="E4001" s="546">
        <v>582.01999499999999</v>
      </c>
    </row>
    <row r="4002" spans="2:5" x14ac:dyDescent="0.25">
      <c r="B4002" s="545">
        <v>4780</v>
      </c>
      <c r="C4002" s="545" t="s">
        <v>998</v>
      </c>
      <c r="D4002" s="669" t="s">
        <v>407</v>
      </c>
      <c r="E4002" s="546">
        <v>589.11998300000005</v>
      </c>
    </row>
    <row r="4003" spans="2:5" x14ac:dyDescent="0.25">
      <c r="B4003" s="545">
        <v>4781</v>
      </c>
      <c r="C4003" s="545" t="s">
        <v>2109</v>
      </c>
      <c r="D4003" s="669" t="s">
        <v>407</v>
      </c>
      <c r="E4003" s="546">
        <v>648.89999399999999</v>
      </c>
    </row>
    <row r="4004" spans="2:5" x14ac:dyDescent="0.25">
      <c r="B4004" s="545">
        <v>4782</v>
      </c>
      <c r="C4004" s="545" t="s">
        <v>1747</v>
      </c>
      <c r="D4004" s="669" t="s">
        <v>407</v>
      </c>
      <c r="E4004" s="546">
        <v>633.97500600000001</v>
      </c>
    </row>
    <row r="4005" spans="2:5" x14ac:dyDescent="0.25">
      <c r="B4005" s="545">
        <v>4783</v>
      </c>
      <c r="C4005" s="545" t="s">
        <v>1199</v>
      </c>
      <c r="D4005" s="669" t="s">
        <v>407</v>
      </c>
      <c r="E4005" s="546">
        <v>603.79583700000001</v>
      </c>
    </row>
    <row r="4006" spans="2:5" x14ac:dyDescent="0.25">
      <c r="B4006" s="545">
        <v>4784</v>
      </c>
      <c r="C4006" s="545" t="s">
        <v>7130</v>
      </c>
      <c r="D4006" s="669" t="s">
        <v>407</v>
      </c>
      <c r="E4006" s="546">
        <v>612.63571200000001</v>
      </c>
    </row>
    <row r="4007" spans="2:5" x14ac:dyDescent="0.25">
      <c r="B4007" s="545">
        <v>4785</v>
      </c>
      <c r="C4007" s="545" t="s">
        <v>1770</v>
      </c>
      <c r="D4007" s="669" t="s">
        <v>407</v>
      </c>
      <c r="E4007" s="546">
        <v>635.04284700000005</v>
      </c>
    </row>
    <row r="4008" spans="2:5" x14ac:dyDescent="0.25">
      <c r="B4008" s="545">
        <v>4786</v>
      </c>
      <c r="C4008" s="545" t="s">
        <v>1901</v>
      </c>
      <c r="D4008" s="669" t="s">
        <v>407</v>
      </c>
      <c r="E4008" s="546">
        <v>640.03750600000001</v>
      </c>
    </row>
    <row r="4009" spans="2:5" x14ac:dyDescent="0.25">
      <c r="B4009" s="545">
        <v>4787</v>
      </c>
      <c r="C4009" s="545" t="s">
        <v>1099</v>
      </c>
      <c r="D4009" s="669" t="s">
        <v>407</v>
      </c>
      <c r="E4009" s="546">
        <v>597.64999399999999</v>
      </c>
    </row>
    <row r="4010" spans="2:5" x14ac:dyDescent="0.25">
      <c r="B4010" s="545">
        <v>4788</v>
      </c>
      <c r="C4010" s="545" t="s">
        <v>1246</v>
      </c>
      <c r="D4010" s="669" t="s">
        <v>407</v>
      </c>
      <c r="E4010" s="546">
        <v>606.40002400000003</v>
      </c>
    </row>
    <row r="4011" spans="2:5" x14ac:dyDescent="0.25">
      <c r="B4011" s="545">
        <v>4789</v>
      </c>
      <c r="C4011" s="545" t="s">
        <v>1231</v>
      </c>
      <c r="D4011" s="669" t="s">
        <v>407</v>
      </c>
      <c r="E4011" s="546">
        <v>605.46665399999995</v>
      </c>
    </row>
    <row r="4012" spans="2:5" x14ac:dyDescent="0.25">
      <c r="B4012" s="545">
        <v>4801</v>
      </c>
      <c r="C4012" s="545" t="s">
        <v>2763</v>
      </c>
      <c r="D4012" s="669" t="s">
        <v>407</v>
      </c>
      <c r="E4012" s="546">
        <v>678.84999600000003</v>
      </c>
    </row>
    <row r="4013" spans="2:5" x14ac:dyDescent="0.25">
      <c r="B4013" s="545">
        <v>4802</v>
      </c>
      <c r="C4013" s="545" t="s">
        <v>3144</v>
      </c>
      <c r="D4013" s="669" t="s">
        <v>407</v>
      </c>
      <c r="E4013" s="546">
        <v>698.59999800000003</v>
      </c>
    </row>
    <row r="4014" spans="2:5" x14ac:dyDescent="0.25">
      <c r="B4014" s="545">
        <v>4803</v>
      </c>
      <c r="C4014" s="545" t="s">
        <v>7272</v>
      </c>
      <c r="D4014" s="669" t="s">
        <v>407</v>
      </c>
      <c r="E4014" s="546">
        <v>628.40909599999998</v>
      </c>
    </row>
    <row r="4015" spans="2:5" x14ac:dyDescent="0.25">
      <c r="B4015" s="545">
        <v>4804</v>
      </c>
      <c r="C4015" s="545" t="s">
        <v>2028</v>
      </c>
      <c r="D4015" s="669" t="s">
        <v>407</v>
      </c>
      <c r="E4015" s="546">
        <v>644.17999299999997</v>
      </c>
    </row>
    <row r="4016" spans="2:5" x14ac:dyDescent="0.25">
      <c r="B4016" s="545">
        <v>4805</v>
      </c>
      <c r="C4016" s="545" t="s">
        <v>3526</v>
      </c>
      <c r="D4016" s="669" t="s">
        <v>407</v>
      </c>
      <c r="E4016" s="546">
        <v>717.66666699999996</v>
      </c>
    </row>
    <row r="4017" spans="2:5" x14ac:dyDescent="0.25">
      <c r="B4017" s="545">
        <v>4806</v>
      </c>
      <c r="C4017" s="545" t="s">
        <v>1626</v>
      </c>
      <c r="D4017" s="669" t="s">
        <v>407</v>
      </c>
      <c r="E4017" s="546">
        <v>627.82501200000002</v>
      </c>
    </row>
    <row r="4018" spans="2:5" x14ac:dyDescent="0.25">
      <c r="B4018" s="545">
        <v>4807</v>
      </c>
      <c r="C4018" s="545" t="s">
        <v>2249</v>
      </c>
      <c r="D4018" s="669" t="s">
        <v>407</v>
      </c>
      <c r="E4018" s="546">
        <v>655.16316300000005</v>
      </c>
    </row>
    <row r="4019" spans="2:5" x14ac:dyDescent="0.25">
      <c r="B4019" s="545">
        <v>4808</v>
      </c>
      <c r="C4019" s="545" t="s">
        <v>2627</v>
      </c>
      <c r="D4019" s="669" t="s">
        <v>407</v>
      </c>
      <c r="E4019" s="546">
        <v>672.66666699999996</v>
      </c>
    </row>
    <row r="4020" spans="2:5" x14ac:dyDescent="0.25">
      <c r="B4020" s="545">
        <v>4809</v>
      </c>
      <c r="C4020" s="545" t="s">
        <v>7474</v>
      </c>
      <c r="D4020" s="669" t="s">
        <v>407</v>
      </c>
      <c r="E4020" s="546">
        <v>694.01110200000005</v>
      </c>
    </row>
    <row r="4021" spans="2:5" x14ac:dyDescent="0.25">
      <c r="B4021" s="545">
        <v>4810</v>
      </c>
      <c r="C4021" s="545" t="s">
        <v>2094</v>
      </c>
      <c r="D4021" s="669" t="s">
        <v>407</v>
      </c>
      <c r="E4021" s="546">
        <v>647.94999700000005</v>
      </c>
    </row>
    <row r="4022" spans="2:5" x14ac:dyDescent="0.25">
      <c r="B4022" s="545">
        <v>4811</v>
      </c>
      <c r="C4022" s="545" t="s">
        <v>2506</v>
      </c>
      <c r="D4022" s="669" t="s">
        <v>407</v>
      </c>
      <c r="E4022" s="546">
        <v>665.82501200000002</v>
      </c>
    </row>
    <row r="4023" spans="2:5" x14ac:dyDescent="0.25">
      <c r="B4023" s="545">
        <v>4812</v>
      </c>
      <c r="C4023" s="545" t="s">
        <v>2314</v>
      </c>
      <c r="D4023" s="669" t="s">
        <v>407</v>
      </c>
      <c r="E4023" s="546">
        <v>657.99999400000002</v>
      </c>
    </row>
    <row r="4024" spans="2:5" x14ac:dyDescent="0.25">
      <c r="B4024" s="545">
        <v>4813</v>
      </c>
      <c r="C4024" s="545" t="s">
        <v>1027</v>
      </c>
      <c r="D4024" s="669" t="s">
        <v>407</v>
      </c>
      <c r="E4024" s="546">
        <v>658.13999000000001</v>
      </c>
    </row>
    <row r="4025" spans="2:5" x14ac:dyDescent="0.25">
      <c r="B4025" s="545">
        <v>4814</v>
      </c>
      <c r="C4025" s="545" t="s">
        <v>3435</v>
      </c>
      <c r="D4025" s="669" t="s">
        <v>407</v>
      </c>
      <c r="E4025" s="546">
        <v>712.56667100000004</v>
      </c>
    </row>
    <row r="4026" spans="2:5" x14ac:dyDescent="0.25">
      <c r="B4026" s="545">
        <v>4815</v>
      </c>
      <c r="C4026" s="545" t="s">
        <v>2434</v>
      </c>
      <c r="D4026" s="669" t="s">
        <v>407</v>
      </c>
      <c r="E4026" s="546">
        <v>663.72499100000005</v>
      </c>
    </row>
    <row r="4027" spans="2:5" x14ac:dyDescent="0.25">
      <c r="B4027" s="545">
        <v>4816</v>
      </c>
      <c r="C4027" s="545" t="s">
        <v>1726</v>
      </c>
      <c r="D4027" s="669" t="s">
        <v>407</v>
      </c>
      <c r="E4027" s="546">
        <v>633.40909599999998</v>
      </c>
    </row>
    <row r="4028" spans="2:5" x14ac:dyDescent="0.25">
      <c r="B4028" s="545">
        <v>4817</v>
      </c>
      <c r="C4028" s="545" t="s">
        <v>3103</v>
      </c>
      <c r="D4028" s="669" t="s">
        <v>407</v>
      </c>
      <c r="E4028" s="546">
        <v>696.135716</v>
      </c>
    </row>
    <row r="4029" spans="2:5" x14ac:dyDescent="0.25">
      <c r="B4029" s="545">
        <v>4818</v>
      </c>
      <c r="C4029" s="545" t="s">
        <v>2770</v>
      </c>
      <c r="D4029" s="669" t="s">
        <v>407</v>
      </c>
      <c r="E4029" s="546">
        <v>679.19999199999995</v>
      </c>
    </row>
    <row r="4030" spans="2:5" x14ac:dyDescent="0.25">
      <c r="B4030" s="545">
        <v>4819</v>
      </c>
      <c r="C4030" s="545" t="s">
        <v>3168</v>
      </c>
      <c r="D4030" s="669" t="s">
        <v>407</v>
      </c>
      <c r="E4030" s="546">
        <v>699.71250199999997</v>
      </c>
    </row>
    <row r="4031" spans="2:5" x14ac:dyDescent="0.25">
      <c r="B4031" s="545">
        <v>4820</v>
      </c>
      <c r="C4031" s="545" t="s">
        <v>4394</v>
      </c>
      <c r="D4031" s="669" t="s">
        <v>407</v>
      </c>
      <c r="E4031" s="546">
        <v>771.89090799999997</v>
      </c>
    </row>
    <row r="4032" spans="2:5" x14ac:dyDescent="0.25">
      <c r="B4032" s="545">
        <v>4821</v>
      </c>
      <c r="C4032" s="545" t="s">
        <v>4155</v>
      </c>
      <c r="D4032" s="669" t="s">
        <v>407</v>
      </c>
      <c r="E4032" s="546">
        <v>754.11250299999995</v>
      </c>
    </row>
    <row r="4033" spans="2:5" x14ac:dyDescent="0.25">
      <c r="B4033" s="545">
        <v>4822</v>
      </c>
      <c r="C4033" s="545" t="s">
        <v>3549</v>
      </c>
      <c r="D4033" s="669" t="s">
        <v>407</v>
      </c>
      <c r="E4033" s="546">
        <v>718.75001499999996</v>
      </c>
    </row>
    <row r="4034" spans="2:5" x14ac:dyDescent="0.25">
      <c r="B4034" s="545">
        <v>4823</v>
      </c>
      <c r="C4034" s="545" t="s">
        <v>2841</v>
      </c>
      <c r="D4034" s="669" t="s">
        <v>407</v>
      </c>
      <c r="E4034" s="546">
        <v>683.67142999999999</v>
      </c>
    </row>
    <row r="4035" spans="2:5" x14ac:dyDescent="0.25">
      <c r="B4035" s="545">
        <v>4824</v>
      </c>
      <c r="C4035" s="545" t="s">
        <v>3316</v>
      </c>
      <c r="D4035" s="669" t="s">
        <v>407</v>
      </c>
      <c r="E4035" s="546">
        <v>706.93077200000005</v>
      </c>
    </row>
    <row r="4036" spans="2:5" x14ac:dyDescent="0.25">
      <c r="B4036" s="545">
        <v>4825</v>
      </c>
      <c r="C4036" s="545" t="s">
        <v>2688</v>
      </c>
      <c r="D4036" s="669" t="s">
        <v>407</v>
      </c>
      <c r="E4036" s="546">
        <v>675.43332899999996</v>
      </c>
    </row>
    <row r="4037" spans="2:5" x14ac:dyDescent="0.25">
      <c r="B4037" s="545">
        <v>4826</v>
      </c>
      <c r="C4037" s="545" t="s">
        <v>3202</v>
      </c>
      <c r="D4037" s="669" t="s">
        <v>407</v>
      </c>
      <c r="E4037" s="546">
        <v>701.20000200000004</v>
      </c>
    </row>
    <row r="4038" spans="2:5" x14ac:dyDescent="0.25">
      <c r="B4038" s="545">
        <v>4827</v>
      </c>
      <c r="C4038" s="545" t="s">
        <v>2788</v>
      </c>
      <c r="D4038" s="669" t="s">
        <v>407</v>
      </c>
      <c r="E4038" s="546">
        <v>680.25</v>
      </c>
    </row>
    <row r="4039" spans="2:5" x14ac:dyDescent="0.25">
      <c r="B4039" s="545">
        <v>4828</v>
      </c>
      <c r="C4039" s="545" t="s">
        <v>3594</v>
      </c>
      <c r="D4039" s="669" t="s">
        <v>407</v>
      </c>
      <c r="E4039" s="546">
        <v>720.90000199999997</v>
      </c>
    </row>
    <row r="4040" spans="2:5" x14ac:dyDescent="0.25">
      <c r="B4040" s="545">
        <v>4829</v>
      </c>
      <c r="C4040" s="545" t="s">
        <v>2545</v>
      </c>
      <c r="D4040" s="669" t="s">
        <v>407</v>
      </c>
      <c r="E4040" s="546">
        <v>750.80000299999995</v>
      </c>
    </row>
    <row r="4041" spans="2:5" x14ac:dyDescent="0.25">
      <c r="B4041" s="545">
        <v>4830</v>
      </c>
      <c r="C4041" s="545" t="s">
        <v>1913</v>
      </c>
      <c r="D4041" s="669" t="s">
        <v>407</v>
      </c>
      <c r="E4041" s="546">
        <v>787.20001200000002</v>
      </c>
    </row>
    <row r="4042" spans="2:5" x14ac:dyDescent="0.25">
      <c r="B4042" s="545">
        <v>4831</v>
      </c>
      <c r="C4042" s="545" t="s">
        <v>3306</v>
      </c>
      <c r="D4042" s="669" t="s">
        <v>407</v>
      </c>
      <c r="E4042" s="546">
        <v>706.29090499999995</v>
      </c>
    </row>
    <row r="4043" spans="2:5" x14ac:dyDescent="0.25">
      <c r="B4043" s="545">
        <v>4832</v>
      </c>
      <c r="C4043" s="545" t="s">
        <v>3879</v>
      </c>
      <c r="D4043" s="669" t="s">
        <v>407</v>
      </c>
      <c r="E4043" s="546">
        <v>737.49090000000001</v>
      </c>
    </row>
    <row r="4044" spans="2:5" x14ac:dyDescent="0.25">
      <c r="B4044" s="545">
        <v>4833</v>
      </c>
      <c r="C4044" s="545" t="s">
        <v>3849</v>
      </c>
      <c r="D4044" s="669" t="s">
        <v>407</v>
      </c>
      <c r="E4044" s="546">
        <v>735.58572000000004</v>
      </c>
    </row>
    <row r="4045" spans="2:5" x14ac:dyDescent="0.25">
      <c r="B4045" s="545">
        <v>4834</v>
      </c>
      <c r="C4045" s="545" t="s">
        <v>1597</v>
      </c>
      <c r="D4045" s="669" t="s">
        <v>407</v>
      </c>
      <c r="E4045" s="546">
        <v>776.22499100000005</v>
      </c>
    </row>
    <row r="4046" spans="2:5" x14ac:dyDescent="0.25">
      <c r="B4046" s="545">
        <v>4835</v>
      </c>
      <c r="C4046" s="545" t="s">
        <v>4574</v>
      </c>
      <c r="D4046" s="669" t="s">
        <v>407</v>
      </c>
      <c r="E4046" s="546">
        <v>786.07272599999999</v>
      </c>
    </row>
    <row r="4047" spans="2:5" x14ac:dyDescent="0.25">
      <c r="B4047" s="545">
        <v>4836</v>
      </c>
      <c r="C4047" s="545" t="s">
        <v>4063</v>
      </c>
      <c r="D4047" s="669" t="s">
        <v>407</v>
      </c>
      <c r="E4047" s="546">
        <v>749.06664999999998</v>
      </c>
    </row>
    <row r="4048" spans="2:5" x14ac:dyDescent="0.25">
      <c r="B4048" s="545">
        <v>4837</v>
      </c>
      <c r="C4048" s="545" t="s">
        <v>4244</v>
      </c>
      <c r="D4048" s="669" t="s">
        <v>407</v>
      </c>
      <c r="E4048" s="546">
        <v>760.59999600000003</v>
      </c>
    </row>
    <row r="4049" spans="2:5" x14ac:dyDescent="0.25">
      <c r="B4049" s="545">
        <v>4838</v>
      </c>
      <c r="C4049" s="545" t="s">
        <v>4164</v>
      </c>
      <c r="D4049" s="669" t="s">
        <v>407</v>
      </c>
      <c r="E4049" s="546">
        <v>755.06000200000005</v>
      </c>
    </row>
    <row r="4050" spans="2:5" x14ac:dyDescent="0.25">
      <c r="B4050" s="545">
        <v>4839</v>
      </c>
      <c r="C4050" s="545" t="s">
        <v>412</v>
      </c>
      <c r="D4050" s="669" t="s">
        <v>407</v>
      </c>
      <c r="E4050" s="546">
        <v>688.67999299999997</v>
      </c>
    </row>
    <row r="4051" spans="2:5" x14ac:dyDescent="0.25">
      <c r="B4051" s="545">
        <v>4840</v>
      </c>
      <c r="C4051" s="545" t="s">
        <v>3023</v>
      </c>
      <c r="D4051" s="669" t="s">
        <v>407</v>
      </c>
      <c r="E4051" s="546">
        <v>692.130765</v>
      </c>
    </row>
    <row r="4052" spans="2:5" x14ac:dyDescent="0.25">
      <c r="B4052" s="545">
        <v>4841</v>
      </c>
      <c r="C4052" s="545" t="s">
        <v>3332</v>
      </c>
      <c r="D4052" s="669" t="s">
        <v>407</v>
      </c>
      <c r="E4052" s="546">
        <v>707.54000199999996</v>
      </c>
    </row>
    <row r="4053" spans="2:5" x14ac:dyDescent="0.25">
      <c r="B4053" s="545">
        <v>4842</v>
      </c>
      <c r="C4053" s="545" t="s">
        <v>3010</v>
      </c>
      <c r="D4053" s="669" t="s">
        <v>407</v>
      </c>
      <c r="E4053" s="546">
        <v>691.26668299999994</v>
      </c>
    </row>
    <row r="4054" spans="2:5" x14ac:dyDescent="0.25">
      <c r="B4054" s="545">
        <v>4843</v>
      </c>
      <c r="C4054" s="545" t="s">
        <v>3443</v>
      </c>
      <c r="D4054" s="669" t="s">
        <v>407</v>
      </c>
      <c r="E4054" s="546">
        <v>712.93335000000002</v>
      </c>
    </row>
    <row r="4055" spans="2:5" x14ac:dyDescent="0.25">
      <c r="B4055" s="545">
        <v>4844</v>
      </c>
      <c r="C4055" s="545" t="s">
        <v>6755</v>
      </c>
      <c r="D4055" s="669" t="s">
        <v>407</v>
      </c>
      <c r="E4055" s="546">
        <v>828.54998799999998</v>
      </c>
    </row>
    <row r="4056" spans="2:5" x14ac:dyDescent="0.25">
      <c r="B4056" s="545">
        <v>4845</v>
      </c>
      <c r="C4056" s="545" t="s">
        <v>1187</v>
      </c>
      <c r="D4056" s="669" t="s">
        <v>407</v>
      </c>
      <c r="E4056" s="546">
        <v>853.20001200000002</v>
      </c>
    </row>
    <row r="4057" spans="2:5" x14ac:dyDescent="0.25">
      <c r="B4057" s="545">
        <v>4846</v>
      </c>
      <c r="C4057" s="545" t="s">
        <v>3308</v>
      </c>
      <c r="D4057" s="669" t="s">
        <v>407</v>
      </c>
      <c r="E4057" s="546">
        <v>845.13750500000003</v>
      </c>
    </row>
    <row r="4058" spans="2:5" x14ac:dyDescent="0.25">
      <c r="B4058" s="545">
        <v>4847</v>
      </c>
      <c r="C4058" s="545" t="s">
        <v>6635</v>
      </c>
      <c r="D4058" s="669" t="s">
        <v>407</v>
      </c>
      <c r="E4058" s="546">
        <v>852.31817899999999</v>
      </c>
    </row>
    <row r="4059" spans="2:5" x14ac:dyDescent="0.25">
      <c r="B4059" s="545">
        <v>4848</v>
      </c>
      <c r="C4059" s="545" t="s">
        <v>4553</v>
      </c>
      <c r="D4059" s="669" t="s">
        <v>407</v>
      </c>
      <c r="E4059" s="546">
        <v>784.09999100000005</v>
      </c>
    </row>
    <row r="4060" spans="2:5" x14ac:dyDescent="0.25">
      <c r="B4060" s="545">
        <v>4849</v>
      </c>
      <c r="C4060" s="545" t="s">
        <v>4390</v>
      </c>
      <c r="D4060" s="669" t="s">
        <v>407</v>
      </c>
      <c r="E4060" s="546">
        <v>824.99545599999999</v>
      </c>
    </row>
    <row r="4061" spans="2:5" x14ac:dyDescent="0.25">
      <c r="B4061" s="545">
        <v>4850</v>
      </c>
      <c r="C4061" s="545" t="s">
        <v>5059</v>
      </c>
      <c r="D4061" s="669" t="s">
        <v>407</v>
      </c>
      <c r="E4061" s="546">
        <v>829.12221999999997</v>
      </c>
    </row>
    <row r="4062" spans="2:5" x14ac:dyDescent="0.25">
      <c r="B4062" s="545">
        <v>4851</v>
      </c>
      <c r="C4062" s="545" t="s">
        <v>799</v>
      </c>
      <c r="D4062" s="669" t="s">
        <v>407</v>
      </c>
      <c r="E4062" s="546">
        <v>658.24614999999994</v>
      </c>
    </row>
    <row r="4063" spans="2:5" x14ac:dyDescent="0.25">
      <c r="B4063" s="545">
        <v>4852</v>
      </c>
      <c r="C4063" s="545" t="s">
        <v>6817</v>
      </c>
      <c r="D4063" s="669" t="s">
        <v>407</v>
      </c>
      <c r="E4063" s="546">
        <v>665.375</v>
      </c>
    </row>
    <row r="4064" spans="2:5" x14ac:dyDescent="0.25">
      <c r="B4064" s="545">
        <v>4853</v>
      </c>
      <c r="C4064" s="545" t="s">
        <v>2002</v>
      </c>
      <c r="D4064" s="669" t="s">
        <v>407</v>
      </c>
      <c r="E4064" s="546">
        <v>643.36999500000002</v>
      </c>
    </row>
    <row r="4065" spans="2:5" x14ac:dyDescent="0.25">
      <c r="B4065" s="545">
        <v>4854</v>
      </c>
      <c r="C4065" s="545" t="s">
        <v>1645</v>
      </c>
      <c r="D4065" s="669" t="s">
        <v>407</v>
      </c>
      <c r="E4065" s="546">
        <v>628.93000500000005</v>
      </c>
    </row>
    <row r="4066" spans="2:5" x14ac:dyDescent="0.25">
      <c r="B4066" s="545">
        <v>4855</v>
      </c>
      <c r="C4066" s="545" t="s">
        <v>7008</v>
      </c>
      <c r="D4066" s="669" t="s">
        <v>407</v>
      </c>
      <c r="E4066" s="546">
        <v>605.64167299999997</v>
      </c>
    </row>
    <row r="4067" spans="2:5" x14ac:dyDescent="0.25">
      <c r="B4067" s="545">
        <v>4856</v>
      </c>
      <c r="C4067" s="545" t="s">
        <v>1733</v>
      </c>
      <c r="D4067" s="669" t="s">
        <v>407</v>
      </c>
      <c r="E4067" s="546">
        <v>633.64999399999999</v>
      </c>
    </row>
    <row r="4068" spans="2:5" x14ac:dyDescent="0.25">
      <c r="B4068" s="545">
        <v>4857</v>
      </c>
      <c r="C4068" s="545" t="s">
        <v>6682</v>
      </c>
      <c r="D4068" s="669" t="s">
        <v>407</v>
      </c>
      <c r="E4068" s="546">
        <v>604.33750199999997</v>
      </c>
    </row>
    <row r="4069" spans="2:5" x14ac:dyDescent="0.25">
      <c r="B4069" s="545">
        <v>4858</v>
      </c>
      <c r="C4069" s="545" t="s">
        <v>1255</v>
      </c>
      <c r="D4069" s="669" t="s">
        <v>407</v>
      </c>
      <c r="E4069" s="546">
        <v>606.75999100000001</v>
      </c>
    </row>
    <row r="4070" spans="2:5" x14ac:dyDescent="0.25">
      <c r="B4070" s="545">
        <v>4859</v>
      </c>
      <c r="C4070" s="545" t="s">
        <v>1646</v>
      </c>
      <c r="D4070" s="669" t="s">
        <v>407</v>
      </c>
      <c r="E4070" s="546">
        <v>628.95001200000002</v>
      </c>
    </row>
    <row r="4071" spans="2:5" x14ac:dyDescent="0.25">
      <c r="B4071" s="545">
        <v>4860</v>
      </c>
      <c r="C4071" s="545" t="s">
        <v>1795</v>
      </c>
      <c r="D4071" s="669" t="s">
        <v>407</v>
      </c>
      <c r="E4071" s="546">
        <v>635.85000600000001</v>
      </c>
    </row>
    <row r="4072" spans="2:5" x14ac:dyDescent="0.25">
      <c r="B4072" s="545">
        <v>4861</v>
      </c>
      <c r="C4072" s="545" t="s">
        <v>3282</v>
      </c>
      <c r="D4072" s="669" t="s">
        <v>407</v>
      </c>
      <c r="E4072" s="546">
        <v>704.72000100000002</v>
      </c>
    </row>
    <row r="4073" spans="2:5" x14ac:dyDescent="0.25">
      <c r="B4073" s="545">
        <v>4862</v>
      </c>
      <c r="C4073" s="545" t="s">
        <v>2616</v>
      </c>
      <c r="D4073" s="669" t="s">
        <v>407</v>
      </c>
      <c r="E4073" s="546">
        <v>671.85714700000005</v>
      </c>
    </row>
    <row r="4074" spans="2:5" x14ac:dyDescent="0.25">
      <c r="B4074" s="545">
        <v>4863</v>
      </c>
      <c r="C4074" s="545" t="s">
        <v>2177</v>
      </c>
      <c r="D4074" s="669" t="s">
        <v>407</v>
      </c>
      <c r="E4074" s="546">
        <v>652.06666099999995</v>
      </c>
    </row>
    <row r="4075" spans="2:5" x14ac:dyDescent="0.25">
      <c r="B4075" s="545">
        <v>4864</v>
      </c>
      <c r="C4075" s="545" t="s">
        <v>2478</v>
      </c>
      <c r="D4075" s="669" t="s">
        <v>407</v>
      </c>
      <c r="E4075" s="546">
        <v>665.02940799999999</v>
      </c>
    </row>
    <row r="4076" spans="2:5" x14ac:dyDescent="0.25">
      <c r="B4076" s="545">
        <v>4865</v>
      </c>
      <c r="C4076" s="545" t="s">
        <v>3268</v>
      </c>
      <c r="D4076" s="669" t="s">
        <v>407</v>
      </c>
      <c r="E4076" s="546">
        <v>703.81666600000005</v>
      </c>
    </row>
    <row r="4077" spans="2:5" x14ac:dyDescent="0.25">
      <c r="B4077" s="545">
        <v>4866</v>
      </c>
      <c r="C4077" s="545" t="s">
        <v>3565</v>
      </c>
      <c r="D4077" s="669" t="s">
        <v>407</v>
      </c>
      <c r="E4077" s="546">
        <v>719.37143400000002</v>
      </c>
    </row>
    <row r="4078" spans="2:5" x14ac:dyDescent="0.25">
      <c r="B4078" s="545">
        <v>4867</v>
      </c>
      <c r="C4078" s="545" t="s">
        <v>3464</v>
      </c>
      <c r="D4078" s="669" t="s">
        <v>407</v>
      </c>
      <c r="E4078" s="546">
        <v>714.04285500000003</v>
      </c>
    </row>
    <row r="4079" spans="2:5" x14ac:dyDescent="0.25">
      <c r="B4079" s="545">
        <v>4868</v>
      </c>
      <c r="C4079" s="545" t="s">
        <v>2964</v>
      </c>
      <c r="D4079" s="669" t="s">
        <v>407</v>
      </c>
      <c r="E4079" s="546">
        <v>688.73749499999997</v>
      </c>
    </row>
    <row r="4080" spans="2:5" x14ac:dyDescent="0.25">
      <c r="B4080" s="545">
        <v>4869</v>
      </c>
      <c r="C4080" s="545" t="s">
        <v>6680</v>
      </c>
      <c r="D4080" s="669" t="s">
        <v>407</v>
      </c>
      <c r="E4080" s="546">
        <v>705.44999700000005</v>
      </c>
    </row>
    <row r="4081" spans="2:5" x14ac:dyDescent="0.25">
      <c r="B4081" s="545">
        <v>4870</v>
      </c>
      <c r="C4081" s="545" t="s">
        <v>1647</v>
      </c>
      <c r="D4081" s="669" t="s">
        <v>407</v>
      </c>
      <c r="E4081" s="546">
        <v>693.01999499999999</v>
      </c>
    </row>
    <row r="4082" spans="2:5" x14ac:dyDescent="0.25">
      <c r="B4082" s="545">
        <v>4871</v>
      </c>
      <c r="C4082" s="545" t="s">
        <v>3394</v>
      </c>
      <c r="D4082" s="669" t="s">
        <v>407</v>
      </c>
      <c r="E4082" s="546">
        <v>710.70001200000002</v>
      </c>
    </row>
    <row r="4083" spans="2:5" x14ac:dyDescent="0.25">
      <c r="B4083" s="545">
        <v>4872</v>
      </c>
      <c r="C4083" s="545" t="s">
        <v>1567</v>
      </c>
      <c r="D4083" s="669" t="s">
        <v>407</v>
      </c>
      <c r="E4083" s="546">
        <v>624.57332399999996</v>
      </c>
    </row>
    <row r="4084" spans="2:5" x14ac:dyDescent="0.25">
      <c r="B4084" s="545">
        <v>4873</v>
      </c>
      <c r="C4084" s="545" t="s">
        <v>1561</v>
      </c>
      <c r="D4084" s="669" t="s">
        <v>407</v>
      </c>
      <c r="E4084" s="546">
        <v>624.36251100000004</v>
      </c>
    </row>
    <row r="4085" spans="2:5" x14ac:dyDescent="0.25">
      <c r="B4085" s="545">
        <v>4874</v>
      </c>
      <c r="C4085" s="545" t="s">
        <v>1671</v>
      </c>
      <c r="D4085" s="669" t="s">
        <v>407</v>
      </c>
      <c r="E4085" s="546">
        <v>630.71666500000003</v>
      </c>
    </row>
    <row r="4086" spans="2:5" x14ac:dyDescent="0.25">
      <c r="B4086" s="545">
        <v>4875</v>
      </c>
      <c r="C4086" s="545" t="s">
        <v>2337</v>
      </c>
      <c r="D4086" s="669" t="s">
        <v>407</v>
      </c>
      <c r="E4086" s="546">
        <v>659.08888100000001</v>
      </c>
    </row>
    <row r="4087" spans="2:5" x14ac:dyDescent="0.25">
      <c r="B4087" s="545">
        <v>4876</v>
      </c>
      <c r="C4087" s="545" t="s">
        <v>2306</v>
      </c>
      <c r="D4087" s="669" t="s">
        <v>407</v>
      </c>
      <c r="E4087" s="546">
        <v>657.70000300000004</v>
      </c>
    </row>
    <row r="4088" spans="2:5" x14ac:dyDescent="0.25">
      <c r="B4088" s="545">
        <v>4877</v>
      </c>
      <c r="C4088" s="545" t="s">
        <v>2798</v>
      </c>
      <c r="D4088" s="669" t="s">
        <v>407</v>
      </c>
      <c r="E4088" s="546">
        <v>680.97999300000004</v>
      </c>
    </row>
    <row r="4089" spans="2:5" x14ac:dyDescent="0.25">
      <c r="B4089" s="545">
        <v>4878</v>
      </c>
      <c r="C4089" s="545" t="s">
        <v>3319</v>
      </c>
      <c r="D4089" s="669" t="s">
        <v>407</v>
      </c>
      <c r="E4089" s="546">
        <v>707.06667100000004</v>
      </c>
    </row>
    <row r="4090" spans="2:5" x14ac:dyDescent="0.25">
      <c r="B4090" s="545">
        <v>4879</v>
      </c>
      <c r="C4090" s="545" t="s">
        <v>2072</v>
      </c>
      <c r="D4090" s="669" t="s">
        <v>407</v>
      </c>
      <c r="E4090" s="546">
        <v>646.66666699999996</v>
      </c>
    </row>
    <row r="4091" spans="2:5" x14ac:dyDescent="0.25">
      <c r="B4091" s="545">
        <v>4901</v>
      </c>
      <c r="C4091" s="545" t="s">
        <v>3441</v>
      </c>
      <c r="D4091" s="669" t="s">
        <v>407</v>
      </c>
      <c r="E4091" s="546">
        <v>712.90000399999997</v>
      </c>
    </row>
    <row r="4092" spans="2:5" x14ac:dyDescent="0.25">
      <c r="B4092" s="545">
        <v>4902</v>
      </c>
      <c r="C4092" s="545" t="s">
        <v>4231</v>
      </c>
      <c r="D4092" s="669" t="s">
        <v>407</v>
      </c>
      <c r="E4092" s="546">
        <v>759.85714299999995</v>
      </c>
    </row>
    <row r="4093" spans="2:5" x14ac:dyDescent="0.25">
      <c r="B4093" s="545">
        <v>4903</v>
      </c>
      <c r="C4093" s="545" t="s">
        <v>3959</v>
      </c>
      <c r="D4093" s="669" t="s">
        <v>407</v>
      </c>
      <c r="E4093" s="546">
        <v>742.36250299999995</v>
      </c>
    </row>
    <row r="4094" spans="2:5" x14ac:dyDescent="0.25">
      <c r="B4094" s="545">
        <v>4904</v>
      </c>
      <c r="C4094" s="545" t="s">
        <v>3572</v>
      </c>
      <c r="D4094" s="669" t="s">
        <v>407</v>
      </c>
      <c r="E4094" s="546">
        <v>719.69999700000005</v>
      </c>
    </row>
    <row r="4095" spans="2:5" x14ac:dyDescent="0.25">
      <c r="B4095" s="545">
        <v>4905</v>
      </c>
      <c r="C4095" s="545" t="s">
        <v>3251</v>
      </c>
      <c r="D4095" s="669" t="s">
        <v>407</v>
      </c>
      <c r="E4095" s="546">
        <v>703.31110999999999</v>
      </c>
    </row>
    <row r="4096" spans="2:5" x14ac:dyDescent="0.25">
      <c r="B4096" s="545">
        <v>4906</v>
      </c>
      <c r="C4096" s="545" t="s">
        <v>2837</v>
      </c>
      <c r="D4096" s="669" t="s">
        <v>407</v>
      </c>
      <c r="E4096" s="546">
        <v>683.2</v>
      </c>
    </row>
    <row r="4097" spans="2:5" x14ac:dyDescent="0.25">
      <c r="B4097" s="545">
        <v>4907</v>
      </c>
      <c r="C4097" s="545" t="s">
        <v>3605</v>
      </c>
      <c r="D4097" s="669" t="s">
        <v>407</v>
      </c>
      <c r="E4097" s="546">
        <v>721.72222199999999</v>
      </c>
    </row>
    <row r="4098" spans="2:5" x14ac:dyDescent="0.25">
      <c r="B4098" s="545">
        <v>4908</v>
      </c>
      <c r="C4098" s="545" t="s">
        <v>4212</v>
      </c>
      <c r="D4098" s="669" t="s">
        <v>407</v>
      </c>
      <c r="E4098" s="546">
        <v>758.35454800000002</v>
      </c>
    </row>
    <row r="4099" spans="2:5" x14ac:dyDescent="0.25">
      <c r="B4099" s="545">
        <v>4909</v>
      </c>
      <c r="C4099" s="545" t="s">
        <v>3978</v>
      </c>
      <c r="D4099" s="669" t="s">
        <v>407</v>
      </c>
      <c r="E4099" s="546">
        <v>743.80000800000005</v>
      </c>
    </row>
    <row r="4100" spans="2:5" x14ac:dyDescent="0.25">
      <c r="B4100" s="545">
        <v>4910</v>
      </c>
      <c r="C4100" s="545" t="s">
        <v>4034</v>
      </c>
      <c r="D4100" s="669" t="s">
        <v>407</v>
      </c>
      <c r="E4100" s="546">
        <v>747.02499399999999</v>
      </c>
    </row>
    <row r="4101" spans="2:5" x14ac:dyDescent="0.25">
      <c r="B4101" s="545">
        <v>4911</v>
      </c>
      <c r="C4101" s="545" t="s">
        <v>4512</v>
      </c>
      <c r="D4101" s="669" t="s">
        <v>407</v>
      </c>
      <c r="E4101" s="546">
        <v>780.58571099999995</v>
      </c>
    </row>
    <row r="4102" spans="2:5" x14ac:dyDescent="0.25">
      <c r="B4102" s="545">
        <v>4912</v>
      </c>
      <c r="C4102" s="545" t="s">
        <v>2705</v>
      </c>
      <c r="D4102" s="669" t="s">
        <v>407</v>
      </c>
      <c r="E4102" s="546">
        <v>733.10000600000001</v>
      </c>
    </row>
    <row r="4103" spans="2:5" x14ac:dyDescent="0.25">
      <c r="B4103" s="545">
        <v>4913</v>
      </c>
      <c r="C4103" s="545" t="s">
        <v>4414</v>
      </c>
      <c r="D4103" s="669" t="s">
        <v>407</v>
      </c>
      <c r="E4103" s="546">
        <v>773.84285199999999</v>
      </c>
    </row>
    <row r="4104" spans="2:5" x14ac:dyDescent="0.25">
      <c r="B4104" s="545">
        <v>4914</v>
      </c>
      <c r="C4104" s="545" t="s">
        <v>3837</v>
      </c>
      <c r="D4104" s="669" t="s">
        <v>407</v>
      </c>
      <c r="E4104" s="546">
        <v>734.98889199999996</v>
      </c>
    </row>
    <row r="4105" spans="2:5" x14ac:dyDescent="0.25">
      <c r="B4105" s="545">
        <v>4915</v>
      </c>
      <c r="C4105" s="545" t="s">
        <v>3757</v>
      </c>
      <c r="D4105" s="669" t="s">
        <v>407</v>
      </c>
      <c r="E4105" s="546">
        <v>730.37500499999999</v>
      </c>
    </row>
    <row r="4106" spans="2:5" x14ac:dyDescent="0.25">
      <c r="B4106" s="545">
        <v>4916</v>
      </c>
      <c r="C4106" s="545" t="s">
        <v>3937</v>
      </c>
      <c r="D4106" s="669" t="s">
        <v>407</v>
      </c>
      <c r="E4106" s="546">
        <v>741.01667299999997</v>
      </c>
    </row>
    <row r="4107" spans="2:5" x14ac:dyDescent="0.25">
      <c r="B4107" s="545">
        <v>4917</v>
      </c>
      <c r="C4107" s="545" t="s">
        <v>3620</v>
      </c>
      <c r="D4107" s="669" t="s">
        <v>407</v>
      </c>
      <c r="E4107" s="546">
        <v>722.92666799999995</v>
      </c>
    </row>
    <row r="4108" spans="2:5" x14ac:dyDescent="0.25">
      <c r="B4108" s="545">
        <v>4918</v>
      </c>
      <c r="C4108" s="545" t="s">
        <v>3658</v>
      </c>
      <c r="D4108" s="669" t="s">
        <v>407</v>
      </c>
      <c r="E4108" s="546">
        <v>724.59997599999997</v>
      </c>
    </row>
    <row r="4109" spans="2:5" x14ac:dyDescent="0.25">
      <c r="B4109" s="545">
        <v>4919</v>
      </c>
      <c r="C4109" s="545" t="s">
        <v>3446</v>
      </c>
      <c r="D4109" s="669" t="s">
        <v>407</v>
      </c>
      <c r="E4109" s="546">
        <v>713.11666500000001</v>
      </c>
    </row>
    <row r="4110" spans="2:5" x14ac:dyDescent="0.25">
      <c r="B4110" s="545">
        <v>4920</v>
      </c>
      <c r="C4110" s="545" t="s">
        <v>7105</v>
      </c>
      <c r="D4110" s="669" t="s">
        <v>407</v>
      </c>
      <c r="E4110" s="546">
        <v>743.64999399999999</v>
      </c>
    </row>
    <row r="4111" spans="2:5" x14ac:dyDescent="0.25">
      <c r="B4111" s="545">
        <v>4921</v>
      </c>
      <c r="C4111" s="545" t="s">
        <v>795</v>
      </c>
      <c r="D4111" s="669" t="s">
        <v>407</v>
      </c>
      <c r="E4111" s="546">
        <v>761.10000600000001</v>
      </c>
    </row>
    <row r="4112" spans="2:5" x14ac:dyDescent="0.25">
      <c r="B4112" s="545">
        <v>4922</v>
      </c>
      <c r="C4112" s="545" t="s">
        <v>7164</v>
      </c>
      <c r="D4112" s="669" t="s">
        <v>407</v>
      </c>
      <c r="E4112" s="546">
        <v>716</v>
      </c>
    </row>
    <row r="4113" spans="2:5" x14ac:dyDescent="0.25">
      <c r="B4113" s="545">
        <v>4923</v>
      </c>
      <c r="C4113" s="545" t="s">
        <v>3836</v>
      </c>
      <c r="D4113" s="669" t="s">
        <v>407</v>
      </c>
      <c r="E4113" s="546">
        <v>734.9375</v>
      </c>
    </row>
    <row r="4114" spans="2:5" x14ac:dyDescent="0.25">
      <c r="B4114" s="545">
        <v>4924</v>
      </c>
      <c r="C4114" s="545" t="s">
        <v>2596</v>
      </c>
      <c r="D4114" s="669" t="s">
        <v>407</v>
      </c>
      <c r="E4114" s="546">
        <v>757.860004</v>
      </c>
    </row>
    <row r="4115" spans="2:5" x14ac:dyDescent="0.25">
      <c r="B4115" s="545">
        <v>4925</v>
      </c>
      <c r="C4115" s="545" t="s">
        <v>3885</v>
      </c>
      <c r="D4115" s="669" t="s">
        <v>407</v>
      </c>
      <c r="E4115" s="546">
        <v>737.866669</v>
      </c>
    </row>
    <row r="4116" spans="2:5" x14ac:dyDescent="0.25">
      <c r="B4116" s="545">
        <v>4926</v>
      </c>
      <c r="C4116" s="545" t="s">
        <v>1337</v>
      </c>
      <c r="D4116" s="669" t="s">
        <v>407</v>
      </c>
      <c r="E4116" s="546">
        <v>751.26666299999999</v>
      </c>
    </row>
    <row r="4117" spans="2:5" x14ac:dyDescent="0.25">
      <c r="B4117" s="545">
        <v>4927</v>
      </c>
      <c r="C4117" s="545" t="s">
        <v>3561</v>
      </c>
      <c r="D4117" s="669" t="s">
        <v>407</v>
      </c>
      <c r="E4117" s="546">
        <v>719.19999199999995</v>
      </c>
    </row>
    <row r="4118" spans="2:5" x14ac:dyDescent="0.25">
      <c r="B4118" s="545">
        <v>4928</v>
      </c>
      <c r="C4118" s="545" t="s">
        <v>6491</v>
      </c>
      <c r="D4118" s="669" t="s">
        <v>407</v>
      </c>
      <c r="E4118" s="546">
        <v>664.64286200000004</v>
      </c>
    </row>
    <row r="4119" spans="2:5" x14ac:dyDescent="0.25">
      <c r="B4119" s="545">
        <v>4929</v>
      </c>
      <c r="C4119" s="545" t="s">
        <v>6571</v>
      </c>
      <c r="D4119" s="669" t="s">
        <v>407</v>
      </c>
      <c r="E4119" s="546">
        <v>664.51666299999999</v>
      </c>
    </row>
    <row r="4120" spans="2:5" x14ac:dyDescent="0.25">
      <c r="B4120" s="545">
        <v>4930</v>
      </c>
      <c r="C4120" s="545" t="s">
        <v>6716</v>
      </c>
      <c r="D4120" s="669" t="s">
        <v>407</v>
      </c>
      <c r="E4120" s="546">
        <v>725.42000700000006</v>
      </c>
    </row>
    <row r="4121" spans="2:5" x14ac:dyDescent="0.25">
      <c r="B4121" s="545">
        <v>4931</v>
      </c>
      <c r="C4121" s="545" t="s">
        <v>7510</v>
      </c>
      <c r="D4121" s="669" t="s">
        <v>407</v>
      </c>
      <c r="E4121" s="546">
        <v>696.44999199999995</v>
      </c>
    </row>
    <row r="4122" spans="2:5" x14ac:dyDescent="0.25">
      <c r="B4122" s="545">
        <v>4932</v>
      </c>
      <c r="C4122" s="545" t="s">
        <v>2804</v>
      </c>
      <c r="D4122" s="669" t="s">
        <v>407</v>
      </c>
      <c r="E4122" s="546">
        <v>681.26315499999998</v>
      </c>
    </row>
    <row r="4123" spans="2:5" x14ac:dyDescent="0.25">
      <c r="B4123" s="545">
        <v>4933</v>
      </c>
      <c r="C4123" s="545" t="s">
        <v>3362</v>
      </c>
      <c r="D4123" s="669" t="s">
        <v>407</v>
      </c>
      <c r="E4123" s="546">
        <v>709</v>
      </c>
    </row>
    <row r="4124" spans="2:5" x14ac:dyDescent="0.25">
      <c r="B4124" s="545">
        <v>4934</v>
      </c>
      <c r="C4124" s="545" t="s">
        <v>3027</v>
      </c>
      <c r="D4124" s="669" t="s">
        <v>407</v>
      </c>
      <c r="E4124" s="546">
        <v>711.51111500000002</v>
      </c>
    </row>
    <row r="4125" spans="2:5" x14ac:dyDescent="0.25">
      <c r="B4125" s="545">
        <v>4935</v>
      </c>
      <c r="C4125" s="545" t="s">
        <v>3158</v>
      </c>
      <c r="D4125" s="669" t="s">
        <v>407</v>
      </c>
      <c r="E4125" s="546">
        <v>699.36000100000001</v>
      </c>
    </row>
    <row r="4126" spans="2:5" x14ac:dyDescent="0.25">
      <c r="B4126" s="545">
        <v>4936</v>
      </c>
      <c r="C4126" s="545" t="s">
        <v>2027</v>
      </c>
      <c r="D4126" s="669" t="s">
        <v>407</v>
      </c>
      <c r="E4126" s="546">
        <v>644.17498799999998</v>
      </c>
    </row>
    <row r="4127" spans="2:5" x14ac:dyDescent="0.25">
      <c r="B4127" s="545">
        <v>4937</v>
      </c>
      <c r="C4127" s="545" t="s">
        <v>3501</v>
      </c>
      <c r="D4127" s="669" t="s">
        <v>407</v>
      </c>
      <c r="E4127" s="546">
        <v>715.95001200000002</v>
      </c>
    </row>
    <row r="4128" spans="2:5" x14ac:dyDescent="0.25">
      <c r="B4128" s="545">
        <v>4938</v>
      </c>
      <c r="C4128" s="545" t="s">
        <v>2419</v>
      </c>
      <c r="D4128" s="669" t="s">
        <v>407</v>
      </c>
      <c r="E4128" s="546">
        <v>663.15714800000001</v>
      </c>
    </row>
    <row r="4129" spans="2:5" x14ac:dyDescent="0.25">
      <c r="B4129" s="545">
        <v>4939</v>
      </c>
      <c r="C4129" s="545" t="s">
        <v>2934</v>
      </c>
      <c r="D4129" s="669" t="s">
        <v>407</v>
      </c>
      <c r="E4129" s="546">
        <v>687.28181600000005</v>
      </c>
    </row>
    <row r="4130" spans="2:5" x14ac:dyDescent="0.25">
      <c r="B4130" s="545">
        <v>4940</v>
      </c>
      <c r="C4130" s="545" t="s">
        <v>7173</v>
      </c>
      <c r="D4130" s="669" t="s">
        <v>407</v>
      </c>
      <c r="E4130" s="546">
        <v>659.36667899999998</v>
      </c>
    </row>
    <row r="4131" spans="2:5" x14ac:dyDescent="0.25">
      <c r="B4131" s="545">
        <v>4941</v>
      </c>
      <c r="C4131" s="545" t="s">
        <v>7449</v>
      </c>
      <c r="D4131" s="669" t="s">
        <v>407</v>
      </c>
      <c r="E4131" s="546">
        <v>666.04614700000002</v>
      </c>
    </row>
    <row r="4132" spans="2:5" x14ac:dyDescent="0.25">
      <c r="B4132" s="545">
        <v>4942</v>
      </c>
      <c r="C4132" s="545" t="s">
        <v>7568</v>
      </c>
      <c r="D4132" s="669" t="s">
        <v>407</v>
      </c>
      <c r="E4132" s="546">
        <v>650.70000000000005</v>
      </c>
    </row>
    <row r="4133" spans="2:5" x14ac:dyDescent="0.25">
      <c r="B4133" s="545">
        <v>4943</v>
      </c>
      <c r="C4133" s="545" t="s">
        <v>2872</v>
      </c>
      <c r="D4133" s="669" t="s">
        <v>407</v>
      </c>
      <c r="E4133" s="546">
        <v>684.82000100000005</v>
      </c>
    </row>
    <row r="4134" spans="2:5" x14ac:dyDescent="0.25">
      <c r="B4134" s="545">
        <v>4944</v>
      </c>
      <c r="C4134" s="545" t="s">
        <v>2311</v>
      </c>
      <c r="D4134" s="669" t="s">
        <v>407</v>
      </c>
      <c r="E4134" s="546">
        <v>657.77778499999999</v>
      </c>
    </row>
    <row r="4135" spans="2:5" x14ac:dyDescent="0.25">
      <c r="B4135" s="545">
        <v>4945</v>
      </c>
      <c r="C4135" s="545" t="s">
        <v>1907</v>
      </c>
      <c r="D4135" s="669" t="s">
        <v>407</v>
      </c>
      <c r="E4135" s="546">
        <v>640.14666299999999</v>
      </c>
    </row>
    <row r="4136" spans="2:5" x14ac:dyDescent="0.25">
      <c r="B4136" s="545">
        <v>4946</v>
      </c>
      <c r="C4136" s="545" t="s">
        <v>1283</v>
      </c>
      <c r="D4136" s="669" t="s">
        <v>407</v>
      </c>
      <c r="E4136" s="546">
        <v>608.63334099999997</v>
      </c>
    </row>
    <row r="4137" spans="2:5" x14ac:dyDescent="0.25">
      <c r="B4137" s="545">
        <v>4947</v>
      </c>
      <c r="C4137" s="545" t="s">
        <v>1682</v>
      </c>
      <c r="D4137" s="669" t="s">
        <v>407</v>
      </c>
      <c r="E4137" s="546">
        <v>631.42500299999995</v>
      </c>
    </row>
    <row r="4138" spans="2:5" x14ac:dyDescent="0.25">
      <c r="B4138" s="545">
        <v>4948</v>
      </c>
      <c r="C4138" s="545" t="s">
        <v>2624</v>
      </c>
      <c r="D4138" s="669" t="s">
        <v>407</v>
      </c>
      <c r="E4138" s="546">
        <v>672.51430800000003</v>
      </c>
    </row>
    <row r="4139" spans="2:5" x14ac:dyDescent="0.25">
      <c r="B4139" s="545">
        <v>4949</v>
      </c>
      <c r="C4139" s="545" t="s">
        <v>1228</v>
      </c>
      <c r="D4139" s="669" t="s">
        <v>407</v>
      </c>
      <c r="E4139" s="546">
        <v>668.31363499999998</v>
      </c>
    </row>
    <row r="4140" spans="2:5" x14ac:dyDescent="0.25">
      <c r="B4140" s="545">
        <v>4950</v>
      </c>
      <c r="C4140" s="545" t="s">
        <v>2685</v>
      </c>
      <c r="D4140" s="669" t="s">
        <v>407</v>
      </c>
      <c r="E4140" s="546">
        <v>675.29998799999998</v>
      </c>
    </row>
    <row r="4141" spans="2:5" x14ac:dyDescent="0.25">
      <c r="B4141" s="545">
        <v>4951</v>
      </c>
      <c r="C4141" s="545" t="s">
        <v>1014</v>
      </c>
      <c r="D4141" s="669" t="s">
        <v>407</v>
      </c>
      <c r="E4141" s="546">
        <v>590.59997599999997</v>
      </c>
    </row>
    <row r="4142" spans="2:5" x14ac:dyDescent="0.25">
      <c r="B4142" s="545">
        <v>4952</v>
      </c>
      <c r="C4142" s="545" t="s">
        <v>2717</v>
      </c>
      <c r="D4142" s="669" t="s">
        <v>407</v>
      </c>
      <c r="E4142" s="546">
        <v>676.66249800000003</v>
      </c>
    </row>
    <row r="4143" spans="2:5" x14ac:dyDescent="0.25">
      <c r="B4143" s="545">
        <v>4953</v>
      </c>
      <c r="C4143" s="545" t="s">
        <v>2221</v>
      </c>
      <c r="D4143" s="669" t="s">
        <v>407</v>
      </c>
      <c r="E4143" s="546">
        <v>653.89999699999998</v>
      </c>
    </row>
    <row r="4144" spans="2:5" x14ac:dyDescent="0.25">
      <c r="B4144" s="545">
        <v>4954</v>
      </c>
      <c r="C4144" s="545" t="s">
        <v>1818</v>
      </c>
      <c r="D4144" s="669" t="s">
        <v>407</v>
      </c>
      <c r="E4144" s="546">
        <v>636.733341</v>
      </c>
    </row>
    <row r="4145" spans="2:5" x14ac:dyDescent="0.25">
      <c r="B4145" s="545">
        <v>4955</v>
      </c>
      <c r="C4145" s="545" t="s">
        <v>6554</v>
      </c>
      <c r="D4145" s="669" t="s">
        <v>404</v>
      </c>
      <c r="E4145" s="546">
        <v>727.25714100000005</v>
      </c>
    </row>
    <row r="4146" spans="2:5" x14ac:dyDescent="0.25">
      <c r="B4146" s="545">
        <v>4956</v>
      </c>
      <c r="C4146" s="545" t="s">
        <v>3416</v>
      </c>
      <c r="D4146" s="669" t="s">
        <v>404</v>
      </c>
      <c r="E4146" s="546">
        <v>712.10000600000001</v>
      </c>
    </row>
    <row r="4147" spans="2:5" x14ac:dyDescent="0.25">
      <c r="B4147" s="545">
        <v>4957</v>
      </c>
      <c r="C4147" s="545" t="s">
        <v>4252</v>
      </c>
      <c r="D4147" s="669" t="s">
        <v>404</v>
      </c>
      <c r="E4147" s="546">
        <v>761.09999800000003</v>
      </c>
    </row>
    <row r="4148" spans="2:5" x14ac:dyDescent="0.25">
      <c r="B4148" s="545">
        <v>4958</v>
      </c>
      <c r="C4148" s="545" t="s">
        <v>4165</v>
      </c>
      <c r="D4148" s="669" t="s">
        <v>404</v>
      </c>
      <c r="E4148" s="546">
        <v>755.25</v>
      </c>
    </row>
    <row r="4149" spans="2:5" x14ac:dyDescent="0.25">
      <c r="B4149" s="545">
        <v>4959</v>
      </c>
      <c r="C4149" s="545" t="s">
        <v>3434</v>
      </c>
      <c r="D4149" s="669" t="s">
        <v>404</v>
      </c>
      <c r="E4149" s="546">
        <v>712.55000299999995</v>
      </c>
    </row>
    <row r="4150" spans="2:5" x14ac:dyDescent="0.25">
      <c r="B4150" s="545">
        <v>4960</v>
      </c>
      <c r="C4150" s="545" t="s">
        <v>6801</v>
      </c>
      <c r="D4150" s="669" t="s">
        <v>404</v>
      </c>
      <c r="E4150" s="546">
        <v>721.39998400000002</v>
      </c>
    </row>
    <row r="4151" spans="2:5" x14ac:dyDescent="0.25">
      <c r="B4151" s="545">
        <v>4961</v>
      </c>
      <c r="C4151" s="545" t="s">
        <v>3421</v>
      </c>
      <c r="D4151" s="669" t="s">
        <v>404</v>
      </c>
      <c r="E4151" s="546">
        <v>712.27499399999999</v>
      </c>
    </row>
    <row r="4152" spans="2:5" x14ac:dyDescent="0.25">
      <c r="B4152" s="545">
        <v>4962</v>
      </c>
      <c r="C4152" s="545" t="s">
        <v>3651</v>
      </c>
      <c r="D4152" s="669" t="s">
        <v>404</v>
      </c>
      <c r="E4152" s="546">
        <v>724.43332899999996</v>
      </c>
    </row>
    <row r="4153" spans="2:5" x14ac:dyDescent="0.25">
      <c r="B4153" s="545">
        <v>4963</v>
      </c>
      <c r="C4153" s="545" t="s">
        <v>3974</v>
      </c>
      <c r="D4153" s="669" t="s">
        <v>404</v>
      </c>
      <c r="E4153" s="546">
        <v>743.56667100000004</v>
      </c>
    </row>
    <row r="4154" spans="2:5" x14ac:dyDescent="0.25">
      <c r="B4154" s="545">
        <v>4964</v>
      </c>
      <c r="C4154" s="545" t="s">
        <v>4059</v>
      </c>
      <c r="D4154" s="669" t="s">
        <v>404</v>
      </c>
      <c r="E4154" s="546">
        <v>748.77499399999999</v>
      </c>
    </row>
    <row r="4155" spans="2:5" x14ac:dyDescent="0.25">
      <c r="B4155" s="545">
        <v>4965</v>
      </c>
      <c r="C4155" s="545" t="s">
        <v>3479</v>
      </c>
      <c r="D4155" s="669" t="s">
        <v>404</v>
      </c>
      <c r="E4155" s="546">
        <v>714.85999800000002</v>
      </c>
    </row>
    <row r="4156" spans="2:5" x14ac:dyDescent="0.25">
      <c r="B4156" s="545">
        <v>4966</v>
      </c>
      <c r="C4156" s="545" t="s">
        <v>3550</v>
      </c>
      <c r="D4156" s="669" t="s">
        <v>404</v>
      </c>
      <c r="E4156" s="546">
        <v>718.77499399999999</v>
      </c>
    </row>
    <row r="4157" spans="2:5" x14ac:dyDescent="0.25">
      <c r="B4157" s="545">
        <v>4967</v>
      </c>
      <c r="C4157" s="545" t="s">
        <v>4330</v>
      </c>
      <c r="D4157" s="669" t="s">
        <v>404</v>
      </c>
      <c r="E4157" s="546">
        <v>767.13334099999997</v>
      </c>
    </row>
    <row r="4158" spans="2:5" x14ac:dyDescent="0.25">
      <c r="B4158" s="545">
        <v>4968</v>
      </c>
      <c r="C4158" s="545" t="s">
        <v>4248</v>
      </c>
      <c r="D4158" s="669" t="s">
        <v>404</v>
      </c>
      <c r="E4158" s="546">
        <v>760.79999799999996</v>
      </c>
    </row>
    <row r="4159" spans="2:5" x14ac:dyDescent="0.25">
      <c r="B4159" s="545">
        <v>4969</v>
      </c>
      <c r="C4159" s="545" t="s">
        <v>3385</v>
      </c>
      <c r="D4159" s="669" t="s">
        <v>404</v>
      </c>
      <c r="E4159" s="546">
        <v>709.96667500000001</v>
      </c>
    </row>
    <row r="4160" spans="2:5" x14ac:dyDescent="0.25">
      <c r="B4160" s="545">
        <v>4970</v>
      </c>
      <c r="C4160" s="545" t="s">
        <v>6642</v>
      </c>
      <c r="D4160" s="669" t="s">
        <v>404</v>
      </c>
      <c r="E4160" s="546">
        <v>710.514274</v>
      </c>
    </row>
    <row r="4161" spans="2:5" x14ac:dyDescent="0.25">
      <c r="B4161" s="545">
        <v>4971</v>
      </c>
      <c r="C4161" s="545" t="s">
        <v>6641</v>
      </c>
      <c r="D4161" s="669" t="s">
        <v>404</v>
      </c>
      <c r="E4161" s="546">
        <v>744.63332600000001</v>
      </c>
    </row>
    <row r="4162" spans="2:5" x14ac:dyDescent="0.25">
      <c r="B4162" s="545">
        <v>4972</v>
      </c>
      <c r="C4162" s="545" t="s">
        <v>3234</v>
      </c>
      <c r="D4162" s="669" t="s">
        <v>404</v>
      </c>
      <c r="E4162" s="546">
        <v>702.69999199999995</v>
      </c>
    </row>
    <row r="4163" spans="2:5" x14ac:dyDescent="0.25">
      <c r="B4163" s="545">
        <v>4973</v>
      </c>
      <c r="C4163" s="545" t="s">
        <v>3167</v>
      </c>
      <c r="D4163" s="669" t="s">
        <v>404</v>
      </c>
      <c r="E4163" s="546">
        <v>699.65713900000003</v>
      </c>
    </row>
    <row r="4164" spans="2:5" x14ac:dyDescent="0.25">
      <c r="B4164" s="545">
        <v>4974</v>
      </c>
      <c r="C4164" s="545" t="s">
        <v>3310</v>
      </c>
      <c r="D4164" s="669" t="s">
        <v>404</v>
      </c>
      <c r="E4164" s="546">
        <v>706.59999600000003</v>
      </c>
    </row>
    <row r="4165" spans="2:5" x14ac:dyDescent="0.25">
      <c r="B4165" s="545">
        <v>4975</v>
      </c>
      <c r="C4165" s="545" t="s">
        <v>7302</v>
      </c>
      <c r="D4165" s="669" t="s">
        <v>404</v>
      </c>
      <c r="E4165" s="546">
        <v>786.64000199999998</v>
      </c>
    </row>
    <row r="4166" spans="2:5" x14ac:dyDescent="0.25">
      <c r="B4166" s="545">
        <v>4976</v>
      </c>
      <c r="C4166" s="545" t="s">
        <v>3351</v>
      </c>
      <c r="D4166" s="669" t="s">
        <v>404</v>
      </c>
      <c r="E4166" s="546">
        <v>708.60000600000001</v>
      </c>
    </row>
    <row r="4167" spans="2:5" x14ac:dyDescent="0.25">
      <c r="B4167" s="545">
        <v>5001</v>
      </c>
      <c r="C4167" s="545" t="s">
        <v>7437</v>
      </c>
      <c r="D4167" s="669" t="s">
        <v>404</v>
      </c>
      <c r="E4167" s="546">
        <v>769.98001099999999</v>
      </c>
    </row>
    <row r="4168" spans="2:5" x14ac:dyDescent="0.25">
      <c r="B4168" s="545">
        <v>5002</v>
      </c>
      <c r="C4168" s="545" t="s">
        <v>4742</v>
      </c>
      <c r="D4168" s="669" t="s">
        <v>404</v>
      </c>
      <c r="E4168" s="546">
        <v>799.39999399999999</v>
      </c>
    </row>
    <row r="4169" spans="2:5" x14ac:dyDescent="0.25">
      <c r="B4169" s="545">
        <v>5003</v>
      </c>
      <c r="C4169" s="545" t="s">
        <v>4725</v>
      </c>
      <c r="D4169" s="669" t="s">
        <v>404</v>
      </c>
      <c r="E4169" s="546">
        <v>798.2</v>
      </c>
    </row>
    <row r="4170" spans="2:5" x14ac:dyDescent="0.25">
      <c r="B4170" s="545">
        <v>5004</v>
      </c>
      <c r="C4170" s="545" t="s">
        <v>4635</v>
      </c>
      <c r="D4170" s="669" t="s">
        <v>404</v>
      </c>
      <c r="E4170" s="546">
        <v>791.28333499999997</v>
      </c>
    </row>
    <row r="4171" spans="2:5" x14ac:dyDescent="0.25">
      <c r="B4171" s="545">
        <v>5005</v>
      </c>
      <c r="C4171" s="545" t="s">
        <v>5225</v>
      </c>
      <c r="D4171" s="669" t="s">
        <v>404</v>
      </c>
      <c r="E4171" s="546">
        <v>849.80001800000002</v>
      </c>
    </row>
    <row r="4172" spans="2:5" x14ac:dyDescent="0.25">
      <c r="B4172" s="545">
        <v>5006</v>
      </c>
      <c r="C4172" s="545" t="s">
        <v>2328</v>
      </c>
      <c r="D4172" s="669" t="s">
        <v>404</v>
      </c>
      <c r="E4172" s="546">
        <v>816.70769800000005</v>
      </c>
    </row>
    <row r="4173" spans="2:5" x14ac:dyDescent="0.25">
      <c r="B4173" s="545">
        <v>5007</v>
      </c>
      <c r="C4173" s="545" t="s">
        <v>4643</v>
      </c>
      <c r="D4173" s="669" t="s">
        <v>404</v>
      </c>
      <c r="E4173" s="546">
        <v>791.875</v>
      </c>
    </row>
    <row r="4174" spans="2:5" x14ac:dyDescent="0.25">
      <c r="B4174" s="545">
        <v>5008</v>
      </c>
      <c r="C4174" s="545" t="s">
        <v>3529</v>
      </c>
      <c r="D4174" s="669" t="s">
        <v>404</v>
      </c>
      <c r="E4174" s="546">
        <v>717.89999399999999</v>
      </c>
    </row>
    <row r="4175" spans="2:5" x14ac:dyDescent="0.25">
      <c r="B4175" s="545">
        <v>5009</v>
      </c>
      <c r="C4175" s="545" t="s">
        <v>4230</v>
      </c>
      <c r="D4175" s="669" t="s">
        <v>404</v>
      </c>
      <c r="E4175" s="546">
        <v>759.8125</v>
      </c>
    </row>
    <row r="4176" spans="2:5" x14ac:dyDescent="0.25">
      <c r="B4176" s="545">
        <v>5010</v>
      </c>
      <c r="C4176" s="545" t="s">
        <v>2972</v>
      </c>
      <c r="D4176" s="669" t="s">
        <v>404</v>
      </c>
      <c r="E4176" s="546">
        <v>717.07777199999998</v>
      </c>
    </row>
    <row r="4177" spans="2:5" x14ac:dyDescent="0.25">
      <c r="B4177" s="545">
        <v>5011</v>
      </c>
      <c r="C4177" s="545" t="s">
        <v>4575</v>
      </c>
      <c r="D4177" s="669" t="s">
        <v>404</v>
      </c>
      <c r="E4177" s="546">
        <v>786.07499700000005</v>
      </c>
    </row>
    <row r="4178" spans="2:5" x14ac:dyDescent="0.25">
      <c r="B4178" s="545">
        <v>5012</v>
      </c>
      <c r="C4178" s="545" t="s">
        <v>3746</v>
      </c>
      <c r="D4178" s="669" t="s">
        <v>404</v>
      </c>
      <c r="E4178" s="546">
        <v>743.87142500000004</v>
      </c>
    </row>
    <row r="4179" spans="2:5" x14ac:dyDescent="0.25">
      <c r="B4179" s="545">
        <v>5013</v>
      </c>
      <c r="C4179" s="545" t="s">
        <v>7020</v>
      </c>
      <c r="D4179" s="669" t="s">
        <v>404</v>
      </c>
      <c r="E4179" s="546">
        <v>749.39999399999999</v>
      </c>
    </row>
    <row r="4180" spans="2:5" x14ac:dyDescent="0.25">
      <c r="B4180" s="545">
        <v>5014</v>
      </c>
      <c r="C4180" s="545" t="s">
        <v>1461</v>
      </c>
      <c r="D4180" s="669" t="s">
        <v>404</v>
      </c>
      <c r="E4180" s="546">
        <v>852.866669</v>
      </c>
    </row>
    <row r="4181" spans="2:5" x14ac:dyDescent="0.25">
      <c r="B4181" s="545">
        <v>5015</v>
      </c>
      <c r="C4181" s="545" t="s">
        <v>7421</v>
      </c>
      <c r="D4181" s="669" t="s">
        <v>404</v>
      </c>
      <c r="E4181" s="546">
        <v>738.44999700000005</v>
      </c>
    </row>
    <row r="4182" spans="2:5" x14ac:dyDescent="0.25">
      <c r="B4182" s="545">
        <v>5016</v>
      </c>
      <c r="C4182" s="545" t="s">
        <v>3445</v>
      </c>
      <c r="D4182" s="669" t="s">
        <v>404</v>
      </c>
      <c r="E4182" s="546">
        <v>713.04998799999998</v>
      </c>
    </row>
    <row r="4183" spans="2:5" x14ac:dyDescent="0.25">
      <c r="B4183" s="545">
        <v>5017</v>
      </c>
      <c r="C4183" s="545" t="s">
        <v>3818</v>
      </c>
      <c r="D4183" s="669" t="s">
        <v>404</v>
      </c>
      <c r="E4183" s="546">
        <v>733.85000600000001</v>
      </c>
    </row>
    <row r="4184" spans="2:5" x14ac:dyDescent="0.25">
      <c r="B4184" s="545">
        <v>5018</v>
      </c>
      <c r="C4184" s="545" t="s">
        <v>6482</v>
      </c>
      <c r="D4184" s="669" t="s">
        <v>404</v>
      </c>
      <c r="E4184" s="546">
        <v>795.53636600000004</v>
      </c>
    </row>
    <row r="4185" spans="2:5" x14ac:dyDescent="0.25">
      <c r="B4185" s="545">
        <v>5019</v>
      </c>
      <c r="C4185" s="545" t="s">
        <v>7546</v>
      </c>
      <c r="D4185" s="669" t="s">
        <v>404</v>
      </c>
      <c r="E4185" s="546">
        <v>789.40001199999995</v>
      </c>
    </row>
    <row r="4186" spans="2:5" x14ac:dyDescent="0.25">
      <c r="B4186" s="545">
        <v>5020</v>
      </c>
      <c r="C4186" s="545" t="s">
        <v>4569</v>
      </c>
      <c r="D4186" s="669" t="s">
        <v>404</v>
      </c>
      <c r="E4186" s="546">
        <v>785.64999399999999</v>
      </c>
    </row>
    <row r="4187" spans="2:5" x14ac:dyDescent="0.25">
      <c r="B4187" s="545">
        <v>5021</v>
      </c>
      <c r="C4187" s="545" t="s">
        <v>3309</v>
      </c>
      <c r="D4187" s="669" t="s">
        <v>404</v>
      </c>
      <c r="E4187" s="546">
        <v>706.36665900000003</v>
      </c>
    </row>
    <row r="4188" spans="2:5" x14ac:dyDescent="0.25">
      <c r="B4188" s="545">
        <v>5022</v>
      </c>
      <c r="C4188" s="545" t="s">
        <v>4710</v>
      </c>
      <c r="D4188" s="669" t="s">
        <v>404</v>
      </c>
      <c r="E4188" s="546">
        <v>797.10999100000004</v>
      </c>
    </row>
    <row r="4189" spans="2:5" x14ac:dyDescent="0.25">
      <c r="B4189" s="545">
        <v>5023</v>
      </c>
      <c r="C4189" s="545" t="s">
        <v>4107</v>
      </c>
      <c r="D4189" s="669" t="s">
        <v>404</v>
      </c>
      <c r="E4189" s="546">
        <v>751.1</v>
      </c>
    </row>
    <row r="4190" spans="2:5" x14ac:dyDescent="0.25">
      <c r="B4190" s="545">
        <v>5024</v>
      </c>
      <c r="C4190" s="545" t="s">
        <v>5137</v>
      </c>
      <c r="D4190" s="669" t="s">
        <v>404</v>
      </c>
      <c r="E4190" s="546">
        <v>837.74545000000001</v>
      </c>
    </row>
    <row r="4191" spans="2:5" x14ac:dyDescent="0.25">
      <c r="B4191" s="545">
        <v>5025</v>
      </c>
      <c r="C4191" s="545" t="s">
        <v>4564</v>
      </c>
      <c r="D4191" s="669" t="s">
        <v>404</v>
      </c>
      <c r="E4191" s="546">
        <v>785.07501200000002</v>
      </c>
    </row>
    <row r="4192" spans="2:5" x14ac:dyDescent="0.25">
      <c r="B4192" s="545">
        <v>5026</v>
      </c>
      <c r="C4192" s="545" t="s">
        <v>5022</v>
      </c>
      <c r="D4192" s="669" t="s">
        <v>404</v>
      </c>
      <c r="E4192" s="546">
        <v>825.00001499999996</v>
      </c>
    </row>
    <row r="4193" spans="2:5" x14ac:dyDescent="0.25">
      <c r="B4193" s="545">
        <v>5027</v>
      </c>
      <c r="C4193" s="545" t="s">
        <v>5156</v>
      </c>
      <c r="D4193" s="669" t="s">
        <v>404</v>
      </c>
      <c r="E4193" s="546">
        <v>839.28750600000001</v>
      </c>
    </row>
    <row r="4194" spans="2:5" x14ac:dyDescent="0.25">
      <c r="B4194" s="545">
        <v>5028</v>
      </c>
      <c r="C4194" s="545" t="s">
        <v>6984</v>
      </c>
      <c r="D4194" s="669" t="s">
        <v>404</v>
      </c>
      <c r="E4194" s="546">
        <v>886.09997599999997</v>
      </c>
    </row>
    <row r="4195" spans="2:5" x14ac:dyDescent="0.25">
      <c r="B4195" s="545">
        <v>5029</v>
      </c>
      <c r="C4195" s="545" t="s">
        <v>6880</v>
      </c>
      <c r="D4195" s="669" t="s">
        <v>404</v>
      </c>
      <c r="E4195" s="546">
        <v>695.86667199999999</v>
      </c>
    </row>
    <row r="4196" spans="2:5" x14ac:dyDescent="0.25">
      <c r="B4196" s="545">
        <v>5030</v>
      </c>
      <c r="C4196" s="545" t="s">
        <v>4028</v>
      </c>
      <c r="D4196" s="669" t="s">
        <v>404</v>
      </c>
      <c r="E4196" s="546">
        <v>746.86667899999998</v>
      </c>
    </row>
    <row r="4197" spans="2:5" x14ac:dyDescent="0.25">
      <c r="B4197" s="545">
        <v>5031</v>
      </c>
      <c r="C4197" s="545" t="s">
        <v>2609</v>
      </c>
      <c r="D4197" s="669" t="s">
        <v>404</v>
      </c>
      <c r="E4197" s="546">
        <v>671.35001399999999</v>
      </c>
    </row>
    <row r="4198" spans="2:5" x14ac:dyDescent="0.25">
      <c r="B4198" s="545">
        <v>5032</v>
      </c>
      <c r="C4198" s="545" t="s">
        <v>3482</v>
      </c>
      <c r="D4198" s="669" t="s">
        <v>404</v>
      </c>
      <c r="E4198" s="546">
        <v>715.03637100000003</v>
      </c>
    </row>
    <row r="4199" spans="2:5" x14ac:dyDescent="0.25">
      <c r="B4199" s="545">
        <v>5033</v>
      </c>
      <c r="C4199" s="545" t="s">
        <v>2655</v>
      </c>
      <c r="D4199" s="669" t="s">
        <v>404</v>
      </c>
      <c r="E4199" s="546">
        <v>674.03998999999999</v>
      </c>
    </row>
    <row r="4200" spans="2:5" x14ac:dyDescent="0.25">
      <c r="B4200" s="545">
        <v>5034</v>
      </c>
      <c r="C4200" s="545" t="s">
        <v>2827</v>
      </c>
      <c r="D4200" s="669" t="s">
        <v>404</v>
      </c>
      <c r="E4200" s="546">
        <v>682.40000399999997</v>
      </c>
    </row>
    <row r="4201" spans="2:5" x14ac:dyDescent="0.25">
      <c r="B4201" s="545">
        <v>5035</v>
      </c>
      <c r="C4201" s="545" t="s">
        <v>2807</v>
      </c>
      <c r="D4201" s="669" t="s">
        <v>404</v>
      </c>
      <c r="E4201" s="546">
        <v>681.51999499999999</v>
      </c>
    </row>
    <row r="4202" spans="2:5" x14ac:dyDescent="0.25">
      <c r="B4202" s="545">
        <v>5036</v>
      </c>
      <c r="C4202" s="545" t="s">
        <v>7324</v>
      </c>
      <c r="D4202" s="669" t="s">
        <v>404</v>
      </c>
      <c r="E4202" s="546">
        <v>656.70908999999995</v>
      </c>
    </row>
    <row r="4203" spans="2:5" x14ac:dyDescent="0.25">
      <c r="B4203" s="545">
        <v>5037</v>
      </c>
      <c r="C4203" s="545" t="s">
        <v>5170</v>
      </c>
      <c r="D4203" s="669" t="s">
        <v>404</v>
      </c>
      <c r="E4203" s="546">
        <v>840.74999500000001</v>
      </c>
    </row>
    <row r="4204" spans="2:5" x14ac:dyDescent="0.25">
      <c r="B4204" s="545">
        <v>5038</v>
      </c>
      <c r="C4204" s="545" t="s">
        <v>3863</v>
      </c>
      <c r="D4204" s="669" t="s">
        <v>404</v>
      </c>
      <c r="E4204" s="546">
        <v>736.47143600000004</v>
      </c>
    </row>
    <row r="4205" spans="2:5" x14ac:dyDescent="0.25">
      <c r="B4205" s="545">
        <v>5039</v>
      </c>
      <c r="C4205" s="545" t="s">
        <v>3382</v>
      </c>
      <c r="D4205" s="669" t="s">
        <v>404</v>
      </c>
      <c r="E4205" s="546">
        <v>709.90002400000003</v>
      </c>
    </row>
    <row r="4206" spans="2:5" x14ac:dyDescent="0.25">
      <c r="B4206" s="545">
        <v>5040</v>
      </c>
      <c r="C4206" s="545" t="s">
        <v>4453</v>
      </c>
      <c r="D4206" s="669" t="s">
        <v>404</v>
      </c>
      <c r="E4206" s="546">
        <v>777.10999800000002</v>
      </c>
    </row>
    <row r="4207" spans="2:5" x14ac:dyDescent="0.25">
      <c r="B4207" s="545">
        <v>5041</v>
      </c>
      <c r="C4207" s="545" t="s">
        <v>2949</v>
      </c>
      <c r="D4207" s="669" t="s">
        <v>404</v>
      </c>
      <c r="E4207" s="546">
        <v>687.73846000000003</v>
      </c>
    </row>
    <row r="4208" spans="2:5" x14ac:dyDescent="0.25">
      <c r="B4208" s="545">
        <v>5042</v>
      </c>
      <c r="C4208" s="545" t="s">
        <v>5402</v>
      </c>
      <c r="D4208" s="669" t="s">
        <v>404</v>
      </c>
      <c r="E4208" s="546">
        <v>879.55715499999997</v>
      </c>
    </row>
    <row r="4209" spans="2:5" x14ac:dyDescent="0.25">
      <c r="B4209" s="545">
        <v>5043</v>
      </c>
      <c r="C4209" s="545" t="s">
        <v>5055</v>
      </c>
      <c r="D4209" s="669" t="s">
        <v>404</v>
      </c>
      <c r="E4209" s="546">
        <v>828.84999100000005</v>
      </c>
    </row>
    <row r="4210" spans="2:5" x14ac:dyDescent="0.25">
      <c r="B4210" s="545">
        <v>5044</v>
      </c>
      <c r="C4210" s="545" t="s">
        <v>4629</v>
      </c>
      <c r="D4210" s="669" t="s">
        <v>404</v>
      </c>
      <c r="E4210" s="546">
        <v>790.84999600000003</v>
      </c>
    </row>
    <row r="4211" spans="2:5" x14ac:dyDescent="0.25">
      <c r="B4211" s="545">
        <v>5045</v>
      </c>
      <c r="C4211" s="545" t="s">
        <v>3725</v>
      </c>
      <c r="D4211" s="669" t="s">
        <v>404</v>
      </c>
      <c r="E4211" s="546">
        <v>728.49998800000003</v>
      </c>
    </row>
    <row r="4212" spans="2:5" x14ac:dyDescent="0.25">
      <c r="B4212" s="545">
        <v>5046</v>
      </c>
      <c r="C4212" s="545" t="s">
        <v>4361</v>
      </c>
      <c r="D4212" s="669" t="s">
        <v>404</v>
      </c>
      <c r="E4212" s="546">
        <v>768.90000599999996</v>
      </c>
    </row>
    <row r="4213" spans="2:5" x14ac:dyDescent="0.25">
      <c r="B4213" s="545">
        <v>5047</v>
      </c>
      <c r="C4213" s="545" t="s">
        <v>6796</v>
      </c>
      <c r="D4213" s="669" t="s">
        <v>404</v>
      </c>
      <c r="E4213" s="546">
        <v>806.27333599999997</v>
      </c>
    </row>
    <row r="4214" spans="2:5" x14ac:dyDescent="0.25">
      <c r="B4214" s="545">
        <v>5048</v>
      </c>
      <c r="C4214" s="545" t="s">
        <v>5084</v>
      </c>
      <c r="D4214" s="669" t="s">
        <v>404</v>
      </c>
      <c r="E4214" s="546">
        <v>831.42222100000004</v>
      </c>
    </row>
    <row r="4215" spans="2:5" x14ac:dyDescent="0.25">
      <c r="B4215" s="545">
        <v>5049</v>
      </c>
      <c r="C4215" s="545" t="s">
        <v>4704</v>
      </c>
      <c r="D4215" s="669" t="s">
        <v>404</v>
      </c>
      <c r="E4215" s="546">
        <v>796.23846400000002</v>
      </c>
    </row>
    <row r="4216" spans="2:5" x14ac:dyDescent="0.25">
      <c r="B4216" s="545">
        <v>5050</v>
      </c>
      <c r="C4216" s="545" t="s">
        <v>4390</v>
      </c>
      <c r="D4216" s="669" t="s">
        <v>404</v>
      </c>
      <c r="E4216" s="546">
        <v>771.366669</v>
      </c>
    </row>
    <row r="4217" spans="2:5" x14ac:dyDescent="0.25">
      <c r="B4217" s="545">
        <v>5051</v>
      </c>
      <c r="C4217" s="545" t="s">
        <v>1251</v>
      </c>
      <c r="D4217" s="669" t="s">
        <v>404</v>
      </c>
      <c r="E4217" s="546">
        <v>782.05998499999998</v>
      </c>
    </row>
    <row r="4218" spans="2:5" x14ac:dyDescent="0.25">
      <c r="B4218" s="545">
        <v>5052</v>
      </c>
      <c r="C4218" s="545" t="s">
        <v>4534</v>
      </c>
      <c r="D4218" s="669" t="s">
        <v>404</v>
      </c>
      <c r="E4218" s="546">
        <v>782.485726</v>
      </c>
    </row>
    <row r="4219" spans="2:5" x14ac:dyDescent="0.25">
      <c r="B4219" s="545">
        <v>5053</v>
      </c>
      <c r="C4219" s="545" t="s">
        <v>7255</v>
      </c>
      <c r="D4219" s="669" t="s">
        <v>404</v>
      </c>
      <c r="E4219" s="546">
        <v>783.64000899999996</v>
      </c>
    </row>
    <row r="4220" spans="2:5" x14ac:dyDescent="0.25">
      <c r="B4220" s="545">
        <v>5054</v>
      </c>
      <c r="C4220" s="545" t="s">
        <v>4769</v>
      </c>
      <c r="D4220" s="669" t="s">
        <v>404</v>
      </c>
      <c r="E4220" s="546">
        <v>801.66999499999997</v>
      </c>
    </row>
    <row r="4221" spans="2:5" x14ac:dyDescent="0.25">
      <c r="B4221" s="545">
        <v>5055</v>
      </c>
      <c r="C4221" s="545" t="s">
        <v>3991</v>
      </c>
      <c r="D4221" s="669" t="s">
        <v>404</v>
      </c>
      <c r="E4221" s="546">
        <v>744.41999499999997</v>
      </c>
    </row>
    <row r="4222" spans="2:5" x14ac:dyDescent="0.25">
      <c r="B4222" s="545">
        <v>5056</v>
      </c>
      <c r="C4222" s="545" t="s">
        <v>4793</v>
      </c>
      <c r="D4222" s="669" t="s">
        <v>404</v>
      </c>
      <c r="E4222" s="546">
        <v>802.90000399999997</v>
      </c>
    </row>
    <row r="4223" spans="2:5" x14ac:dyDescent="0.25">
      <c r="B4223" s="545">
        <v>5057</v>
      </c>
      <c r="C4223" s="545" t="s">
        <v>4622</v>
      </c>
      <c r="D4223" s="669" t="s">
        <v>404</v>
      </c>
      <c r="E4223" s="546">
        <v>789.87037299999997</v>
      </c>
    </row>
    <row r="4224" spans="2:5" x14ac:dyDescent="0.25">
      <c r="B4224" s="545">
        <v>5058</v>
      </c>
      <c r="C4224" s="545" t="s">
        <v>7342</v>
      </c>
      <c r="D4224" s="669" t="s">
        <v>404</v>
      </c>
      <c r="E4224" s="546">
        <v>772.827271</v>
      </c>
    </row>
    <row r="4225" spans="2:5" x14ac:dyDescent="0.25">
      <c r="B4225" s="545">
        <v>5059</v>
      </c>
      <c r="C4225" s="545" t="s">
        <v>7467</v>
      </c>
      <c r="D4225" s="669" t="s">
        <v>404</v>
      </c>
      <c r="E4225" s="546">
        <v>773.53571399999998</v>
      </c>
    </row>
    <row r="4226" spans="2:5" x14ac:dyDescent="0.25">
      <c r="B4226" s="545">
        <v>5060</v>
      </c>
      <c r="C4226" s="545" t="s">
        <v>6852</v>
      </c>
      <c r="D4226" s="669" t="s">
        <v>404</v>
      </c>
      <c r="E4226" s="546">
        <v>742.53635499999996</v>
      </c>
    </row>
    <row r="4227" spans="2:5" x14ac:dyDescent="0.25">
      <c r="B4227" s="545">
        <v>5061</v>
      </c>
      <c r="C4227" s="545" t="s">
        <v>4124</v>
      </c>
      <c r="D4227" s="669" t="s">
        <v>404</v>
      </c>
      <c r="E4227" s="546">
        <v>752.19999700000005</v>
      </c>
    </row>
    <row r="4228" spans="2:5" x14ac:dyDescent="0.25">
      <c r="B4228" s="545">
        <v>5062</v>
      </c>
      <c r="C4228" s="545" t="s">
        <v>3889</v>
      </c>
      <c r="D4228" s="669" t="s">
        <v>404</v>
      </c>
      <c r="E4228" s="546">
        <v>738.06667100000004</v>
      </c>
    </row>
    <row r="4229" spans="2:5" x14ac:dyDescent="0.25">
      <c r="B4229" s="545">
        <v>5063</v>
      </c>
      <c r="C4229" s="545" t="s">
        <v>4219</v>
      </c>
      <c r="D4229" s="669" t="s">
        <v>404</v>
      </c>
      <c r="E4229" s="546">
        <v>759.04999499999997</v>
      </c>
    </row>
    <row r="4230" spans="2:5" x14ac:dyDescent="0.25">
      <c r="B4230" s="545">
        <v>5064</v>
      </c>
      <c r="C4230" s="545" t="s">
        <v>4826</v>
      </c>
      <c r="D4230" s="669" t="s">
        <v>404</v>
      </c>
      <c r="E4230" s="546">
        <v>805.70832800000005</v>
      </c>
    </row>
    <row r="4231" spans="2:5" x14ac:dyDescent="0.25">
      <c r="B4231" s="545">
        <v>5065</v>
      </c>
      <c r="C4231" s="545" t="s">
        <v>2722</v>
      </c>
      <c r="D4231" s="669" t="s">
        <v>404</v>
      </c>
      <c r="E4231" s="546">
        <v>697.91249500000004</v>
      </c>
    </row>
    <row r="4232" spans="2:5" x14ac:dyDescent="0.25">
      <c r="B4232" s="545">
        <v>5066</v>
      </c>
      <c r="C4232" s="545" t="s">
        <v>5369</v>
      </c>
      <c r="D4232" s="669" t="s">
        <v>404</v>
      </c>
      <c r="E4232" s="546">
        <v>873.76666299999999</v>
      </c>
    </row>
    <row r="4233" spans="2:5" x14ac:dyDescent="0.25">
      <c r="B4233" s="545">
        <v>5067</v>
      </c>
      <c r="C4233" s="545" t="s">
        <v>4905</v>
      </c>
      <c r="D4233" s="669" t="s">
        <v>404</v>
      </c>
      <c r="E4233" s="546">
        <v>812.73999800000001</v>
      </c>
    </row>
    <row r="4234" spans="2:5" x14ac:dyDescent="0.25">
      <c r="B4234" s="545">
        <v>5068</v>
      </c>
      <c r="C4234" s="545" t="s">
        <v>5673</v>
      </c>
      <c r="D4234" s="669" t="s">
        <v>404</v>
      </c>
      <c r="E4234" s="546">
        <v>931.86428799999999</v>
      </c>
    </row>
    <row r="4235" spans="2:5" x14ac:dyDescent="0.25">
      <c r="B4235" s="545">
        <v>5069</v>
      </c>
      <c r="C4235" s="545" t="s">
        <v>6086</v>
      </c>
      <c r="D4235" s="669" t="s">
        <v>404</v>
      </c>
      <c r="E4235" s="546">
        <v>1102.1555510000001</v>
      </c>
    </row>
    <row r="4236" spans="2:5" x14ac:dyDescent="0.25">
      <c r="B4236" s="545">
        <v>5070</v>
      </c>
      <c r="C4236" s="545" t="s">
        <v>5675</v>
      </c>
      <c r="D4236" s="669" t="s">
        <v>404</v>
      </c>
      <c r="E4236" s="546">
        <v>932.39999399999999</v>
      </c>
    </row>
    <row r="4237" spans="2:5" x14ac:dyDescent="0.25">
      <c r="B4237" s="545">
        <v>5071</v>
      </c>
      <c r="C4237" s="545" t="s">
        <v>2926</v>
      </c>
      <c r="D4237" s="669" t="s">
        <v>404</v>
      </c>
      <c r="E4237" s="546">
        <v>687</v>
      </c>
    </row>
    <row r="4238" spans="2:5" x14ac:dyDescent="0.25">
      <c r="B4238" s="545">
        <v>5072</v>
      </c>
      <c r="C4238" s="545" t="s">
        <v>2815</v>
      </c>
      <c r="D4238" s="669" t="s">
        <v>404</v>
      </c>
      <c r="E4238" s="546">
        <v>681.875</v>
      </c>
    </row>
    <row r="4239" spans="2:5" x14ac:dyDescent="0.25">
      <c r="B4239" s="545">
        <v>5073</v>
      </c>
      <c r="C4239" s="545" t="s">
        <v>7236</v>
      </c>
      <c r="D4239" s="669" t="s">
        <v>404</v>
      </c>
      <c r="E4239" s="546">
        <v>680.63636599999995</v>
      </c>
    </row>
    <row r="4240" spans="2:5" x14ac:dyDescent="0.25">
      <c r="B4240" s="545">
        <v>5074</v>
      </c>
      <c r="C4240" s="545" t="s">
        <v>2700</v>
      </c>
      <c r="D4240" s="669" t="s">
        <v>404</v>
      </c>
      <c r="E4240" s="546">
        <v>675.73750299999995</v>
      </c>
    </row>
    <row r="4241" spans="2:5" x14ac:dyDescent="0.25">
      <c r="B4241" s="545">
        <v>5075</v>
      </c>
      <c r="C4241" s="545" t="s">
        <v>2786</v>
      </c>
      <c r="D4241" s="669" t="s">
        <v>404</v>
      </c>
      <c r="E4241" s="546">
        <v>680.2</v>
      </c>
    </row>
    <row r="4242" spans="2:5" x14ac:dyDescent="0.25">
      <c r="B4242" s="545">
        <v>5076</v>
      </c>
      <c r="C4242" s="545" t="s">
        <v>2456</v>
      </c>
      <c r="D4242" s="669" t="s">
        <v>404</v>
      </c>
      <c r="E4242" s="546">
        <v>664.35</v>
      </c>
    </row>
    <row r="4243" spans="2:5" x14ac:dyDescent="0.25">
      <c r="B4243" s="545">
        <v>5077</v>
      </c>
      <c r="C4243" s="545" t="s">
        <v>2149</v>
      </c>
      <c r="D4243" s="669" t="s">
        <v>404</v>
      </c>
      <c r="E4243" s="546">
        <v>650.80000800000005</v>
      </c>
    </row>
    <row r="4244" spans="2:5" x14ac:dyDescent="0.25">
      <c r="B4244" s="545">
        <v>5078</v>
      </c>
      <c r="C4244" s="545" t="s">
        <v>2684</v>
      </c>
      <c r="D4244" s="669" t="s">
        <v>404</v>
      </c>
      <c r="E4244" s="546">
        <v>675.28000499999996</v>
      </c>
    </row>
    <row r="4245" spans="2:5" x14ac:dyDescent="0.25">
      <c r="B4245" s="545">
        <v>5079</v>
      </c>
      <c r="C4245" s="545" t="s">
        <v>3041</v>
      </c>
      <c r="D4245" s="669" t="s">
        <v>404</v>
      </c>
      <c r="E4245" s="546">
        <v>692.90000899999995</v>
      </c>
    </row>
    <row r="4246" spans="2:5" x14ac:dyDescent="0.25">
      <c r="B4246" s="545">
        <v>5080</v>
      </c>
      <c r="C4246" s="545" t="s">
        <v>2524</v>
      </c>
      <c r="D4246" s="669" t="s">
        <v>404</v>
      </c>
      <c r="E4246" s="546">
        <v>667.20001200000002</v>
      </c>
    </row>
    <row r="4247" spans="2:5" x14ac:dyDescent="0.25">
      <c r="B4247" s="545">
        <v>5081</v>
      </c>
      <c r="C4247" s="545" t="s">
        <v>3138</v>
      </c>
      <c r="D4247" s="669" t="s">
        <v>404</v>
      </c>
      <c r="E4247" s="546">
        <v>698.20001200000002</v>
      </c>
    </row>
    <row r="4248" spans="2:5" x14ac:dyDescent="0.25">
      <c r="B4248" s="545">
        <v>5082</v>
      </c>
      <c r="C4248" s="545" t="s">
        <v>3573</v>
      </c>
      <c r="D4248" s="669" t="s">
        <v>404</v>
      </c>
      <c r="E4248" s="546">
        <v>719.72499100000005</v>
      </c>
    </row>
    <row r="4249" spans="2:5" x14ac:dyDescent="0.25">
      <c r="B4249" s="545">
        <v>5083</v>
      </c>
      <c r="C4249" s="545" t="s">
        <v>3705</v>
      </c>
      <c r="D4249" s="669" t="s">
        <v>404</v>
      </c>
      <c r="E4249" s="546">
        <v>727.42857100000003</v>
      </c>
    </row>
    <row r="4250" spans="2:5" x14ac:dyDescent="0.25">
      <c r="B4250" s="545">
        <v>5084</v>
      </c>
      <c r="C4250" s="545" t="s">
        <v>7294</v>
      </c>
      <c r="D4250" s="669" t="s">
        <v>404</v>
      </c>
      <c r="E4250" s="546">
        <v>716.63999000000001</v>
      </c>
    </row>
    <row r="4251" spans="2:5" x14ac:dyDescent="0.25">
      <c r="B4251" s="545">
        <v>5085</v>
      </c>
      <c r="C4251" s="545" t="s">
        <v>4329</v>
      </c>
      <c r="D4251" s="669" t="s">
        <v>404</v>
      </c>
      <c r="E4251" s="546">
        <v>767.09000200000003</v>
      </c>
    </row>
    <row r="4252" spans="2:5" x14ac:dyDescent="0.25">
      <c r="B4252" s="545">
        <v>5086</v>
      </c>
      <c r="C4252" s="545" t="s">
        <v>3045</v>
      </c>
      <c r="D4252" s="669" t="s">
        <v>404</v>
      </c>
      <c r="E4252" s="546">
        <v>693.17501800000002</v>
      </c>
    </row>
    <row r="4253" spans="2:5" x14ac:dyDescent="0.25">
      <c r="B4253" s="545">
        <v>5087</v>
      </c>
      <c r="C4253" s="545" t="s">
        <v>3589</v>
      </c>
      <c r="D4253" s="669" t="s">
        <v>404</v>
      </c>
      <c r="E4253" s="546">
        <v>720.79998799999998</v>
      </c>
    </row>
    <row r="4254" spans="2:5" x14ac:dyDescent="0.25">
      <c r="B4254" s="545">
        <v>5088</v>
      </c>
      <c r="C4254" s="545" t="s">
        <v>4147</v>
      </c>
      <c r="D4254" s="669" t="s">
        <v>404</v>
      </c>
      <c r="E4254" s="546">
        <v>753.80000299999995</v>
      </c>
    </row>
    <row r="4255" spans="2:5" x14ac:dyDescent="0.25">
      <c r="B4255" s="545">
        <v>5089</v>
      </c>
      <c r="C4255" s="545" t="s">
        <v>404</v>
      </c>
      <c r="D4255" s="669" t="s">
        <v>404</v>
      </c>
      <c r="E4255" s="546">
        <v>699.97500100000002</v>
      </c>
    </row>
    <row r="4256" spans="2:5" x14ac:dyDescent="0.25">
      <c r="B4256" s="545">
        <v>5090</v>
      </c>
      <c r="C4256" s="545" t="s">
        <v>2555</v>
      </c>
      <c r="D4256" s="669" t="s">
        <v>404</v>
      </c>
      <c r="E4256" s="546">
        <v>668.629999</v>
      </c>
    </row>
    <row r="4257" spans="2:5" x14ac:dyDescent="0.25">
      <c r="B4257" s="545">
        <v>5091</v>
      </c>
      <c r="C4257" s="545" t="s">
        <v>2639</v>
      </c>
      <c r="D4257" s="669" t="s">
        <v>404</v>
      </c>
      <c r="E4257" s="546">
        <v>673.42666799999995</v>
      </c>
    </row>
    <row r="4258" spans="2:5" x14ac:dyDescent="0.25">
      <c r="B4258" s="545">
        <v>5092</v>
      </c>
      <c r="C4258" s="545" t="s">
        <v>3258</v>
      </c>
      <c r="D4258" s="669" t="s">
        <v>404</v>
      </c>
      <c r="E4258" s="546">
        <v>703.5</v>
      </c>
    </row>
    <row r="4259" spans="2:5" x14ac:dyDescent="0.25">
      <c r="B4259" s="545">
        <v>5093</v>
      </c>
      <c r="C4259" s="545" t="s">
        <v>6620</v>
      </c>
      <c r="D4259" s="669" t="s">
        <v>404</v>
      </c>
      <c r="E4259" s="546">
        <v>690.30000299999995</v>
      </c>
    </row>
    <row r="4260" spans="2:5" x14ac:dyDescent="0.25">
      <c r="B4260" s="545">
        <v>5094</v>
      </c>
      <c r="C4260" s="545" t="s">
        <v>412</v>
      </c>
      <c r="D4260" s="669" t="s">
        <v>404</v>
      </c>
      <c r="E4260" s="546">
        <v>723.29998799999998</v>
      </c>
    </row>
    <row r="4261" spans="2:5" x14ac:dyDescent="0.25">
      <c r="B4261" s="545">
        <v>5095</v>
      </c>
      <c r="C4261" s="545" t="s">
        <v>2996</v>
      </c>
      <c r="D4261" s="669" t="s">
        <v>404</v>
      </c>
      <c r="E4261" s="546">
        <v>690.40002400000003</v>
      </c>
    </row>
    <row r="4262" spans="2:5" x14ac:dyDescent="0.25">
      <c r="B4262" s="545">
        <v>5096</v>
      </c>
      <c r="C4262" s="545" t="s">
        <v>4000</v>
      </c>
      <c r="D4262" s="669" t="s">
        <v>404</v>
      </c>
      <c r="E4262" s="546">
        <v>744.8125</v>
      </c>
    </row>
    <row r="4263" spans="2:5" x14ac:dyDescent="0.25">
      <c r="B4263" s="545">
        <v>5097</v>
      </c>
      <c r="C4263" s="545" t="s">
        <v>3276</v>
      </c>
      <c r="D4263" s="669" t="s">
        <v>404</v>
      </c>
      <c r="E4263" s="546">
        <v>704.41249100000005</v>
      </c>
    </row>
    <row r="4264" spans="2:5" x14ac:dyDescent="0.25">
      <c r="B4264" s="545">
        <v>5098</v>
      </c>
      <c r="C4264" s="545" t="s">
        <v>3414</v>
      </c>
      <c r="D4264" s="669" t="s">
        <v>404</v>
      </c>
      <c r="E4264" s="546">
        <v>711.94999700000005</v>
      </c>
    </row>
    <row r="4265" spans="2:5" x14ac:dyDescent="0.25">
      <c r="B4265" s="545">
        <v>5099</v>
      </c>
      <c r="C4265" s="545" t="s">
        <v>4261</v>
      </c>
      <c r="D4265" s="669" t="s">
        <v>404</v>
      </c>
      <c r="E4265" s="546">
        <v>761.98332700000003</v>
      </c>
    </row>
    <row r="4266" spans="2:5" x14ac:dyDescent="0.25">
      <c r="B4266" s="545">
        <v>5100</v>
      </c>
      <c r="C4266" s="545" t="s">
        <v>3530</v>
      </c>
      <c r="D4266" s="669" t="s">
        <v>404</v>
      </c>
      <c r="E4266" s="546">
        <v>717.90000399999997</v>
      </c>
    </row>
    <row r="4267" spans="2:5" x14ac:dyDescent="0.25">
      <c r="B4267" s="545">
        <v>5101</v>
      </c>
      <c r="C4267" s="545" t="s">
        <v>4751</v>
      </c>
      <c r="D4267" s="669" t="s">
        <v>404</v>
      </c>
      <c r="E4267" s="546">
        <v>799.84000200000003</v>
      </c>
    </row>
    <row r="4268" spans="2:5" x14ac:dyDescent="0.25">
      <c r="B4268" s="545">
        <v>5102</v>
      </c>
      <c r="C4268" s="545" t="s">
        <v>3944</v>
      </c>
      <c r="D4268" s="669" t="s">
        <v>404</v>
      </c>
      <c r="E4268" s="546">
        <v>741.385716</v>
      </c>
    </row>
    <row r="4269" spans="2:5" x14ac:dyDescent="0.25">
      <c r="B4269" s="545">
        <v>5103</v>
      </c>
      <c r="C4269" s="545" t="s">
        <v>6541</v>
      </c>
      <c r="D4269" s="669" t="s">
        <v>404</v>
      </c>
      <c r="E4269" s="546">
        <v>818.59999600000003</v>
      </c>
    </row>
    <row r="4270" spans="2:5" x14ac:dyDescent="0.25">
      <c r="B4270" s="545">
        <v>5104</v>
      </c>
      <c r="C4270" s="545" t="s">
        <v>5052</v>
      </c>
      <c r="D4270" s="669" t="s">
        <v>404</v>
      </c>
      <c r="E4270" s="546">
        <v>828.54999499999997</v>
      </c>
    </row>
    <row r="4271" spans="2:5" x14ac:dyDescent="0.25">
      <c r="B4271" s="545">
        <v>5105</v>
      </c>
      <c r="C4271" s="545" t="s">
        <v>5337</v>
      </c>
      <c r="D4271" s="669" t="s">
        <v>404</v>
      </c>
      <c r="E4271" s="546">
        <v>868.79999799999996</v>
      </c>
    </row>
    <row r="4272" spans="2:5" x14ac:dyDescent="0.25">
      <c r="B4272" s="545">
        <v>5106</v>
      </c>
      <c r="C4272" s="545" t="s">
        <v>784</v>
      </c>
      <c r="D4272" s="669" t="s">
        <v>404</v>
      </c>
      <c r="E4272" s="546">
        <v>731.32857000000001</v>
      </c>
    </row>
    <row r="4273" spans="2:5" x14ac:dyDescent="0.25">
      <c r="B4273" s="545">
        <v>5107</v>
      </c>
      <c r="C4273" s="545" t="s">
        <v>4977</v>
      </c>
      <c r="D4273" s="669" t="s">
        <v>404</v>
      </c>
      <c r="E4273" s="546">
        <v>819.94999700000005</v>
      </c>
    </row>
    <row r="4274" spans="2:5" x14ac:dyDescent="0.25">
      <c r="B4274" s="545">
        <v>5108</v>
      </c>
      <c r="C4274" s="545" t="s">
        <v>4928</v>
      </c>
      <c r="D4274" s="669" t="s">
        <v>404</v>
      </c>
      <c r="E4274" s="546">
        <v>814.82501200000002</v>
      </c>
    </row>
    <row r="4275" spans="2:5" x14ac:dyDescent="0.25">
      <c r="B4275" s="545">
        <v>5109</v>
      </c>
      <c r="C4275" s="545" t="s">
        <v>5818</v>
      </c>
      <c r="D4275" s="669" t="s">
        <v>404</v>
      </c>
      <c r="E4275" s="546">
        <v>970.99999300000002</v>
      </c>
    </row>
    <row r="4276" spans="2:5" x14ac:dyDescent="0.25">
      <c r="B4276" s="545">
        <v>5110</v>
      </c>
      <c r="C4276" s="545" t="s">
        <v>5263</v>
      </c>
      <c r="D4276" s="669" t="s">
        <v>404</v>
      </c>
      <c r="E4276" s="546">
        <v>855.70001200000002</v>
      </c>
    </row>
    <row r="4277" spans="2:5" x14ac:dyDescent="0.25">
      <c r="B4277" s="545">
        <v>5111</v>
      </c>
      <c r="C4277" s="545" t="s">
        <v>4709</v>
      </c>
      <c r="D4277" s="669" t="s">
        <v>404</v>
      </c>
      <c r="E4277" s="546">
        <v>796.71538399999997</v>
      </c>
    </row>
    <row r="4278" spans="2:5" x14ac:dyDescent="0.25">
      <c r="B4278" s="545">
        <v>5112</v>
      </c>
      <c r="C4278" s="545" t="s">
        <v>5382</v>
      </c>
      <c r="D4278" s="669" t="s">
        <v>404</v>
      </c>
      <c r="E4278" s="546">
        <v>875.6875</v>
      </c>
    </row>
    <row r="4279" spans="2:5" x14ac:dyDescent="0.25">
      <c r="B4279" s="545">
        <v>5113</v>
      </c>
      <c r="C4279" s="545" t="s">
        <v>6965</v>
      </c>
      <c r="D4279" s="669" t="s">
        <v>404</v>
      </c>
      <c r="E4279" s="546">
        <v>944.34999600000003</v>
      </c>
    </row>
    <row r="4280" spans="2:5" x14ac:dyDescent="0.25">
      <c r="B4280" s="545">
        <v>5114</v>
      </c>
      <c r="C4280" s="545" t="s">
        <v>5352</v>
      </c>
      <c r="D4280" s="669" t="s">
        <v>404</v>
      </c>
      <c r="E4280" s="546">
        <v>994.54737299999999</v>
      </c>
    </row>
    <row r="4281" spans="2:5" x14ac:dyDescent="0.25">
      <c r="B4281" s="545">
        <v>5115</v>
      </c>
      <c r="C4281" s="545" t="s">
        <v>6711</v>
      </c>
      <c r="D4281" s="669" t="s">
        <v>404</v>
      </c>
      <c r="E4281" s="546">
        <v>999.01667299999997</v>
      </c>
    </row>
    <row r="4282" spans="2:5" x14ac:dyDescent="0.25">
      <c r="B4282" s="545">
        <v>5116</v>
      </c>
      <c r="C4282" s="545" t="s">
        <v>6069</v>
      </c>
      <c r="D4282" s="669" t="s">
        <v>404</v>
      </c>
      <c r="E4282" s="546">
        <v>1092.125006</v>
      </c>
    </row>
    <row r="4283" spans="2:5" x14ac:dyDescent="0.25">
      <c r="B4283" s="545">
        <v>5117</v>
      </c>
      <c r="C4283" s="545" t="s">
        <v>6151</v>
      </c>
      <c r="D4283" s="669" t="s">
        <v>404</v>
      </c>
      <c r="E4283" s="546">
        <v>1153.3929740000001</v>
      </c>
    </row>
    <row r="4284" spans="2:5" x14ac:dyDescent="0.25">
      <c r="B4284" s="545">
        <v>5118</v>
      </c>
      <c r="C4284" s="545" t="s">
        <v>3344</v>
      </c>
      <c r="D4284" s="669" t="s">
        <v>404</v>
      </c>
      <c r="E4284" s="546">
        <v>707.94546200000002</v>
      </c>
    </row>
    <row r="4285" spans="2:5" x14ac:dyDescent="0.25">
      <c r="B4285" s="545">
        <v>5119</v>
      </c>
      <c r="C4285" s="545" t="s">
        <v>2824</v>
      </c>
      <c r="D4285" s="669" t="s">
        <v>404</v>
      </c>
      <c r="E4285" s="546">
        <v>682.27999299999999</v>
      </c>
    </row>
    <row r="4286" spans="2:5" x14ac:dyDescent="0.25">
      <c r="B4286" s="545">
        <v>5120</v>
      </c>
      <c r="C4286" s="545" t="s">
        <v>2570</v>
      </c>
      <c r="D4286" s="669" t="s">
        <v>404</v>
      </c>
      <c r="E4286" s="546">
        <v>669.125</v>
      </c>
    </row>
    <row r="4287" spans="2:5" x14ac:dyDescent="0.25">
      <c r="B4287" s="545">
        <v>5121</v>
      </c>
      <c r="C4287" s="545" t="s">
        <v>2884</v>
      </c>
      <c r="D4287" s="669" t="s">
        <v>404</v>
      </c>
      <c r="E4287" s="546">
        <v>685.40909099999999</v>
      </c>
    </row>
    <row r="4288" spans="2:5" x14ac:dyDescent="0.25">
      <c r="B4288" s="545">
        <v>5122</v>
      </c>
      <c r="C4288" s="545" t="s">
        <v>2229</v>
      </c>
      <c r="D4288" s="669" t="s">
        <v>404</v>
      </c>
      <c r="E4288" s="546">
        <v>654.27999299999999</v>
      </c>
    </row>
    <row r="4289" spans="2:5" x14ac:dyDescent="0.25">
      <c r="B4289" s="545">
        <v>5123</v>
      </c>
      <c r="C4289" s="545" t="s">
        <v>2328</v>
      </c>
      <c r="D4289" s="669" t="s">
        <v>404</v>
      </c>
      <c r="E4289" s="546">
        <v>668.04999799999996</v>
      </c>
    </row>
    <row r="4290" spans="2:5" x14ac:dyDescent="0.25">
      <c r="B4290" s="545">
        <v>5124</v>
      </c>
      <c r="C4290" s="545" t="s">
        <v>2240</v>
      </c>
      <c r="D4290" s="669" t="s">
        <v>404</v>
      </c>
      <c r="E4290" s="546">
        <v>663.26666299999999</v>
      </c>
    </row>
    <row r="4291" spans="2:5" x14ac:dyDescent="0.25">
      <c r="B4291" s="545">
        <v>5125</v>
      </c>
      <c r="C4291" s="545" t="s">
        <v>1463</v>
      </c>
      <c r="D4291" s="669" t="s">
        <v>404</v>
      </c>
      <c r="E4291" s="546">
        <v>765.36429299999998</v>
      </c>
    </row>
    <row r="4292" spans="2:5" x14ac:dyDescent="0.25">
      <c r="B4292" s="545">
        <v>5126</v>
      </c>
      <c r="C4292" s="545" t="s">
        <v>4213</v>
      </c>
      <c r="D4292" s="669" t="s">
        <v>404</v>
      </c>
      <c r="E4292" s="546">
        <v>758.47500600000001</v>
      </c>
    </row>
    <row r="4293" spans="2:5" x14ac:dyDescent="0.25">
      <c r="B4293" s="545">
        <v>5127</v>
      </c>
      <c r="C4293" s="545" t="s">
        <v>4461</v>
      </c>
      <c r="D4293" s="669" t="s">
        <v>404</v>
      </c>
      <c r="E4293" s="546">
        <v>777.48181199999999</v>
      </c>
    </row>
    <row r="4294" spans="2:5" x14ac:dyDescent="0.25">
      <c r="B4294" s="545">
        <v>5128</v>
      </c>
      <c r="C4294" s="545" t="s">
        <v>7508</v>
      </c>
      <c r="D4294" s="669" t="s">
        <v>404</v>
      </c>
      <c r="E4294" s="546">
        <v>767.16666699999996</v>
      </c>
    </row>
    <row r="4295" spans="2:5" x14ac:dyDescent="0.25">
      <c r="B4295" s="545">
        <v>5129</v>
      </c>
      <c r="C4295" s="545" t="s">
        <v>4328</v>
      </c>
      <c r="D4295" s="669" t="s">
        <v>404</v>
      </c>
      <c r="E4295" s="546">
        <v>767.01667299999997</v>
      </c>
    </row>
    <row r="4296" spans="2:5" x14ac:dyDescent="0.25">
      <c r="B4296" s="545">
        <v>5130</v>
      </c>
      <c r="C4296" s="545" t="s">
        <v>3519</v>
      </c>
      <c r="D4296" s="669" t="s">
        <v>404</v>
      </c>
      <c r="E4296" s="546">
        <v>717.24615900000003</v>
      </c>
    </row>
    <row r="4297" spans="2:5" x14ac:dyDescent="0.25">
      <c r="B4297" s="545">
        <v>5131</v>
      </c>
      <c r="C4297" s="545" t="s">
        <v>1204</v>
      </c>
      <c r="D4297" s="669" t="s">
        <v>404</v>
      </c>
      <c r="E4297" s="546">
        <v>761.01428699999997</v>
      </c>
    </row>
    <row r="4298" spans="2:5" x14ac:dyDescent="0.25">
      <c r="B4298" s="545">
        <v>5133</v>
      </c>
      <c r="C4298" s="545" t="s">
        <v>5044</v>
      </c>
      <c r="D4298" s="669" t="s">
        <v>404</v>
      </c>
      <c r="E4298" s="546">
        <v>827.57501200000002</v>
      </c>
    </row>
    <row r="4299" spans="2:5" x14ac:dyDescent="0.25">
      <c r="B4299" s="545">
        <v>5134</v>
      </c>
      <c r="C4299" s="545" t="s">
        <v>1741</v>
      </c>
      <c r="D4299" s="669" t="s">
        <v>404</v>
      </c>
      <c r="E4299" s="546">
        <v>765.74999700000001</v>
      </c>
    </row>
    <row r="4300" spans="2:5" x14ac:dyDescent="0.25">
      <c r="B4300" s="545">
        <v>5135</v>
      </c>
      <c r="C4300" s="545" t="s">
        <v>2181</v>
      </c>
      <c r="D4300" s="669" t="s">
        <v>404</v>
      </c>
      <c r="E4300" s="546">
        <v>822.00768600000004</v>
      </c>
    </row>
    <row r="4301" spans="2:5" x14ac:dyDescent="0.25">
      <c r="B4301" s="545">
        <v>5136</v>
      </c>
      <c r="C4301" s="545" t="s">
        <v>5352</v>
      </c>
      <c r="D4301" s="669" t="s">
        <v>404</v>
      </c>
      <c r="E4301" s="546">
        <v>870.70588199999997</v>
      </c>
    </row>
    <row r="4302" spans="2:5" x14ac:dyDescent="0.25">
      <c r="B4302" s="545">
        <v>5137</v>
      </c>
      <c r="C4302" s="545" t="s">
        <v>1497</v>
      </c>
      <c r="D4302" s="669" t="s">
        <v>404</v>
      </c>
      <c r="E4302" s="546">
        <v>842.76363300000003</v>
      </c>
    </row>
    <row r="4303" spans="2:5" x14ac:dyDescent="0.25">
      <c r="B4303" s="545">
        <v>5138</v>
      </c>
      <c r="C4303" s="545" t="s">
        <v>5267</v>
      </c>
      <c r="D4303" s="669" t="s">
        <v>404</v>
      </c>
      <c r="E4303" s="546">
        <v>856.32499700000005</v>
      </c>
    </row>
    <row r="4304" spans="2:5" x14ac:dyDescent="0.25">
      <c r="B4304" s="545">
        <v>5139</v>
      </c>
      <c r="C4304" s="545" t="s">
        <v>1597</v>
      </c>
      <c r="D4304" s="669" t="s">
        <v>404</v>
      </c>
      <c r="E4304" s="546">
        <v>838.53635499999996</v>
      </c>
    </row>
    <row r="4305" spans="2:5" x14ac:dyDescent="0.25">
      <c r="B4305" s="545">
        <v>5140</v>
      </c>
      <c r="C4305" s="545" t="s">
        <v>4947</v>
      </c>
      <c r="D4305" s="669" t="s">
        <v>404</v>
      </c>
      <c r="E4305" s="546">
        <v>816.32812699999999</v>
      </c>
    </row>
    <row r="4306" spans="2:5" x14ac:dyDescent="0.25">
      <c r="B4306" s="545">
        <v>5141</v>
      </c>
      <c r="C4306" s="545" t="s">
        <v>2852</v>
      </c>
      <c r="D4306" s="669" t="s">
        <v>404</v>
      </c>
      <c r="E4306" s="546">
        <v>684.02999899999998</v>
      </c>
    </row>
    <row r="4307" spans="2:5" x14ac:dyDescent="0.25">
      <c r="B4307" s="545">
        <v>5142</v>
      </c>
      <c r="C4307" s="545" t="s">
        <v>2596</v>
      </c>
      <c r="D4307" s="669" t="s">
        <v>404</v>
      </c>
      <c r="E4307" s="546">
        <v>670.56666399999995</v>
      </c>
    </row>
    <row r="4308" spans="2:5" x14ac:dyDescent="0.25">
      <c r="B4308" s="545">
        <v>5143</v>
      </c>
      <c r="C4308" s="545" t="s">
        <v>7035</v>
      </c>
      <c r="D4308" s="669" t="s">
        <v>404</v>
      </c>
      <c r="E4308" s="546">
        <v>663.79998799999998</v>
      </c>
    </row>
    <row r="4309" spans="2:5" x14ac:dyDescent="0.25">
      <c r="B4309" s="545">
        <v>5144</v>
      </c>
      <c r="C4309" s="545" t="s">
        <v>3503</v>
      </c>
      <c r="D4309" s="669" t="s">
        <v>404</v>
      </c>
      <c r="E4309" s="546">
        <v>716.16665999999998</v>
      </c>
    </row>
    <row r="4310" spans="2:5" x14ac:dyDescent="0.25">
      <c r="B4310" s="545">
        <v>5145</v>
      </c>
      <c r="C4310" s="545" t="s">
        <v>3253</v>
      </c>
      <c r="D4310" s="669" t="s">
        <v>404</v>
      </c>
      <c r="E4310" s="546">
        <v>703.35714299999995</v>
      </c>
    </row>
    <row r="4311" spans="2:5" x14ac:dyDescent="0.25">
      <c r="B4311" s="545">
        <v>5146</v>
      </c>
      <c r="C4311" s="545" t="s">
        <v>1014</v>
      </c>
      <c r="D4311" s="669" t="s">
        <v>404</v>
      </c>
      <c r="E4311" s="546">
        <v>739.23332700000003</v>
      </c>
    </row>
    <row r="4312" spans="2:5" x14ac:dyDescent="0.25">
      <c r="B4312" s="545">
        <v>5147</v>
      </c>
      <c r="C4312" s="545" t="s">
        <v>3081</v>
      </c>
      <c r="D4312" s="669" t="s">
        <v>404</v>
      </c>
      <c r="E4312" s="546">
        <v>695.16668700000002</v>
      </c>
    </row>
    <row r="4313" spans="2:5" x14ac:dyDescent="0.25">
      <c r="B4313" s="545">
        <v>5148</v>
      </c>
      <c r="C4313" s="545" t="s">
        <v>3140</v>
      </c>
      <c r="D4313" s="669" t="s">
        <v>404</v>
      </c>
      <c r="E4313" s="546">
        <v>698.29090499999995</v>
      </c>
    </row>
    <row r="4314" spans="2:5" x14ac:dyDescent="0.25">
      <c r="B4314" s="545">
        <v>5149</v>
      </c>
      <c r="C4314" s="545" t="s">
        <v>4548</v>
      </c>
      <c r="D4314" s="669" t="s">
        <v>404</v>
      </c>
      <c r="E4314" s="546">
        <v>783.81764799999996</v>
      </c>
    </row>
    <row r="4315" spans="2:5" x14ac:dyDescent="0.25">
      <c r="B4315" s="545">
        <v>5150</v>
      </c>
      <c r="C4315" s="545" t="s">
        <v>7269</v>
      </c>
      <c r="D4315" s="669" t="s">
        <v>404</v>
      </c>
      <c r="E4315" s="546">
        <v>761.35000600000001</v>
      </c>
    </row>
    <row r="4316" spans="2:5" x14ac:dyDescent="0.25">
      <c r="B4316" s="545">
        <v>5151</v>
      </c>
      <c r="C4316" s="545" t="s">
        <v>4540</v>
      </c>
      <c r="D4316" s="669" t="s">
        <v>404</v>
      </c>
      <c r="E4316" s="546">
        <v>782.95001200000002</v>
      </c>
    </row>
    <row r="4317" spans="2:5" x14ac:dyDescent="0.25">
      <c r="B4317" s="545">
        <v>5152</v>
      </c>
      <c r="C4317" s="545" t="s">
        <v>4933</v>
      </c>
      <c r="D4317" s="669" t="s">
        <v>404</v>
      </c>
      <c r="E4317" s="546">
        <v>815.13332100000002</v>
      </c>
    </row>
    <row r="4318" spans="2:5" x14ac:dyDescent="0.25">
      <c r="B4318" s="545">
        <v>5153</v>
      </c>
      <c r="C4318" s="545" t="s">
        <v>4821</v>
      </c>
      <c r="D4318" s="669" t="s">
        <v>404</v>
      </c>
      <c r="E4318" s="546">
        <v>805.30001800000002</v>
      </c>
    </row>
    <row r="4319" spans="2:5" x14ac:dyDescent="0.25">
      <c r="B4319" s="545">
        <v>5154</v>
      </c>
      <c r="C4319" s="545" t="s">
        <v>1362</v>
      </c>
      <c r="D4319" s="669" t="s">
        <v>404</v>
      </c>
      <c r="E4319" s="546">
        <v>746.04166199999997</v>
      </c>
    </row>
    <row r="4320" spans="2:5" x14ac:dyDescent="0.25">
      <c r="B4320" s="545">
        <v>5155</v>
      </c>
      <c r="C4320" s="545" t="s">
        <v>4376</v>
      </c>
      <c r="D4320" s="669" t="s">
        <v>404</v>
      </c>
      <c r="E4320" s="546">
        <v>770.240002</v>
      </c>
    </row>
    <row r="4321" spans="2:5" x14ac:dyDescent="0.25">
      <c r="B4321" s="545">
        <v>5156</v>
      </c>
      <c r="C4321" s="545" t="s">
        <v>3133</v>
      </c>
      <c r="D4321" s="669" t="s">
        <v>404</v>
      </c>
      <c r="E4321" s="546">
        <v>732.76666299999999</v>
      </c>
    </row>
    <row r="4322" spans="2:5" x14ac:dyDescent="0.25">
      <c r="B4322" s="545">
        <v>5157</v>
      </c>
      <c r="C4322" s="545" t="s">
        <v>2513</v>
      </c>
      <c r="D4322" s="669" t="s">
        <v>404</v>
      </c>
      <c r="E4322" s="546">
        <v>778.92500299999995</v>
      </c>
    </row>
    <row r="4323" spans="2:5" x14ac:dyDescent="0.25">
      <c r="B4323" s="545">
        <v>5158</v>
      </c>
      <c r="C4323" s="545" t="s">
        <v>4127</v>
      </c>
      <c r="D4323" s="669" t="s">
        <v>404</v>
      </c>
      <c r="E4323" s="546">
        <v>752.37142500000004</v>
      </c>
    </row>
    <row r="4324" spans="2:5" x14ac:dyDescent="0.25">
      <c r="B4324" s="545">
        <v>5159</v>
      </c>
      <c r="C4324" s="545" t="s">
        <v>700</v>
      </c>
      <c r="D4324" s="669" t="s">
        <v>404</v>
      </c>
      <c r="E4324" s="546">
        <v>699</v>
      </c>
    </row>
    <row r="4325" spans="2:5" x14ac:dyDescent="0.25">
      <c r="B4325" s="545">
        <v>5160</v>
      </c>
      <c r="C4325" s="545" t="s">
        <v>4332</v>
      </c>
      <c r="D4325" s="669" t="s">
        <v>404</v>
      </c>
      <c r="E4325" s="546">
        <v>767.16666699999996</v>
      </c>
    </row>
    <row r="4326" spans="2:5" x14ac:dyDescent="0.25">
      <c r="B4326" s="545">
        <v>5161</v>
      </c>
      <c r="C4326" s="545" t="s">
        <v>3894</v>
      </c>
      <c r="D4326" s="669" t="s">
        <v>404</v>
      </c>
      <c r="E4326" s="546">
        <v>738.25</v>
      </c>
    </row>
    <row r="4327" spans="2:5" x14ac:dyDescent="0.25">
      <c r="B4327" s="545">
        <v>5162</v>
      </c>
      <c r="C4327" s="545" t="s">
        <v>4366</v>
      </c>
      <c r="D4327" s="669" t="s">
        <v>404</v>
      </c>
      <c r="E4327" s="546">
        <v>769.51818300000002</v>
      </c>
    </row>
    <row r="4328" spans="2:5" x14ac:dyDescent="0.25">
      <c r="B4328" s="545">
        <v>5163</v>
      </c>
      <c r="C4328" s="545" t="s">
        <v>4113</v>
      </c>
      <c r="D4328" s="669" t="s">
        <v>404</v>
      </c>
      <c r="E4328" s="546">
        <v>751.58572000000004</v>
      </c>
    </row>
    <row r="4329" spans="2:5" x14ac:dyDescent="0.25">
      <c r="B4329" s="545">
        <v>5164</v>
      </c>
      <c r="C4329" s="545" t="s">
        <v>2125</v>
      </c>
      <c r="D4329" s="669" t="s">
        <v>404</v>
      </c>
      <c r="E4329" s="546">
        <v>795.07499700000005</v>
      </c>
    </row>
    <row r="4330" spans="2:5" x14ac:dyDescent="0.25">
      <c r="B4330" s="545">
        <v>5165</v>
      </c>
      <c r="C4330" s="545" t="s">
        <v>3104</v>
      </c>
      <c r="D4330" s="669" t="s">
        <v>404</v>
      </c>
      <c r="E4330" s="546">
        <v>844.37778000000003</v>
      </c>
    </row>
    <row r="4331" spans="2:5" x14ac:dyDescent="0.25">
      <c r="B4331" s="545">
        <v>5166</v>
      </c>
      <c r="C4331" s="545" t="s">
        <v>3344</v>
      </c>
      <c r="D4331" s="669" t="s">
        <v>404</v>
      </c>
      <c r="E4331" s="546">
        <v>826.79998799999998</v>
      </c>
    </row>
    <row r="4332" spans="2:5" x14ac:dyDescent="0.25">
      <c r="B4332" s="545">
        <v>5167</v>
      </c>
      <c r="C4332" s="545" t="s">
        <v>5063</v>
      </c>
      <c r="D4332" s="669" t="s">
        <v>404</v>
      </c>
      <c r="E4332" s="546">
        <v>829.59998599999994</v>
      </c>
    </row>
    <row r="4333" spans="2:5" x14ac:dyDescent="0.25">
      <c r="B4333" s="545">
        <v>5168</v>
      </c>
      <c r="C4333" s="545" t="s">
        <v>6507</v>
      </c>
      <c r="D4333" s="669" t="s">
        <v>404</v>
      </c>
      <c r="E4333" s="546">
        <v>810.05000299999995</v>
      </c>
    </row>
    <row r="4334" spans="2:5" x14ac:dyDescent="0.25">
      <c r="B4334" s="545">
        <v>5169</v>
      </c>
      <c r="C4334" s="545" t="s">
        <v>5258</v>
      </c>
      <c r="D4334" s="669" t="s">
        <v>404</v>
      </c>
      <c r="E4334" s="546">
        <v>854.64999399999999</v>
      </c>
    </row>
    <row r="4335" spans="2:5" x14ac:dyDescent="0.25">
      <c r="B4335" s="545">
        <v>5170</v>
      </c>
      <c r="C4335" s="545" t="s">
        <v>7589</v>
      </c>
      <c r="D4335" s="669" t="s">
        <v>404</v>
      </c>
      <c r="E4335" s="546">
        <v>799.133331</v>
      </c>
    </row>
    <row r="4336" spans="2:5" x14ac:dyDescent="0.25">
      <c r="B4336" s="545">
        <v>5171</v>
      </c>
      <c r="C4336" s="545" t="s">
        <v>5694</v>
      </c>
      <c r="D4336" s="669" t="s">
        <v>404</v>
      </c>
      <c r="E4336" s="546">
        <v>937.21332199999995</v>
      </c>
    </row>
    <row r="4337" spans="2:5" x14ac:dyDescent="0.25">
      <c r="B4337" s="545">
        <v>5172</v>
      </c>
      <c r="C4337" s="545" t="s">
        <v>4953</v>
      </c>
      <c r="D4337" s="669" t="s">
        <v>404</v>
      </c>
      <c r="E4337" s="546">
        <v>816.77500899999995</v>
      </c>
    </row>
    <row r="4338" spans="2:5" x14ac:dyDescent="0.25">
      <c r="B4338" s="545">
        <v>5173</v>
      </c>
      <c r="C4338" s="545" t="s">
        <v>5483</v>
      </c>
      <c r="D4338" s="669" t="s">
        <v>404</v>
      </c>
      <c r="E4338" s="546">
        <v>893.45555999999999</v>
      </c>
    </row>
    <row r="4339" spans="2:5" x14ac:dyDescent="0.25">
      <c r="B4339" s="545">
        <v>5201</v>
      </c>
      <c r="C4339" s="545" t="s">
        <v>3400</v>
      </c>
      <c r="D4339" s="669" t="s">
        <v>401</v>
      </c>
      <c r="E4339" s="546">
        <v>710.93335000000002</v>
      </c>
    </row>
    <row r="4340" spans="2:5" x14ac:dyDescent="0.25">
      <c r="B4340" s="545">
        <v>5202</v>
      </c>
      <c r="C4340" s="545" t="s">
        <v>3493</v>
      </c>
      <c r="D4340" s="669" t="s">
        <v>401</v>
      </c>
      <c r="E4340" s="546">
        <v>715.72222199999999</v>
      </c>
    </row>
    <row r="4341" spans="2:5" x14ac:dyDescent="0.25">
      <c r="B4341" s="545">
        <v>5203</v>
      </c>
      <c r="C4341" s="545" t="s">
        <v>2267</v>
      </c>
      <c r="D4341" s="669" t="s">
        <v>401</v>
      </c>
      <c r="E4341" s="546">
        <v>656.01537599999995</v>
      </c>
    </row>
    <row r="4342" spans="2:5" x14ac:dyDescent="0.25">
      <c r="B4342" s="545">
        <v>5204</v>
      </c>
      <c r="C4342" s="545" t="s">
        <v>3302</v>
      </c>
      <c r="D4342" s="669" t="s">
        <v>401</v>
      </c>
      <c r="E4342" s="546">
        <v>706.14000899999996</v>
      </c>
    </row>
    <row r="4343" spans="2:5" x14ac:dyDescent="0.25">
      <c r="B4343" s="545">
        <v>5205</v>
      </c>
      <c r="C4343" s="545" t="s">
        <v>1970</v>
      </c>
      <c r="D4343" s="669" t="s">
        <v>401</v>
      </c>
      <c r="E4343" s="546">
        <v>642.36665900000003</v>
      </c>
    </row>
    <row r="4344" spans="2:5" x14ac:dyDescent="0.25">
      <c r="B4344" s="545">
        <v>5206</v>
      </c>
      <c r="C4344" s="545" t="s">
        <v>2447</v>
      </c>
      <c r="D4344" s="669" t="s">
        <v>401</v>
      </c>
      <c r="E4344" s="546">
        <v>664.08749399999999</v>
      </c>
    </row>
    <row r="4345" spans="2:5" x14ac:dyDescent="0.25">
      <c r="B4345" s="545">
        <v>5207</v>
      </c>
      <c r="C4345" s="545" t="s">
        <v>2038</v>
      </c>
      <c r="D4345" s="669" t="s">
        <v>401</v>
      </c>
      <c r="E4345" s="546">
        <v>644.69999700000005</v>
      </c>
    </row>
    <row r="4346" spans="2:5" x14ac:dyDescent="0.25">
      <c r="B4346" s="545">
        <v>5208</v>
      </c>
      <c r="C4346" s="545" t="s">
        <v>1491</v>
      </c>
      <c r="D4346" s="669" t="s">
        <v>401</v>
      </c>
      <c r="E4346" s="546">
        <v>619.67498799999998</v>
      </c>
    </row>
    <row r="4347" spans="2:5" x14ac:dyDescent="0.25">
      <c r="B4347" s="545">
        <v>5209</v>
      </c>
      <c r="C4347" s="545" t="s">
        <v>4054</v>
      </c>
      <c r="D4347" s="669" t="s">
        <v>401</v>
      </c>
      <c r="E4347" s="546">
        <v>748.59997599999997</v>
      </c>
    </row>
    <row r="4348" spans="2:5" x14ac:dyDescent="0.25">
      <c r="B4348" s="545">
        <v>5210</v>
      </c>
      <c r="C4348" s="545" t="s">
        <v>2453</v>
      </c>
      <c r="D4348" s="669" t="s">
        <v>401</v>
      </c>
      <c r="E4348" s="546">
        <v>664.15000899999995</v>
      </c>
    </row>
    <row r="4349" spans="2:5" x14ac:dyDescent="0.25">
      <c r="B4349" s="545">
        <v>5211</v>
      </c>
      <c r="C4349" s="545" t="s">
        <v>3551</v>
      </c>
      <c r="D4349" s="669" t="s">
        <v>401</v>
      </c>
      <c r="E4349" s="546">
        <v>718.83333300000004</v>
      </c>
    </row>
    <row r="4350" spans="2:5" x14ac:dyDescent="0.25">
      <c r="B4350" s="545">
        <v>5212</v>
      </c>
      <c r="C4350" s="545" t="s">
        <v>4571</v>
      </c>
      <c r="D4350" s="669" t="s">
        <v>401</v>
      </c>
      <c r="E4350" s="546">
        <v>785.94375200000002</v>
      </c>
    </row>
    <row r="4351" spans="2:5" x14ac:dyDescent="0.25">
      <c r="B4351" s="545">
        <v>5213</v>
      </c>
      <c r="C4351" s="545" t="s">
        <v>4777</v>
      </c>
      <c r="D4351" s="669" t="s">
        <v>401</v>
      </c>
      <c r="E4351" s="546">
        <v>802.07777899999996</v>
      </c>
    </row>
    <row r="4352" spans="2:5" x14ac:dyDescent="0.25">
      <c r="B4352" s="545">
        <v>5215</v>
      </c>
      <c r="C4352" s="545" t="s">
        <v>1932</v>
      </c>
      <c r="D4352" s="669" t="s">
        <v>401</v>
      </c>
      <c r="E4352" s="546">
        <v>641.29998799999998</v>
      </c>
    </row>
    <row r="4353" spans="2:5" x14ac:dyDescent="0.25">
      <c r="B4353" s="545">
        <v>5216</v>
      </c>
      <c r="C4353" s="545" t="s">
        <v>3112</v>
      </c>
      <c r="D4353" s="669" t="s">
        <v>401</v>
      </c>
      <c r="E4353" s="546">
        <v>696.77222400000005</v>
      </c>
    </row>
    <row r="4354" spans="2:5" x14ac:dyDescent="0.25">
      <c r="B4354" s="545">
        <v>5217</v>
      </c>
      <c r="C4354" s="545" t="s">
        <v>1771</v>
      </c>
      <c r="D4354" s="669" t="s">
        <v>401</v>
      </c>
      <c r="E4354" s="546">
        <v>635.088888</v>
      </c>
    </row>
    <row r="4355" spans="2:5" x14ac:dyDescent="0.25">
      <c r="B4355" s="545">
        <v>5218</v>
      </c>
      <c r="C4355" s="545" t="s">
        <v>2806</v>
      </c>
      <c r="D4355" s="669" t="s">
        <v>401</v>
      </c>
      <c r="E4355" s="546">
        <v>681.5</v>
      </c>
    </row>
    <row r="4356" spans="2:5" x14ac:dyDescent="0.25">
      <c r="B4356" s="545">
        <v>5219</v>
      </c>
      <c r="C4356" s="545" t="s">
        <v>1783</v>
      </c>
      <c r="D4356" s="669" t="s">
        <v>401</v>
      </c>
      <c r="E4356" s="546">
        <v>688.133331</v>
      </c>
    </row>
    <row r="4357" spans="2:5" x14ac:dyDescent="0.25">
      <c r="B4357" s="545">
        <v>5220</v>
      </c>
      <c r="C4357" s="545" t="s">
        <v>2058</v>
      </c>
      <c r="D4357" s="669" t="s">
        <v>401</v>
      </c>
      <c r="E4357" s="546">
        <v>645.84286899999995</v>
      </c>
    </row>
    <row r="4358" spans="2:5" x14ac:dyDescent="0.25">
      <c r="B4358" s="545">
        <v>5221</v>
      </c>
      <c r="C4358" s="545" t="s">
        <v>1343</v>
      </c>
      <c r="D4358" s="669" t="s">
        <v>401</v>
      </c>
      <c r="E4358" s="546">
        <v>612.08333800000003</v>
      </c>
    </row>
    <row r="4359" spans="2:5" x14ac:dyDescent="0.25">
      <c r="B4359" s="545">
        <v>5222</v>
      </c>
      <c r="C4359" s="545" t="s">
        <v>3340</v>
      </c>
      <c r="D4359" s="669" t="s">
        <v>401</v>
      </c>
      <c r="E4359" s="546">
        <v>707.72500100000002</v>
      </c>
    </row>
    <row r="4360" spans="2:5" x14ac:dyDescent="0.25">
      <c r="B4360" s="545">
        <v>5223</v>
      </c>
      <c r="C4360" s="545" t="s">
        <v>1983</v>
      </c>
      <c r="D4360" s="669" t="s">
        <v>401</v>
      </c>
      <c r="E4360" s="546">
        <v>642.81666099999995</v>
      </c>
    </row>
    <row r="4361" spans="2:5" x14ac:dyDescent="0.25">
      <c r="B4361" s="545">
        <v>5224</v>
      </c>
      <c r="C4361" s="545" t="s">
        <v>2307</v>
      </c>
      <c r="D4361" s="669" t="s">
        <v>401</v>
      </c>
      <c r="E4361" s="546">
        <v>657.71428600000002</v>
      </c>
    </row>
    <row r="4362" spans="2:5" x14ac:dyDescent="0.25">
      <c r="B4362" s="545">
        <v>5225</v>
      </c>
      <c r="C4362" s="545" t="s">
        <v>1484</v>
      </c>
      <c r="D4362" s="669" t="s">
        <v>401</v>
      </c>
      <c r="E4362" s="546">
        <v>619.44443799999999</v>
      </c>
    </row>
    <row r="4363" spans="2:5" x14ac:dyDescent="0.25">
      <c r="B4363" s="545">
        <v>5226</v>
      </c>
      <c r="C4363" s="545" t="s">
        <v>3577</v>
      </c>
      <c r="D4363" s="669" t="s">
        <v>401</v>
      </c>
      <c r="E4363" s="546">
        <v>720.05998499999998</v>
      </c>
    </row>
    <row r="4364" spans="2:5" x14ac:dyDescent="0.25">
      <c r="B4364" s="545">
        <v>5227</v>
      </c>
      <c r="C4364" s="545" t="s">
        <v>1569</v>
      </c>
      <c r="D4364" s="669" t="s">
        <v>401</v>
      </c>
      <c r="E4364" s="546">
        <v>624.66666699999996</v>
      </c>
    </row>
    <row r="4365" spans="2:5" x14ac:dyDescent="0.25">
      <c r="B4365" s="545">
        <v>5228</v>
      </c>
      <c r="C4365" s="545" t="s">
        <v>1845</v>
      </c>
      <c r="D4365" s="669" t="s">
        <v>401</v>
      </c>
      <c r="E4365" s="546">
        <v>637.65000399999997</v>
      </c>
    </row>
    <row r="4366" spans="2:5" x14ac:dyDescent="0.25">
      <c r="B4366" s="545">
        <v>5229</v>
      </c>
      <c r="C4366" s="545" t="s">
        <v>1435</v>
      </c>
      <c r="D4366" s="669" t="s">
        <v>401</v>
      </c>
      <c r="E4366" s="546">
        <v>658.25</v>
      </c>
    </row>
    <row r="4367" spans="2:5" x14ac:dyDescent="0.25">
      <c r="B4367" s="545">
        <v>5230</v>
      </c>
      <c r="C4367" s="545" t="s">
        <v>1967</v>
      </c>
      <c r="D4367" s="669" t="s">
        <v>401</v>
      </c>
      <c r="E4367" s="546">
        <v>642.29999999999995</v>
      </c>
    </row>
    <row r="4368" spans="2:5" x14ac:dyDescent="0.25">
      <c r="B4368" s="545">
        <v>5231</v>
      </c>
      <c r="C4368" s="545" t="s">
        <v>6749</v>
      </c>
      <c r="D4368" s="669" t="s">
        <v>401</v>
      </c>
      <c r="E4368" s="546">
        <v>771.88648899999998</v>
      </c>
    </row>
    <row r="4369" spans="2:5" x14ac:dyDescent="0.25">
      <c r="B4369" s="545">
        <v>5232</v>
      </c>
      <c r="C4369" s="545" t="s">
        <v>4880</v>
      </c>
      <c r="D4369" s="669" t="s">
        <v>401</v>
      </c>
      <c r="E4369" s="546">
        <v>809.55000299999995</v>
      </c>
    </row>
    <row r="4370" spans="2:5" x14ac:dyDescent="0.25">
      <c r="B4370" s="545">
        <v>5233</v>
      </c>
      <c r="C4370" s="545" t="s">
        <v>4926</v>
      </c>
      <c r="D4370" s="669" t="s">
        <v>401</v>
      </c>
      <c r="E4370" s="546">
        <v>814.79998799999998</v>
      </c>
    </row>
    <row r="4371" spans="2:5" x14ac:dyDescent="0.25">
      <c r="B4371" s="545">
        <v>5234</v>
      </c>
      <c r="C4371" s="545" t="s">
        <v>1727</v>
      </c>
      <c r="D4371" s="669" t="s">
        <v>401</v>
      </c>
      <c r="E4371" s="546">
        <v>633.5</v>
      </c>
    </row>
    <row r="4372" spans="2:5" x14ac:dyDescent="0.25">
      <c r="B4372" s="545">
        <v>5235</v>
      </c>
      <c r="C4372" s="545" t="s">
        <v>1621</v>
      </c>
      <c r="D4372" s="669" t="s">
        <v>401</v>
      </c>
      <c r="E4372" s="546">
        <v>627.57501200000002</v>
      </c>
    </row>
    <row r="4373" spans="2:5" x14ac:dyDescent="0.25">
      <c r="B4373" s="545">
        <v>5236</v>
      </c>
      <c r="C4373" s="545" t="s">
        <v>2504</v>
      </c>
      <c r="D4373" s="669" t="s">
        <v>401</v>
      </c>
      <c r="E4373" s="546">
        <v>665.79998799999998</v>
      </c>
    </row>
    <row r="4374" spans="2:5" x14ac:dyDescent="0.25">
      <c r="B4374" s="545">
        <v>5237</v>
      </c>
      <c r="C4374" s="545" t="s">
        <v>2258</v>
      </c>
      <c r="D4374" s="669" t="s">
        <v>401</v>
      </c>
      <c r="E4374" s="546">
        <v>655.60000600000001</v>
      </c>
    </row>
    <row r="4375" spans="2:5" x14ac:dyDescent="0.25">
      <c r="B4375" s="545">
        <v>5238</v>
      </c>
      <c r="C4375" s="545" t="s">
        <v>1930</v>
      </c>
      <c r="D4375" s="669" t="s">
        <v>401</v>
      </c>
      <c r="E4375" s="546">
        <v>641.25454400000001</v>
      </c>
    </row>
    <row r="4376" spans="2:5" x14ac:dyDescent="0.25">
      <c r="B4376" s="545">
        <v>5239</v>
      </c>
      <c r="C4376" s="545" t="s">
        <v>3137</v>
      </c>
      <c r="D4376" s="669" t="s">
        <v>401</v>
      </c>
      <c r="E4376" s="546">
        <v>698.19999199999995</v>
      </c>
    </row>
    <row r="4377" spans="2:5" x14ac:dyDescent="0.25">
      <c r="B4377" s="545">
        <v>5240</v>
      </c>
      <c r="C4377" s="545" t="s">
        <v>6801</v>
      </c>
      <c r="D4377" s="669" t="s">
        <v>401</v>
      </c>
      <c r="E4377" s="546">
        <v>657.21109999999999</v>
      </c>
    </row>
    <row r="4378" spans="2:5" x14ac:dyDescent="0.25">
      <c r="B4378" s="545">
        <v>5241</v>
      </c>
      <c r="C4378" s="545" t="s">
        <v>6811</v>
      </c>
      <c r="D4378" s="669" t="s">
        <v>401</v>
      </c>
      <c r="E4378" s="546">
        <v>699.98332700000003</v>
      </c>
    </row>
    <row r="4379" spans="2:5" x14ac:dyDescent="0.25">
      <c r="B4379" s="545">
        <v>5242</v>
      </c>
      <c r="C4379" s="545" t="s">
        <v>3300</v>
      </c>
      <c r="D4379" s="669" t="s">
        <v>401</v>
      </c>
      <c r="E4379" s="546">
        <v>706.12222599999996</v>
      </c>
    </row>
    <row r="4380" spans="2:5" x14ac:dyDescent="0.25">
      <c r="B4380" s="545">
        <v>5243</v>
      </c>
      <c r="C4380" s="545" t="s">
        <v>6839</v>
      </c>
      <c r="D4380" s="669" t="s">
        <v>401</v>
      </c>
      <c r="E4380" s="546">
        <v>704.09999600000003</v>
      </c>
    </row>
    <row r="4381" spans="2:5" x14ac:dyDescent="0.25">
      <c r="B4381" s="545">
        <v>5244</v>
      </c>
      <c r="C4381" s="545" t="s">
        <v>6840</v>
      </c>
      <c r="D4381" s="669" t="s">
        <v>401</v>
      </c>
      <c r="E4381" s="546">
        <v>673.25</v>
      </c>
    </row>
    <row r="4382" spans="2:5" x14ac:dyDescent="0.25">
      <c r="B4382" s="545">
        <v>5245</v>
      </c>
      <c r="C4382" s="545" t="s">
        <v>2234</v>
      </c>
      <c r="D4382" s="669" t="s">
        <v>401</v>
      </c>
      <c r="E4382" s="546">
        <v>654.57499700000005</v>
      </c>
    </row>
    <row r="4383" spans="2:5" x14ac:dyDescent="0.25">
      <c r="B4383" s="545">
        <v>5246</v>
      </c>
      <c r="C4383" s="545" t="s">
        <v>6861</v>
      </c>
      <c r="D4383" s="669" t="s">
        <v>401</v>
      </c>
      <c r="E4383" s="546">
        <v>664.59997599999997</v>
      </c>
    </row>
    <row r="4384" spans="2:5" x14ac:dyDescent="0.25">
      <c r="B4384" s="545">
        <v>5247</v>
      </c>
      <c r="C4384" s="545" t="s">
        <v>6912</v>
      </c>
      <c r="D4384" s="669" t="s">
        <v>401</v>
      </c>
      <c r="E4384" s="546">
        <v>636.36665900000003</v>
      </c>
    </row>
    <row r="4385" spans="2:5" x14ac:dyDescent="0.25">
      <c r="B4385" s="545">
        <v>5248</v>
      </c>
      <c r="C4385" s="545" t="s">
        <v>6940</v>
      </c>
      <c r="D4385" s="669" t="s">
        <v>401</v>
      </c>
      <c r="E4385" s="546">
        <v>695.70001200000002</v>
      </c>
    </row>
    <row r="4386" spans="2:5" x14ac:dyDescent="0.25">
      <c r="B4386" s="545">
        <v>5249</v>
      </c>
      <c r="C4386" s="545" t="s">
        <v>6941</v>
      </c>
      <c r="D4386" s="669" t="s">
        <v>401</v>
      </c>
      <c r="E4386" s="546">
        <v>657.48750299999995</v>
      </c>
    </row>
    <row r="4387" spans="2:5" x14ac:dyDescent="0.25">
      <c r="B4387" s="545">
        <v>5250</v>
      </c>
      <c r="C4387" s="545" t="s">
        <v>3939</v>
      </c>
      <c r="D4387" s="669" t="s">
        <v>401</v>
      </c>
      <c r="E4387" s="546">
        <v>741.10000600000001</v>
      </c>
    </row>
    <row r="4388" spans="2:5" x14ac:dyDescent="0.25">
      <c r="B4388" s="545">
        <v>5251</v>
      </c>
      <c r="C4388" s="545" t="s">
        <v>2568</v>
      </c>
      <c r="D4388" s="669" t="s">
        <v>401</v>
      </c>
      <c r="E4388" s="546">
        <v>669.03332499999999</v>
      </c>
    </row>
    <row r="4389" spans="2:5" x14ac:dyDescent="0.25">
      <c r="B4389" s="545">
        <v>5252</v>
      </c>
      <c r="C4389" s="545" t="s">
        <v>979</v>
      </c>
      <c r="D4389" s="669" t="s">
        <v>401</v>
      </c>
      <c r="E4389" s="546">
        <v>586.77500899999995</v>
      </c>
    </row>
    <row r="4390" spans="2:5" x14ac:dyDescent="0.25">
      <c r="B4390" s="545">
        <v>5253</v>
      </c>
      <c r="C4390" s="545" t="s">
        <v>2498</v>
      </c>
      <c r="D4390" s="669" t="s">
        <v>401</v>
      </c>
      <c r="E4390" s="546">
        <v>665.6</v>
      </c>
    </row>
    <row r="4391" spans="2:5" x14ac:dyDescent="0.25">
      <c r="B4391" s="545">
        <v>5254</v>
      </c>
      <c r="C4391" s="545" t="s">
        <v>2164</v>
      </c>
      <c r="D4391" s="669" t="s">
        <v>401</v>
      </c>
      <c r="E4391" s="546">
        <v>651.40832499999999</v>
      </c>
    </row>
    <row r="4392" spans="2:5" x14ac:dyDescent="0.25">
      <c r="B4392" s="545">
        <v>5255</v>
      </c>
      <c r="C4392" s="545" t="s">
        <v>2432</v>
      </c>
      <c r="D4392" s="669" t="s">
        <v>401</v>
      </c>
      <c r="E4392" s="546">
        <v>663.63809600000002</v>
      </c>
    </row>
    <row r="4393" spans="2:5" x14ac:dyDescent="0.25">
      <c r="B4393" s="545">
        <v>5256</v>
      </c>
      <c r="C4393" s="545" t="s">
        <v>1538</v>
      </c>
      <c r="D4393" s="669" t="s">
        <v>401</v>
      </c>
      <c r="E4393" s="546">
        <v>622.740002</v>
      </c>
    </row>
    <row r="4394" spans="2:5" x14ac:dyDescent="0.25">
      <c r="B4394" s="545">
        <v>5257</v>
      </c>
      <c r="C4394" s="545" t="s">
        <v>2091</v>
      </c>
      <c r="D4394" s="669" t="s">
        <v>401</v>
      </c>
      <c r="E4394" s="546">
        <v>647.85000600000001</v>
      </c>
    </row>
    <row r="4395" spans="2:5" x14ac:dyDescent="0.25">
      <c r="B4395" s="545">
        <v>5258</v>
      </c>
      <c r="C4395" s="545" t="s">
        <v>2748</v>
      </c>
      <c r="D4395" s="669" t="s">
        <v>401</v>
      </c>
      <c r="E4395" s="546">
        <v>678.14999399999999</v>
      </c>
    </row>
    <row r="4396" spans="2:5" x14ac:dyDescent="0.25">
      <c r="B4396" s="545">
        <v>5259</v>
      </c>
      <c r="C4396" s="545" t="s">
        <v>2502</v>
      </c>
      <c r="D4396" s="669" t="s">
        <v>401</v>
      </c>
      <c r="E4396" s="546">
        <v>665.77500899999995</v>
      </c>
    </row>
    <row r="4397" spans="2:5" x14ac:dyDescent="0.25">
      <c r="B4397" s="545">
        <v>5260</v>
      </c>
      <c r="C4397" s="545" t="s">
        <v>1554</v>
      </c>
      <c r="D4397" s="669" t="s">
        <v>401</v>
      </c>
      <c r="E4397" s="546">
        <v>623.97142699999995</v>
      </c>
    </row>
    <row r="4398" spans="2:5" x14ac:dyDescent="0.25">
      <c r="B4398" s="545">
        <v>5261</v>
      </c>
      <c r="C4398" s="545" t="s">
        <v>2315</v>
      </c>
      <c r="D4398" s="669" t="s">
        <v>401</v>
      </c>
      <c r="E4398" s="546">
        <v>658.03334600000005</v>
      </c>
    </row>
    <row r="4399" spans="2:5" x14ac:dyDescent="0.25">
      <c r="B4399" s="545">
        <v>5262</v>
      </c>
      <c r="C4399" s="545" t="s">
        <v>2529</v>
      </c>
      <c r="D4399" s="669" t="s">
        <v>401</v>
      </c>
      <c r="E4399" s="546">
        <v>680.89999399999999</v>
      </c>
    </row>
    <row r="4400" spans="2:5" x14ac:dyDescent="0.25">
      <c r="B4400" s="545">
        <v>5263</v>
      </c>
      <c r="C4400" s="545" t="s">
        <v>2302</v>
      </c>
      <c r="D4400" s="669" t="s">
        <v>401</v>
      </c>
      <c r="E4400" s="546">
        <v>657.43332899999996</v>
      </c>
    </row>
    <row r="4401" spans="2:5" x14ac:dyDescent="0.25">
      <c r="B4401" s="545">
        <v>5264</v>
      </c>
      <c r="C4401" s="545" t="s">
        <v>3231</v>
      </c>
      <c r="D4401" s="669" t="s">
        <v>401</v>
      </c>
      <c r="E4401" s="546">
        <v>702.62221999999997</v>
      </c>
    </row>
    <row r="4402" spans="2:5" x14ac:dyDescent="0.25">
      <c r="B4402" s="545">
        <v>5265</v>
      </c>
      <c r="C4402" s="545" t="s">
        <v>4171</v>
      </c>
      <c r="D4402" s="669" t="s">
        <v>401</v>
      </c>
      <c r="E4402" s="546">
        <v>755.494732</v>
      </c>
    </row>
    <row r="4403" spans="2:5" x14ac:dyDescent="0.25">
      <c r="B4403" s="545">
        <v>5266</v>
      </c>
      <c r="C4403" s="545" t="s">
        <v>1629</v>
      </c>
      <c r="D4403" s="669" t="s">
        <v>401</v>
      </c>
      <c r="E4403" s="546">
        <v>627.90002400000003</v>
      </c>
    </row>
    <row r="4404" spans="2:5" x14ac:dyDescent="0.25">
      <c r="B4404" s="545">
        <v>5267</v>
      </c>
      <c r="C4404" s="545" t="s">
        <v>2400</v>
      </c>
      <c r="D4404" s="669" t="s">
        <v>401</v>
      </c>
      <c r="E4404" s="546">
        <v>662.22499100000005</v>
      </c>
    </row>
    <row r="4405" spans="2:5" x14ac:dyDescent="0.25">
      <c r="B4405" s="545">
        <v>5268</v>
      </c>
      <c r="C4405" s="545" t="s">
        <v>2936</v>
      </c>
      <c r="D4405" s="669" t="s">
        <v>401</v>
      </c>
      <c r="E4405" s="546">
        <v>687.30000299999995</v>
      </c>
    </row>
    <row r="4406" spans="2:5" x14ac:dyDescent="0.25">
      <c r="B4406" s="545">
        <v>5269</v>
      </c>
      <c r="C4406" s="545" t="s">
        <v>2460</v>
      </c>
      <c r="D4406" s="669" t="s">
        <v>401</v>
      </c>
      <c r="E4406" s="546">
        <v>664.50834699999996</v>
      </c>
    </row>
    <row r="4407" spans="2:5" x14ac:dyDescent="0.25">
      <c r="B4407" s="545">
        <v>5270</v>
      </c>
      <c r="C4407" s="545" t="s">
        <v>2087</v>
      </c>
      <c r="D4407" s="669" t="s">
        <v>401</v>
      </c>
      <c r="E4407" s="546">
        <v>647.600009</v>
      </c>
    </row>
    <row r="4408" spans="2:5" x14ac:dyDescent="0.25">
      <c r="B4408" s="545">
        <v>5271</v>
      </c>
      <c r="C4408" s="545" t="s">
        <v>7075</v>
      </c>
      <c r="D4408" s="669" t="s">
        <v>401</v>
      </c>
      <c r="E4408" s="546">
        <v>653.04999799999996</v>
      </c>
    </row>
    <row r="4409" spans="2:5" x14ac:dyDescent="0.25">
      <c r="B4409" s="545">
        <v>5272</v>
      </c>
      <c r="C4409" s="545" t="s">
        <v>2345</v>
      </c>
      <c r="D4409" s="669" t="s">
        <v>401</v>
      </c>
      <c r="E4409" s="546">
        <v>659.383331</v>
      </c>
    </row>
    <row r="4410" spans="2:5" x14ac:dyDescent="0.25">
      <c r="B4410" s="545">
        <v>5273</v>
      </c>
      <c r="C4410" s="545" t="s">
        <v>7078</v>
      </c>
      <c r="D4410" s="669" t="s">
        <v>401</v>
      </c>
      <c r="E4410" s="546">
        <v>630.66667700000005</v>
      </c>
    </row>
    <row r="4411" spans="2:5" x14ac:dyDescent="0.25">
      <c r="B4411" s="545">
        <v>5274</v>
      </c>
      <c r="C4411" s="545" t="s">
        <v>3512</v>
      </c>
      <c r="D4411" s="669" t="s">
        <v>401</v>
      </c>
      <c r="E4411" s="546">
        <v>717.019049</v>
      </c>
    </row>
    <row r="4412" spans="2:5" x14ac:dyDescent="0.25">
      <c r="B4412" s="545">
        <v>5275</v>
      </c>
      <c r="C4412" s="545" t="s">
        <v>3035</v>
      </c>
      <c r="D4412" s="669" t="s">
        <v>401</v>
      </c>
      <c r="E4412" s="546">
        <v>692.62000699999999</v>
      </c>
    </row>
    <row r="4413" spans="2:5" x14ac:dyDescent="0.25">
      <c r="B4413" s="545">
        <v>5276</v>
      </c>
      <c r="C4413" s="545" t="s">
        <v>7117</v>
      </c>
      <c r="D4413" s="669" t="s">
        <v>401</v>
      </c>
      <c r="E4413" s="546">
        <v>682.76249700000005</v>
      </c>
    </row>
    <row r="4414" spans="2:5" x14ac:dyDescent="0.25">
      <c r="B4414" s="545">
        <v>5277</v>
      </c>
      <c r="C4414" s="545" t="s">
        <v>3119</v>
      </c>
      <c r="D4414" s="669" t="s">
        <v>401</v>
      </c>
      <c r="E4414" s="546">
        <v>697.09997599999997</v>
      </c>
    </row>
    <row r="4415" spans="2:5" x14ac:dyDescent="0.25">
      <c r="B4415" s="545">
        <v>5278</v>
      </c>
      <c r="C4415" s="545" t="s">
        <v>2207</v>
      </c>
      <c r="D4415" s="669" t="s">
        <v>401</v>
      </c>
      <c r="E4415" s="546">
        <v>653.22999900000002</v>
      </c>
    </row>
    <row r="4416" spans="2:5" x14ac:dyDescent="0.25">
      <c r="B4416" s="545">
        <v>5279</v>
      </c>
      <c r="C4416" s="545" t="s">
        <v>2263</v>
      </c>
      <c r="D4416" s="669" t="s">
        <v>401</v>
      </c>
      <c r="E4416" s="546">
        <v>655.885716</v>
      </c>
    </row>
    <row r="4417" spans="2:5" x14ac:dyDescent="0.25">
      <c r="B4417" s="545">
        <v>5280</v>
      </c>
      <c r="C4417" s="545" t="s">
        <v>2034</v>
      </c>
      <c r="D4417" s="669" t="s">
        <v>401</v>
      </c>
      <c r="E4417" s="546">
        <v>644.54998799999998</v>
      </c>
    </row>
    <row r="4418" spans="2:5" x14ac:dyDescent="0.25">
      <c r="B4418" s="545">
        <v>5281</v>
      </c>
      <c r="C4418" s="545" t="s">
        <v>1817</v>
      </c>
      <c r="D4418" s="669" t="s">
        <v>401</v>
      </c>
      <c r="E4418" s="546">
        <v>636.72000700000001</v>
      </c>
    </row>
    <row r="4419" spans="2:5" x14ac:dyDescent="0.25">
      <c r="B4419" s="545">
        <v>5282</v>
      </c>
      <c r="C4419" s="545" t="s">
        <v>2897</v>
      </c>
      <c r="D4419" s="669" t="s">
        <v>401</v>
      </c>
      <c r="E4419" s="546">
        <v>685.77500899999995</v>
      </c>
    </row>
    <row r="4420" spans="2:5" x14ac:dyDescent="0.25">
      <c r="B4420" s="545">
        <v>5283</v>
      </c>
      <c r="C4420" s="545" t="s">
        <v>1537</v>
      </c>
      <c r="D4420" s="669" t="s">
        <v>401</v>
      </c>
      <c r="E4420" s="546">
        <v>622.69999700000005</v>
      </c>
    </row>
    <row r="4421" spans="2:5" x14ac:dyDescent="0.25">
      <c r="B4421" s="545">
        <v>5284</v>
      </c>
      <c r="C4421" s="545" t="s">
        <v>3578</v>
      </c>
      <c r="D4421" s="669" t="s">
        <v>401</v>
      </c>
      <c r="E4421" s="546">
        <v>720.08000500000003</v>
      </c>
    </row>
    <row r="4422" spans="2:5" x14ac:dyDescent="0.25">
      <c r="B4422" s="545">
        <v>5285</v>
      </c>
      <c r="C4422" s="545" t="s">
        <v>1619</v>
      </c>
      <c r="D4422" s="669" t="s">
        <v>401</v>
      </c>
      <c r="E4422" s="546">
        <v>627.51764600000001</v>
      </c>
    </row>
    <row r="4423" spans="2:5" x14ac:dyDescent="0.25">
      <c r="B4423" s="545">
        <v>5286</v>
      </c>
      <c r="C4423" s="545" t="s">
        <v>6630</v>
      </c>
      <c r="D4423" s="669" t="s">
        <v>401</v>
      </c>
      <c r="E4423" s="546">
        <v>657.24999200000002</v>
      </c>
    </row>
    <row r="4424" spans="2:5" x14ac:dyDescent="0.25">
      <c r="B4424" s="545">
        <v>5287</v>
      </c>
      <c r="C4424" s="545" t="s">
        <v>1934</v>
      </c>
      <c r="D4424" s="669" t="s">
        <v>401</v>
      </c>
      <c r="E4424" s="546">
        <v>641.30999799999995</v>
      </c>
    </row>
    <row r="4425" spans="2:5" x14ac:dyDescent="0.25">
      <c r="B4425" s="545">
        <v>5288</v>
      </c>
      <c r="C4425" s="545" t="s">
        <v>848</v>
      </c>
      <c r="D4425" s="669" t="s">
        <v>401</v>
      </c>
      <c r="E4425" s="546">
        <v>688.92500299999995</v>
      </c>
    </row>
    <row r="4426" spans="2:5" x14ac:dyDescent="0.25">
      <c r="B4426" s="545">
        <v>5289</v>
      </c>
      <c r="C4426" s="545" t="s">
        <v>1483</v>
      </c>
      <c r="D4426" s="669" t="s">
        <v>401</v>
      </c>
      <c r="E4426" s="546">
        <v>619.32857799999999</v>
      </c>
    </row>
    <row r="4427" spans="2:5" x14ac:dyDescent="0.25">
      <c r="B4427" s="545">
        <v>5290</v>
      </c>
      <c r="C4427" s="545" t="s">
        <v>2711</v>
      </c>
      <c r="D4427" s="669" t="s">
        <v>401</v>
      </c>
      <c r="E4427" s="546">
        <v>676.28332499999999</v>
      </c>
    </row>
    <row r="4428" spans="2:5" x14ac:dyDescent="0.25">
      <c r="B4428" s="545">
        <v>5291</v>
      </c>
      <c r="C4428" s="545" t="s">
        <v>1474</v>
      </c>
      <c r="D4428" s="669" t="s">
        <v>401</v>
      </c>
      <c r="E4428" s="546">
        <v>618.92498799999998</v>
      </c>
    </row>
    <row r="4429" spans="2:5" x14ac:dyDescent="0.25">
      <c r="B4429" s="545">
        <v>5292</v>
      </c>
      <c r="C4429" s="545" t="s">
        <v>1996</v>
      </c>
      <c r="D4429" s="669" t="s">
        <v>401</v>
      </c>
      <c r="E4429" s="546">
        <v>643.19999299999995</v>
      </c>
    </row>
    <row r="4430" spans="2:5" x14ac:dyDescent="0.25">
      <c r="B4430" s="545">
        <v>5293</v>
      </c>
      <c r="C4430" s="545" t="s">
        <v>2040</v>
      </c>
      <c r="D4430" s="669" t="s">
        <v>401</v>
      </c>
      <c r="E4430" s="546">
        <v>644.89999399999999</v>
      </c>
    </row>
    <row r="4431" spans="2:5" x14ac:dyDescent="0.25">
      <c r="B4431" s="545">
        <v>5294</v>
      </c>
      <c r="C4431" s="545" t="s">
        <v>2584</v>
      </c>
      <c r="D4431" s="669" t="s">
        <v>401</v>
      </c>
      <c r="E4431" s="546">
        <v>669.83333300000004</v>
      </c>
    </row>
    <row r="4432" spans="2:5" x14ac:dyDescent="0.25">
      <c r="B4432" s="545">
        <v>5295</v>
      </c>
      <c r="C4432" s="545" t="s">
        <v>2461</v>
      </c>
      <c r="D4432" s="669" t="s">
        <v>401</v>
      </c>
      <c r="E4432" s="546">
        <v>664.57142899999997</v>
      </c>
    </row>
    <row r="4433" spans="2:5" x14ac:dyDescent="0.25">
      <c r="B4433" s="545">
        <v>5296</v>
      </c>
      <c r="C4433" s="545" t="s">
        <v>1944</v>
      </c>
      <c r="D4433" s="669" t="s">
        <v>401</v>
      </c>
      <c r="E4433" s="546">
        <v>641.59998900000005</v>
      </c>
    </row>
    <row r="4434" spans="2:5" x14ac:dyDescent="0.25">
      <c r="B4434" s="545">
        <v>5297</v>
      </c>
      <c r="C4434" s="545" t="s">
        <v>3043</v>
      </c>
      <c r="D4434" s="669" t="s">
        <v>401</v>
      </c>
      <c r="E4434" s="546">
        <v>693.01666299999999</v>
      </c>
    </row>
    <row r="4435" spans="2:5" x14ac:dyDescent="0.25">
      <c r="B4435" s="545">
        <v>5298</v>
      </c>
      <c r="C4435" s="545" t="s">
        <v>2880</v>
      </c>
      <c r="D4435" s="669" t="s">
        <v>401</v>
      </c>
      <c r="E4435" s="546">
        <v>685.02777400000002</v>
      </c>
    </row>
    <row r="4436" spans="2:5" x14ac:dyDescent="0.25">
      <c r="B4436" s="545">
        <v>5299</v>
      </c>
      <c r="C4436" s="545" t="s">
        <v>2931</v>
      </c>
      <c r="D4436" s="669" t="s">
        <v>401</v>
      </c>
      <c r="E4436" s="546">
        <v>687.13749700000005</v>
      </c>
    </row>
    <row r="4437" spans="2:5" x14ac:dyDescent="0.25">
      <c r="B4437" s="545">
        <v>5300</v>
      </c>
      <c r="C4437" s="545" t="s">
        <v>2413</v>
      </c>
      <c r="D4437" s="669" t="s">
        <v>401</v>
      </c>
      <c r="E4437" s="546">
        <v>662.96666500000003</v>
      </c>
    </row>
    <row r="4438" spans="2:5" x14ac:dyDescent="0.25">
      <c r="B4438" s="545">
        <v>5301</v>
      </c>
      <c r="C4438" s="545" t="s">
        <v>4216</v>
      </c>
      <c r="D4438" s="669" t="s">
        <v>401</v>
      </c>
      <c r="E4438" s="546">
        <v>758.69999700000005</v>
      </c>
    </row>
    <row r="4439" spans="2:5" x14ac:dyDescent="0.25">
      <c r="B4439" s="545">
        <v>5302</v>
      </c>
      <c r="C4439" s="545" t="s">
        <v>2422</v>
      </c>
      <c r="D4439" s="669" t="s">
        <v>401</v>
      </c>
      <c r="E4439" s="546">
        <v>663.25</v>
      </c>
    </row>
    <row r="4440" spans="2:5" x14ac:dyDescent="0.25">
      <c r="B4440" s="545">
        <v>5303</v>
      </c>
      <c r="C4440" s="545" t="s">
        <v>2009</v>
      </c>
      <c r="D4440" s="669" t="s">
        <v>401</v>
      </c>
      <c r="E4440" s="546">
        <v>643.67825700000003</v>
      </c>
    </row>
    <row r="4441" spans="2:5" x14ac:dyDescent="0.25">
      <c r="B4441" s="545">
        <v>5304</v>
      </c>
      <c r="C4441" s="545" t="s">
        <v>2505</v>
      </c>
      <c r="D4441" s="669" t="s">
        <v>401</v>
      </c>
      <c r="E4441" s="546">
        <v>665.79999499999997</v>
      </c>
    </row>
    <row r="4442" spans="2:5" x14ac:dyDescent="0.25">
      <c r="B4442" s="545">
        <v>5305</v>
      </c>
      <c r="C4442" s="545" t="s">
        <v>2527</v>
      </c>
      <c r="D4442" s="669" t="s">
        <v>401</v>
      </c>
      <c r="E4442" s="546">
        <v>667.55999799999995</v>
      </c>
    </row>
    <row r="4443" spans="2:5" x14ac:dyDescent="0.25">
      <c r="B4443" s="545">
        <v>5306</v>
      </c>
      <c r="C4443" s="545" t="s">
        <v>3305</v>
      </c>
      <c r="D4443" s="669" t="s">
        <v>401</v>
      </c>
      <c r="E4443" s="546">
        <v>706.17500299999995</v>
      </c>
    </row>
    <row r="4444" spans="2:5" x14ac:dyDescent="0.25">
      <c r="B4444" s="545">
        <v>5307</v>
      </c>
      <c r="C4444" s="545" t="s">
        <v>3315</v>
      </c>
      <c r="D4444" s="669" t="s">
        <v>401</v>
      </c>
      <c r="E4444" s="546">
        <v>706.89998400000002</v>
      </c>
    </row>
    <row r="4445" spans="2:5" x14ac:dyDescent="0.25">
      <c r="B4445" s="545">
        <v>5308</v>
      </c>
      <c r="C4445" s="545" t="s">
        <v>2672</v>
      </c>
      <c r="D4445" s="669" t="s">
        <v>401</v>
      </c>
      <c r="E4445" s="546">
        <v>674.69999499999994</v>
      </c>
    </row>
    <row r="4446" spans="2:5" x14ac:dyDescent="0.25">
      <c r="B4446" s="545">
        <v>5310</v>
      </c>
      <c r="C4446" s="545" t="s">
        <v>7333</v>
      </c>
      <c r="D4446" s="669" t="s">
        <v>401</v>
      </c>
      <c r="E4446" s="546">
        <v>692.14999399999999</v>
      </c>
    </row>
    <row r="4447" spans="2:5" x14ac:dyDescent="0.25">
      <c r="B4447" s="545">
        <v>5311</v>
      </c>
      <c r="C4447" s="545" t="s">
        <v>1681</v>
      </c>
      <c r="D4447" s="669" t="s">
        <v>401</v>
      </c>
      <c r="E4447" s="546">
        <v>631.31110999999999</v>
      </c>
    </row>
    <row r="4448" spans="2:5" x14ac:dyDescent="0.25">
      <c r="B4448" s="545">
        <v>5312</v>
      </c>
      <c r="C4448" s="545" t="s">
        <v>1521</v>
      </c>
      <c r="D4448" s="669" t="s">
        <v>401</v>
      </c>
      <c r="E4448" s="546">
        <v>621.64999399999999</v>
      </c>
    </row>
    <row r="4449" spans="2:5" x14ac:dyDescent="0.25">
      <c r="B4449" s="545">
        <v>5313</v>
      </c>
      <c r="C4449" s="545" t="s">
        <v>401</v>
      </c>
      <c r="D4449" s="669" t="s">
        <v>401</v>
      </c>
      <c r="E4449" s="546">
        <v>630.39473699999996</v>
      </c>
    </row>
    <row r="4450" spans="2:5" x14ac:dyDescent="0.25">
      <c r="B4450" s="545">
        <v>5314</v>
      </c>
      <c r="C4450" s="545" t="s">
        <v>1832</v>
      </c>
      <c r="D4450" s="669" t="s">
        <v>401</v>
      </c>
      <c r="E4450" s="546">
        <v>637.10000400000001</v>
      </c>
    </row>
    <row r="4451" spans="2:5" x14ac:dyDescent="0.25">
      <c r="B4451" s="545">
        <v>5315</v>
      </c>
      <c r="C4451" s="545" t="s">
        <v>3532</v>
      </c>
      <c r="D4451" s="669" t="s">
        <v>401</v>
      </c>
      <c r="E4451" s="546">
        <v>718.07142899999997</v>
      </c>
    </row>
    <row r="4452" spans="2:5" x14ac:dyDescent="0.25">
      <c r="B4452" s="545">
        <v>5316</v>
      </c>
      <c r="C4452" s="545" t="s">
        <v>1390</v>
      </c>
      <c r="D4452" s="669" t="s">
        <v>401</v>
      </c>
      <c r="E4452" s="546">
        <v>614.70000000000005</v>
      </c>
    </row>
    <row r="4453" spans="2:5" x14ac:dyDescent="0.25">
      <c r="B4453" s="545">
        <v>5317</v>
      </c>
      <c r="C4453" s="545" t="s">
        <v>1998</v>
      </c>
      <c r="D4453" s="669" t="s">
        <v>401</v>
      </c>
      <c r="E4453" s="546">
        <v>643.22999900000002</v>
      </c>
    </row>
    <row r="4454" spans="2:5" x14ac:dyDescent="0.25">
      <c r="B4454" s="545">
        <v>5318</v>
      </c>
      <c r="C4454" s="545" t="s">
        <v>2388</v>
      </c>
      <c r="D4454" s="669" t="s">
        <v>401</v>
      </c>
      <c r="E4454" s="546">
        <v>661.56001000000003</v>
      </c>
    </row>
    <row r="4455" spans="2:5" x14ac:dyDescent="0.25">
      <c r="B4455" s="545">
        <v>5319</v>
      </c>
      <c r="C4455" s="545" t="s">
        <v>1593</v>
      </c>
      <c r="D4455" s="669" t="s">
        <v>401</v>
      </c>
      <c r="E4455" s="546">
        <v>626.05000600000005</v>
      </c>
    </row>
    <row r="4456" spans="2:5" x14ac:dyDescent="0.25">
      <c r="B4456" s="545">
        <v>5320</v>
      </c>
      <c r="C4456" s="545" t="s">
        <v>2073</v>
      </c>
      <c r="D4456" s="669" t="s">
        <v>401</v>
      </c>
      <c r="E4456" s="546">
        <v>646.71249399999999</v>
      </c>
    </row>
    <row r="4457" spans="2:5" x14ac:dyDescent="0.25">
      <c r="B4457" s="545">
        <v>5321</v>
      </c>
      <c r="C4457" s="545" t="s">
        <v>2742</v>
      </c>
      <c r="D4457" s="669" t="s">
        <v>401</v>
      </c>
      <c r="E4457" s="546">
        <v>677.80000299999995</v>
      </c>
    </row>
    <row r="4458" spans="2:5" x14ac:dyDescent="0.25">
      <c r="B4458" s="545">
        <v>5322</v>
      </c>
      <c r="C4458" s="545" t="s">
        <v>1450</v>
      </c>
      <c r="D4458" s="669" t="s">
        <v>401</v>
      </c>
      <c r="E4458" s="546">
        <v>617.52857300000005</v>
      </c>
    </row>
    <row r="4459" spans="2:5" x14ac:dyDescent="0.25">
      <c r="B4459" s="545">
        <v>5323</v>
      </c>
      <c r="C4459" s="545" t="s">
        <v>2284</v>
      </c>
      <c r="D4459" s="669" t="s">
        <v>401</v>
      </c>
      <c r="E4459" s="546">
        <v>656.66189999999995</v>
      </c>
    </row>
    <row r="4460" spans="2:5" x14ac:dyDescent="0.25">
      <c r="B4460" s="545">
        <v>5324</v>
      </c>
      <c r="C4460" s="545" t="s">
        <v>3483</v>
      </c>
      <c r="D4460" s="669" t="s">
        <v>401</v>
      </c>
      <c r="E4460" s="546">
        <v>715.09997599999997</v>
      </c>
    </row>
    <row r="4461" spans="2:5" x14ac:dyDescent="0.25">
      <c r="B4461" s="545">
        <v>5325</v>
      </c>
      <c r="C4461" s="545" t="s">
        <v>7435</v>
      </c>
      <c r="D4461" s="669" t="s">
        <v>401</v>
      </c>
      <c r="E4461" s="546">
        <v>658.68888300000003</v>
      </c>
    </row>
    <row r="4462" spans="2:5" x14ac:dyDescent="0.25">
      <c r="B4462" s="545">
        <v>5326</v>
      </c>
      <c r="C4462" s="545" t="s">
        <v>7451</v>
      </c>
      <c r="D4462" s="669" t="s">
        <v>401</v>
      </c>
      <c r="E4462" s="546">
        <v>664.93335000000002</v>
      </c>
    </row>
    <row r="4463" spans="2:5" x14ac:dyDescent="0.25">
      <c r="B4463" s="545">
        <v>5327</v>
      </c>
      <c r="C4463" s="545" t="s">
        <v>7453</v>
      </c>
      <c r="D4463" s="669" t="s">
        <v>401</v>
      </c>
      <c r="E4463" s="546">
        <v>616.10000600000001</v>
      </c>
    </row>
    <row r="4464" spans="2:5" x14ac:dyDescent="0.25">
      <c r="B4464" s="545">
        <v>5328</v>
      </c>
      <c r="C4464" s="545" t="s">
        <v>2427</v>
      </c>
      <c r="D4464" s="669" t="s">
        <v>401</v>
      </c>
      <c r="E4464" s="546">
        <v>663.54999499999997</v>
      </c>
    </row>
    <row r="4465" spans="2:5" x14ac:dyDescent="0.25">
      <c r="B4465" s="545">
        <v>5329</v>
      </c>
      <c r="C4465" s="545" t="s">
        <v>2745</v>
      </c>
      <c r="D4465" s="669" t="s">
        <v>401</v>
      </c>
      <c r="E4465" s="546">
        <v>678.02222400000005</v>
      </c>
    </row>
    <row r="4466" spans="2:5" x14ac:dyDescent="0.25">
      <c r="B4466" s="545">
        <v>5330</v>
      </c>
      <c r="C4466" s="545" t="s">
        <v>1939</v>
      </c>
      <c r="D4466" s="669" t="s">
        <v>401</v>
      </c>
      <c r="E4466" s="546">
        <v>641.41428900000005</v>
      </c>
    </row>
    <row r="4467" spans="2:5" x14ac:dyDescent="0.25">
      <c r="B4467" s="545">
        <v>5331</v>
      </c>
      <c r="C4467" s="545" t="s">
        <v>3266</v>
      </c>
      <c r="D4467" s="669" t="s">
        <v>401</v>
      </c>
      <c r="E4467" s="546">
        <v>703.79167700000005</v>
      </c>
    </row>
    <row r="4468" spans="2:5" x14ac:dyDescent="0.25">
      <c r="B4468" s="545">
        <v>5332</v>
      </c>
      <c r="C4468" s="545" t="s">
        <v>1401</v>
      </c>
      <c r="D4468" s="669" t="s">
        <v>401</v>
      </c>
      <c r="E4468" s="546">
        <v>615.09088699999995</v>
      </c>
    </row>
    <row r="4469" spans="2:5" x14ac:dyDescent="0.25">
      <c r="B4469" s="545">
        <v>5333</v>
      </c>
      <c r="C4469" s="545" t="s">
        <v>2247</v>
      </c>
      <c r="D4469" s="669" t="s">
        <v>401</v>
      </c>
      <c r="E4469" s="546">
        <v>655.09997599999997</v>
      </c>
    </row>
    <row r="4470" spans="2:5" x14ac:dyDescent="0.25">
      <c r="B4470" s="545">
        <v>5334</v>
      </c>
      <c r="C4470" s="545" t="s">
        <v>1763</v>
      </c>
      <c r="D4470" s="669" t="s">
        <v>401</v>
      </c>
      <c r="E4470" s="546">
        <v>634.59997599999997</v>
      </c>
    </row>
    <row r="4471" spans="2:5" x14ac:dyDescent="0.25">
      <c r="B4471" s="545">
        <v>5335</v>
      </c>
      <c r="C4471" s="545" t="s">
        <v>6967</v>
      </c>
      <c r="D4471" s="669" t="s">
        <v>401</v>
      </c>
      <c r="E4471" s="546">
        <v>663.25000399999999</v>
      </c>
    </row>
    <row r="4472" spans="2:5" x14ac:dyDescent="0.25">
      <c r="B4472" s="545">
        <v>5336</v>
      </c>
      <c r="C4472" s="545" t="s">
        <v>2008</v>
      </c>
      <c r="D4472" s="669" t="s">
        <v>401</v>
      </c>
      <c r="E4472" s="546">
        <v>643.63332100000002</v>
      </c>
    </row>
    <row r="4473" spans="2:5" x14ac:dyDescent="0.25">
      <c r="B4473" s="545">
        <v>5337</v>
      </c>
      <c r="C4473" s="545" t="s">
        <v>2068</v>
      </c>
      <c r="D4473" s="669" t="s">
        <v>401</v>
      </c>
      <c r="E4473" s="546">
        <v>646.13333499999999</v>
      </c>
    </row>
    <row r="4474" spans="2:5" x14ac:dyDescent="0.25">
      <c r="B4474" s="545">
        <v>5338</v>
      </c>
      <c r="C4474" s="545" t="s">
        <v>2697</v>
      </c>
      <c r="D4474" s="669" t="s">
        <v>401</v>
      </c>
      <c r="E4474" s="546">
        <v>675.69230800000003</v>
      </c>
    </row>
    <row r="4475" spans="2:5" x14ac:dyDescent="0.25">
      <c r="B4475" s="545">
        <v>5339</v>
      </c>
      <c r="C4475" s="545" t="s">
        <v>2289</v>
      </c>
      <c r="D4475" s="669" t="s">
        <v>401</v>
      </c>
      <c r="E4475" s="546">
        <v>656.88181899999995</v>
      </c>
    </row>
    <row r="4476" spans="2:5" x14ac:dyDescent="0.25">
      <c r="B4476" s="545">
        <v>5340</v>
      </c>
      <c r="C4476" s="545" t="s">
        <v>1693</v>
      </c>
      <c r="D4476" s="669" t="s">
        <v>401</v>
      </c>
      <c r="E4476" s="546">
        <v>632.1</v>
      </c>
    </row>
    <row r="4477" spans="2:5" x14ac:dyDescent="0.25">
      <c r="B4477" s="545">
        <v>5341</v>
      </c>
      <c r="C4477" s="545" t="s">
        <v>1552</v>
      </c>
      <c r="D4477" s="669" t="s">
        <v>401</v>
      </c>
      <c r="E4477" s="546">
        <v>668.5</v>
      </c>
    </row>
    <row r="4478" spans="2:5" x14ac:dyDescent="0.25">
      <c r="B4478" s="545">
        <v>5342</v>
      </c>
      <c r="C4478" s="545" t="s">
        <v>2449</v>
      </c>
      <c r="D4478" s="669" t="s">
        <v>401</v>
      </c>
      <c r="E4478" s="546">
        <v>664.09999100000005</v>
      </c>
    </row>
    <row r="4479" spans="2:5" x14ac:dyDescent="0.25">
      <c r="B4479" s="545">
        <v>5343</v>
      </c>
      <c r="C4479" s="545" t="s">
        <v>2704</v>
      </c>
      <c r="D4479" s="669" t="s">
        <v>401</v>
      </c>
      <c r="E4479" s="546">
        <v>676.01667299999997</v>
      </c>
    </row>
    <row r="4480" spans="2:5" x14ac:dyDescent="0.25">
      <c r="B4480" s="545">
        <v>5344</v>
      </c>
      <c r="C4480" s="545" t="s">
        <v>3369</v>
      </c>
      <c r="D4480" s="669" t="s">
        <v>401</v>
      </c>
      <c r="E4480" s="546">
        <v>709.33846300000005</v>
      </c>
    </row>
    <row r="4481" spans="2:5" x14ac:dyDescent="0.25">
      <c r="B4481" s="545">
        <v>5346</v>
      </c>
      <c r="C4481" s="545" t="s">
        <v>1445</v>
      </c>
      <c r="D4481" s="669" t="s">
        <v>401</v>
      </c>
      <c r="E4481" s="546">
        <v>617.40002400000003</v>
      </c>
    </row>
    <row r="4482" spans="2:5" x14ac:dyDescent="0.25">
      <c r="B4482" s="545">
        <v>5347</v>
      </c>
      <c r="C4482" s="545" t="s">
        <v>2506</v>
      </c>
      <c r="D4482" s="669" t="s">
        <v>401</v>
      </c>
      <c r="E4482" s="546">
        <v>809.53334600000005</v>
      </c>
    </row>
    <row r="4483" spans="2:5" x14ac:dyDescent="0.25">
      <c r="B4483" s="545">
        <v>5348</v>
      </c>
      <c r="C4483" s="545" t="s">
        <v>2885</v>
      </c>
      <c r="D4483" s="669" t="s">
        <v>401</v>
      </c>
      <c r="E4483" s="546">
        <v>685.46001000000001</v>
      </c>
    </row>
    <row r="4484" spans="2:5" x14ac:dyDescent="0.25">
      <c r="B4484" s="545">
        <v>5349</v>
      </c>
      <c r="C4484" s="545" t="s">
        <v>2614</v>
      </c>
      <c r="D4484" s="669" t="s">
        <v>401</v>
      </c>
      <c r="E4484" s="546">
        <v>671.728568</v>
      </c>
    </row>
    <row r="4485" spans="2:5" x14ac:dyDescent="0.25">
      <c r="B4485" s="545">
        <v>5350</v>
      </c>
      <c r="C4485" s="545" t="s">
        <v>2521</v>
      </c>
      <c r="D4485" s="669" t="s">
        <v>401</v>
      </c>
      <c r="E4485" s="546">
        <v>666.87501499999996</v>
      </c>
    </row>
    <row r="4486" spans="2:5" x14ac:dyDescent="0.25">
      <c r="B4486" s="545">
        <v>5351</v>
      </c>
      <c r="C4486" s="545" t="s">
        <v>2455</v>
      </c>
      <c r="D4486" s="669" t="s">
        <v>401</v>
      </c>
      <c r="E4486" s="546">
        <v>664.30001200000004</v>
      </c>
    </row>
    <row r="4487" spans="2:5" x14ac:dyDescent="0.25">
      <c r="B4487" s="545">
        <v>5352</v>
      </c>
      <c r="C4487" s="545" t="s">
        <v>6584</v>
      </c>
      <c r="D4487" s="669" t="s">
        <v>401</v>
      </c>
      <c r="E4487" s="546">
        <v>659.99999100000002</v>
      </c>
    </row>
    <row r="4488" spans="2:5" x14ac:dyDescent="0.25">
      <c r="B4488" s="545">
        <v>5353</v>
      </c>
      <c r="C4488" s="545" t="s">
        <v>3133</v>
      </c>
      <c r="D4488" s="669" t="s">
        <v>401</v>
      </c>
      <c r="E4488" s="546">
        <v>697.76666299999999</v>
      </c>
    </row>
    <row r="4489" spans="2:5" x14ac:dyDescent="0.25">
      <c r="B4489" s="545">
        <v>5354</v>
      </c>
      <c r="C4489" s="545" t="s">
        <v>3061</v>
      </c>
      <c r="D4489" s="669" t="s">
        <v>401</v>
      </c>
      <c r="E4489" s="546">
        <v>694.12856599999998</v>
      </c>
    </row>
    <row r="4490" spans="2:5" x14ac:dyDescent="0.25">
      <c r="B4490" s="545">
        <v>5355</v>
      </c>
      <c r="C4490" s="545" t="s">
        <v>2397</v>
      </c>
      <c r="D4490" s="669" t="s">
        <v>401</v>
      </c>
      <c r="E4490" s="546">
        <v>661.98570900000004</v>
      </c>
    </row>
    <row r="4491" spans="2:5" x14ac:dyDescent="0.25">
      <c r="B4491" s="545">
        <v>5356</v>
      </c>
      <c r="C4491" s="545" t="s">
        <v>3588</v>
      </c>
      <c r="D4491" s="669" t="s">
        <v>401</v>
      </c>
      <c r="E4491" s="546">
        <v>720.70001200000002</v>
      </c>
    </row>
    <row r="4492" spans="2:5" x14ac:dyDescent="0.25">
      <c r="B4492" s="545">
        <v>5357</v>
      </c>
      <c r="C4492" s="545" t="s">
        <v>2492</v>
      </c>
      <c r="D4492" s="669" t="s">
        <v>401</v>
      </c>
      <c r="E4492" s="546">
        <v>665.41333799999995</v>
      </c>
    </row>
    <row r="4493" spans="2:5" x14ac:dyDescent="0.25">
      <c r="B4493" s="545">
        <v>5358</v>
      </c>
      <c r="C4493" s="545" t="s">
        <v>2153</v>
      </c>
      <c r="D4493" s="669" t="s">
        <v>401</v>
      </c>
      <c r="E4493" s="546">
        <v>650.88665800000001</v>
      </c>
    </row>
    <row r="4494" spans="2:5" x14ac:dyDescent="0.25">
      <c r="B4494" s="545">
        <v>5359</v>
      </c>
      <c r="C4494" s="545" t="s">
        <v>3887</v>
      </c>
      <c r="D4494" s="669" t="s">
        <v>401</v>
      </c>
      <c r="E4494" s="546">
        <v>738</v>
      </c>
    </row>
    <row r="4495" spans="2:5" x14ac:dyDescent="0.25">
      <c r="B4495" s="545">
        <v>5360</v>
      </c>
      <c r="C4495" s="545" t="s">
        <v>2903</v>
      </c>
      <c r="D4495" s="669" t="s">
        <v>401</v>
      </c>
      <c r="E4495" s="546">
        <v>686.06664999999998</v>
      </c>
    </row>
    <row r="4496" spans="2:5" x14ac:dyDescent="0.25">
      <c r="B4496" s="545">
        <v>5361</v>
      </c>
      <c r="C4496" s="545" t="s">
        <v>1580</v>
      </c>
      <c r="D4496" s="669" t="s">
        <v>401</v>
      </c>
      <c r="E4496" s="546">
        <v>625.30000800000005</v>
      </c>
    </row>
    <row r="4497" spans="2:5" x14ac:dyDescent="0.25">
      <c r="B4497" s="545">
        <v>5363</v>
      </c>
      <c r="C4497" s="545" t="s">
        <v>1549</v>
      </c>
      <c r="D4497" s="669" t="s">
        <v>401</v>
      </c>
      <c r="E4497" s="546">
        <v>623.79999999999995</v>
      </c>
    </row>
    <row r="4498" spans="2:5" x14ac:dyDescent="0.25">
      <c r="B4498" s="545">
        <v>5401</v>
      </c>
      <c r="C4498" s="545" t="s">
        <v>4405</v>
      </c>
      <c r="D4498" s="669" t="s">
        <v>405</v>
      </c>
      <c r="E4498" s="546">
        <v>773.07500200000004</v>
      </c>
    </row>
    <row r="4499" spans="2:5" x14ac:dyDescent="0.25">
      <c r="B4499" s="545">
        <v>5402</v>
      </c>
      <c r="C4499" s="545" t="s">
        <v>4053</v>
      </c>
      <c r="D4499" s="669" t="s">
        <v>405</v>
      </c>
      <c r="E4499" s="546">
        <v>748.57777899999996</v>
      </c>
    </row>
    <row r="4500" spans="2:5" x14ac:dyDescent="0.25">
      <c r="B4500" s="545">
        <v>5403</v>
      </c>
      <c r="C4500" s="545" t="s">
        <v>3723</v>
      </c>
      <c r="D4500" s="669" t="s">
        <v>405</v>
      </c>
      <c r="E4500" s="546">
        <v>728.40000899999995</v>
      </c>
    </row>
    <row r="4501" spans="2:5" x14ac:dyDescent="0.25">
      <c r="B4501" s="545">
        <v>5404</v>
      </c>
      <c r="C4501" s="545" t="s">
        <v>4196</v>
      </c>
      <c r="D4501" s="669" t="s">
        <v>405</v>
      </c>
      <c r="E4501" s="546">
        <v>757.24286800000004</v>
      </c>
    </row>
    <row r="4502" spans="2:5" x14ac:dyDescent="0.25">
      <c r="B4502" s="545">
        <v>5405</v>
      </c>
      <c r="C4502" s="545" t="s">
        <v>4269</v>
      </c>
      <c r="D4502" s="669" t="s">
        <v>405</v>
      </c>
      <c r="E4502" s="546">
        <v>762.64285700000005</v>
      </c>
    </row>
    <row r="4503" spans="2:5" x14ac:dyDescent="0.25">
      <c r="B4503" s="545">
        <v>5406</v>
      </c>
      <c r="C4503" s="545" t="s">
        <v>3367</v>
      </c>
      <c r="D4503" s="669" t="s">
        <v>405</v>
      </c>
      <c r="E4503" s="546">
        <v>709.259998</v>
      </c>
    </row>
    <row r="4504" spans="2:5" x14ac:dyDescent="0.25">
      <c r="B4504" s="545">
        <v>5407</v>
      </c>
      <c r="C4504" s="545" t="s">
        <v>6623</v>
      </c>
      <c r="D4504" s="669" t="s">
        <v>405</v>
      </c>
      <c r="E4504" s="546">
        <v>715.64615600000002</v>
      </c>
    </row>
    <row r="4505" spans="2:5" x14ac:dyDescent="0.25">
      <c r="B4505" s="545">
        <v>5408</v>
      </c>
      <c r="C4505" s="545" t="s">
        <v>7031</v>
      </c>
      <c r="D4505" s="669" t="s">
        <v>405</v>
      </c>
      <c r="E4505" s="546">
        <v>775.19375600000001</v>
      </c>
    </row>
    <row r="4506" spans="2:5" x14ac:dyDescent="0.25">
      <c r="B4506" s="545">
        <v>5409</v>
      </c>
      <c r="C4506" s="545" t="s">
        <v>3453</v>
      </c>
      <c r="D4506" s="669" t="s">
        <v>405</v>
      </c>
      <c r="E4506" s="546">
        <v>713.41538600000001</v>
      </c>
    </row>
    <row r="4507" spans="2:5" x14ac:dyDescent="0.25">
      <c r="B4507" s="545">
        <v>5410</v>
      </c>
      <c r="C4507" s="545" t="s">
        <v>2908</v>
      </c>
      <c r="D4507" s="669" t="s">
        <v>405</v>
      </c>
      <c r="E4507" s="546">
        <v>686.15453500000001</v>
      </c>
    </row>
    <row r="4508" spans="2:5" x14ac:dyDescent="0.25">
      <c r="B4508" s="545">
        <v>5411</v>
      </c>
      <c r="C4508" s="545" t="s">
        <v>3507</v>
      </c>
      <c r="D4508" s="669" t="s">
        <v>405</v>
      </c>
      <c r="E4508" s="546">
        <v>716.41999499999997</v>
      </c>
    </row>
    <row r="4509" spans="2:5" x14ac:dyDescent="0.25">
      <c r="B4509" s="545">
        <v>5412</v>
      </c>
      <c r="C4509" s="545" t="s">
        <v>3850</v>
      </c>
      <c r="D4509" s="669" t="s">
        <v>405</v>
      </c>
      <c r="E4509" s="546">
        <v>735.60001199999999</v>
      </c>
    </row>
    <row r="4510" spans="2:5" x14ac:dyDescent="0.25">
      <c r="B4510" s="545">
        <v>5413</v>
      </c>
      <c r="C4510" s="545" t="s">
        <v>3256</v>
      </c>
      <c r="D4510" s="669" t="s">
        <v>405</v>
      </c>
      <c r="E4510" s="546">
        <v>703.43998999999997</v>
      </c>
    </row>
    <row r="4511" spans="2:5" x14ac:dyDescent="0.25">
      <c r="B4511" s="545">
        <v>5414</v>
      </c>
      <c r="C4511" s="545" t="s">
        <v>3313</v>
      </c>
      <c r="D4511" s="669" t="s">
        <v>405</v>
      </c>
      <c r="E4511" s="546">
        <v>706.68666599999995</v>
      </c>
    </row>
    <row r="4512" spans="2:5" x14ac:dyDescent="0.25">
      <c r="B4512" s="545">
        <v>5415</v>
      </c>
      <c r="C4512" s="545" t="s">
        <v>2831</v>
      </c>
      <c r="D4512" s="669" t="s">
        <v>405</v>
      </c>
      <c r="E4512" s="546">
        <v>682.95001200000002</v>
      </c>
    </row>
    <row r="4513" spans="2:5" x14ac:dyDescent="0.25">
      <c r="B4513" s="545">
        <v>5416</v>
      </c>
      <c r="C4513" s="545" t="s">
        <v>1770</v>
      </c>
      <c r="D4513" s="669" t="s">
        <v>405</v>
      </c>
      <c r="E4513" s="546">
        <v>694.87777400000004</v>
      </c>
    </row>
    <row r="4514" spans="2:5" x14ac:dyDescent="0.25">
      <c r="B4514" s="545">
        <v>5417</v>
      </c>
      <c r="C4514" s="545" t="s">
        <v>6865</v>
      </c>
      <c r="D4514" s="669" t="s">
        <v>405</v>
      </c>
      <c r="E4514" s="546">
        <v>744.20000600000003</v>
      </c>
    </row>
    <row r="4515" spans="2:5" x14ac:dyDescent="0.25">
      <c r="B4515" s="545">
        <v>5418</v>
      </c>
      <c r="C4515" s="545" t="s">
        <v>3079</v>
      </c>
      <c r="D4515" s="669" t="s">
        <v>405</v>
      </c>
      <c r="E4515" s="546">
        <v>695.08921299999997</v>
      </c>
    </row>
    <row r="4516" spans="2:5" x14ac:dyDescent="0.25">
      <c r="B4516" s="545">
        <v>5419</v>
      </c>
      <c r="C4516" s="545" t="s">
        <v>3988</v>
      </c>
      <c r="D4516" s="669" t="s">
        <v>405</v>
      </c>
      <c r="E4516" s="546">
        <v>744.24615500000004</v>
      </c>
    </row>
    <row r="4517" spans="2:5" x14ac:dyDescent="0.25">
      <c r="B4517" s="545">
        <v>5420</v>
      </c>
      <c r="C4517" s="545" t="s">
        <v>3469</v>
      </c>
      <c r="D4517" s="669" t="s">
        <v>405</v>
      </c>
      <c r="E4517" s="546">
        <v>763.93636300000003</v>
      </c>
    </row>
    <row r="4518" spans="2:5" x14ac:dyDescent="0.25">
      <c r="B4518" s="545">
        <v>5421</v>
      </c>
      <c r="C4518" s="545" t="s">
        <v>3520</v>
      </c>
      <c r="D4518" s="669" t="s">
        <v>405</v>
      </c>
      <c r="E4518" s="546">
        <v>717.31666099999995</v>
      </c>
    </row>
    <row r="4519" spans="2:5" x14ac:dyDescent="0.25">
      <c r="B4519" s="545">
        <v>5422</v>
      </c>
      <c r="C4519" s="545" t="s">
        <v>6676</v>
      </c>
      <c r="D4519" s="669" t="s">
        <v>405</v>
      </c>
      <c r="E4519" s="546">
        <v>710.45554600000003</v>
      </c>
    </row>
    <row r="4520" spans="2:5" x14ac:dyDescent="0.25">
      <c r="B4520" s="545">
        <v>5423</v>
      </c>
      <c r="C4520" s="545" t="s">
        <v>3132</v>
      </c>
      <c r="D4520" s="669" t="s">
        <v>405</v>
      </c>
      <c r="E4520" s="546">
        <v>697.758331</v>
      </c>
    </row>
    <row r="4521" spans="2:5" x14ac:dyDescent="0.25">
      <c r="B4521" s="545">
        <v>5424</v>
      </c>
      <c r="C4521" s="545" t="s">
        <v>807</v>
      </c>
      <c r="D4521" s="669" t="s">
        <v>405</v>
      </c>
      <c r="E4521" s="546">
        <v>681.26249700000005</v>
      </c>
    </row>
    <row r="4522" spans="2:5" x14ac:dyDescent="0.25">
      <c r="B4522" s="545">
        <v>5425</v>
      </c>
      <c r="C4522" s="545" t="s">
        <v>3442</v>
      </c>
      <c r="D4522" s="669" t="s">
        <v>405</v>
      </c>
      <c r="E4522" s="546">
        <v>712.92999899999995</v>
      </c>
    </row>
    <row r="4523" spans="2:5" x14ac:dyDescent="0.25">
      <c r="B4523" s="545">
        <v>5426</v>
      </c>
      <c r="C4523" s="545" t="s">
        <v>2881</v>
      </c>
      <c r="D4523" s="669" t="s">
        <v>405</v>
      </c>
      <c r="E4523" s="546">
        <v>685.38750500000003</v>
      </c>
    </row>
    <row r="4524" spans="2:5" x14ac:dyDescent="0.25">
      <c r="B4524" s="545">
        <v>5427</v>
      </c>
      <c r="C4524" s="545" t="s">
        <v>1609</v>
      </c>
      <c r="D4524" s="669" t="s">
        <v>405</v>
      </c>
      <c r="E4524" s="546">
        <v>703.70001200000002</v>
      </c>
    </row>
    <row r="4525" spans="2:5" x14ac:dyDescent="0.25">
      <c r="B4525" s="545">
        <v>5428</v>
      </c>
      <c r="C4525" s="545" t="s">
        <v>3148</v>
      </c>
      <c r="D4525" s="669" t="s">
        <v>405</v>
      </c>
      <c r="E4525" s="546">
        <v>698.740002</v>
      </c>
    </row>
    <row r="4526" spans="2:5" x14ac:dyDescent="0.25">
      <c r="B4526" s="545">
        <v>5429</v>
      </c>
      <c r="C4526" s="545" t="s">
        <v>2898</v>
      </c>
      <c r="D4526" s="669" t="s">
        <v>405</v>
      </c>
      <c r="E4526" s="546">
        <v>685.81999499999995</v>
      </c>
    </row>
    <row r="4527" spans="2:5" x14ac:dyDescent="0.25">
      <c r="B4527" s="545">
        <v>5430</v>
      </c>
      <c r="C4527" s="545" t="s">
        <v>3107</v>
      </c>
      <c r="D4527" s="669" t="s">
        <v>405</v>
      </c>
      <c r="E4527" s="546">
        <v>696.59997599999997</v>
      </c>
    </row>
    <row r="4528" spans="2:5" x14ac:dyDescent="0.25">
      <c r="B4528" s="545">
        <v>5431</v>
      </c>
      <c r="C4528" s="545" t="s">
        <v>7547</v>
      </c>
      <c r="D4528" s="669" t="s">
        <v>405</v>
      </c>
      <c r="E4528" s="546">
        <v>683.13332100000002</v>
      </c>
    </row>
    <row r="4529" spans="2:5" x14ac:dyDescent="0.25">
      <c r="B4529" s="545">
        <v>5432</v>
      </c>
      <c r="C4529" s="545" t="s">
        <v>3194</v>
      </c>
      <c r="D4529" s="669" t="s">
        <v>405</v>
      </c>
      <c r="E4529" s="546">
        <v>700.83333300000004</v>
      </c>
    </row>
    <row r="4530" spans="2:5" x14ac:dyDescent="0.25">
      <c r="B4530" s="545">
        <v>5433</v>
      </c>
      <c r="C4530" s="545" t="s">
        <v>3662</v>
      </c>
      <c r="D4530" s="669" t="s">
        <v>405</v>
      </c>
      <c r="E4530" s="546">
        <v>724.91666699999996</v>
      </c>
    </row>
    <row r="4531" spans="2:5" x14ac:dyDescent="0.25">
      <c r="B4531" s="545">
        <v>5434</v>
      </c>
      <c r="C4531" s="545" t="s">
        <v>3820</v>
      </c>
      <c r="D4531" s="669" t="s">
        <v>405</v>
      </c>
      <c r="E4531" s="546">
        <v>733.94998199999998</v>
      </c>
    </row>
    <row r="4532" spans="2:5" x14ac:dyDescent="0.25">
      <c r="B4532" s="545">
        <v>5435</v>
      </c>
      <c r="C4532" s="545" t="s">
        <v>1160</v>
      </c>
      <c r="D4532" s="669" t="s">
        <v>405</v>
      </c>
      <c r="E4532" s="546">
        <v>601.60000600000001</v>
      </c>
    </row>
    <row r="4533" spans="2:5" x14ac:dyDescent="0.25">
      <c r="B4533" s="545">
        <v>5436</v>
      </c>
      <c r="C4533" s="545" t="s">
        <v>6508</v>
      </c>
      <c r="D4533" s="669" t="s">
        <v>405</v>
      </c>
      <c r="E4533" s="546">
        <v>653.69999499999994</v>
      </c>
    </row>
    <row r="4534" spans="2:5" x14ac:dyDescent="0.25">
      <c r="B4534" s="545">
        <v>5437</v>
      </c>
      <c r="C4534" s="545" t="s">
        <v>1864</v>
      </c>
      <c r="D4534" s="669" t="s">
        <v>405</v>
      </c>
      <c r="E4534" s="546">
        <v>638.53332499999999</v>
      </c>
    </row>
    <row r="4535" spans="2:5" x14ac:dyDescent="0.25">
      <c r="B4535" s="545">
        <v>5438</v>
      </c>
      <c r="C4535" s="545" t="s">
        <v>3509</v>
      </c>
      <c r="D4535" s="669" t="s">
        <v>405</v>
      </c>
      <c r="E4535" s="546">
        <v>716.76000999999997</v>
      </c>
    </row>
    <row r="4536" spans="2:5" x14ac:dyDescent="0.25">
      <c r="B4536" s="545">
        <v>5439</v>
      </c>
      <c r="C4536" s="545" t="s">
        <v>3067</v>
      </c>
      <c r="D4536" s="669" t="s">
        <v>405</v>
      </c>
      <c r="E4536" s="546">
        <v>694.27499399999999</v>
      </c>
    </row>
    <row r="4537" spans="2:5" x14ac:dyDescent="0.25">
      <c r="B4537" s="545">
        <v>5440</v>
      </c>
      <c r="C4537" s="545" t="s">
        <v>2942</v>
      </c>
      <c r="D4537" s="669" t="s">
        <v>405</v>
      </c>
      <c r="E4537" s="546">
        <v>687.5</v>
      </c>
    </row>
    <row r="4538" spans="2:5" x14ac:dyDescent="0.25">
      <c r="B4538" s="545">
        <v>5441</v>
      </c>
      <c r="C4538" s="545" t="s">
        <v>7524</v>
      </c>
      <c r="D4538" s="669" t="s">
        <v>405</v>
      </c>
      <c r="E4538" s="546">
        <v>628.23999000000003</v>
      </c>
    </row>
    <row r="4539" spans="2:5" x14ac:dyDescent="0.25">
      <c r="B4539" s="545">
        <v>5442</v>
      </c>
      <c r="C4539" s="545" t="s">
        <v>1941</v>
      </c>
      <c r="D4539" s="669" t="s">
        <v>405</v>
      </c>
      <c r="E4539" s="546">
        <v>641.46667500000001</v>
      </c>
    </row>
    <row r="4540" spans="2:5" x14ac:dyDescent="0.25">
      <c r="B4540" s="545">
        <v>5443</v>
      </c>
      <c r="C4540" s="545" t="s">
        <v>7200</v>
      </c>
      <c r="D4540" s="669" t="s">
        <v>405</v>
      </c>
      <c r="E4540" s="546">
        <v>677.79998799999998</v>
      </c>
    </row>
    <row r="4541" spans="2:5" x14ac:dyDescent="0.25">
      <c r="B4541" s="545">
        <v>5444</v>
      </c>
      <c r="C4541" s="545" t="s">
        <v>3776</v>
      </c>
      <c r="D4541" s="669" t="s">
        <v>405</v>
      </c>
      <c r="E4541" s="546">
        <v>731.56001000000003</v>
      </c>
    </row>
    <row r="4542" spans="2:5" x14ac:dyDescent="0.25">
      <c r="B4542" s="545">
        <v>5445</v>
      </c>
      <c r="C4542" s="545" t="s">
        <v>3265</v>
      </c>
      <c r="D4542" s="669" t="s">
        <v>405</v>
      </c>
      <c r="E4542" s="546">
        <v>703.759998</v>
      </c>
    </row>
    <row r="4543" spans="2:5" x14ac:dyDescent="0.25">
      <c r="B4543" s="545">
        <v>5446</v>
      </c>
      <c r="C4543" s="545" t="s">
        <v>3797</v>
      </c>
      <c r="D4543" s="669" t="s">
        <v>405</v>
      </c>
      <c r="E4543" s="546">
        <v>732.54999799999996</v>
      </c>
    </row>
    <row r="4544" spans="2:5" x14ac:dyDescent="0.25">
      <c r="B4544" s="545">
        <v>5447</v>
      </c>
      <c r="C4544" s="545" t="s">
        <v>1204</v>
      </c>
      <c r="D4544" s="669" t="s">
        <v>405</v>
      </c>
      <c r="E4544" s="546">
        <v>669.38889600000005</v>
      </c>
    </row>
    <row r="4545" spans="2:5" x14ac:dyDescent="0.25">
      <c r="B4545" s="545">
        <v>5450</v>
      </c>
      <c r="C4545" s="545" t="s">
        <v>3598</v>
      </c>
      <c r="D4545" s="669" t="s">
        <v>401</v>
      </c>
      <c r="E4545" s="546">
        <v>721.159088</v>
      </c>
    </row>
    <row r="4546" spans="2:5" x14ac:dyDescent="0.25">
      <c r="B4546" s="545">
        <v>5451</v>
      </c>
      <c r="C4546" s="545" t="s">
        <v>3987</v>
      </c>
      <c r="D4546" s="669" t="s">
        <v>401</v>
      </c>
      <c r="E4546" s="546">
        <v>744.23750299999995</v>
      </c>
    </row>
    <row r="4547" spans="2:5" x14ac:dyDescent="0.25">
      <c r="B4547" s="545">
        <v>5452</v>
      </c>
      <c r="C4547" s="545" t="s">
        <v>3363</v>
      </c>
      <c r="D4547" s="669" t="s">
        <v>401</v>
      </c>
      <c r="E4547" s="546">
        <v>709.12221999999997</v>
      </c>
    </row>
    <row r="4548" spans="2:5" x14ac:dyDescent="0.25">
      <c r="B4548" s="545">
        <v>5453</v>
      </c>
      <c r="C4548" s="545" t="s">
        <v>3142</v>
      </c>
      <c r="D4548" s="669" t="s">
        <v>401</v>
      </c>
      <c r="E4548" s="546">
        <v>698.383331</v>
      </c>
    </row>
    <row r="4549" spans="2:5" x14ac:dyDescent="0.25">
      <c r="B4549" s="545">
        <v>5454</v>
      </c>
      <c r="C4549" s="545" t="s">
        <v>3533</v>
      </c>
      <c r="D4549" s="669" t="s">
        <v>401</v>
      </c>
      <c r="E4549" s="546">
        <v>718.136841</v>
      </c>
    </row>
    <row r="4550" spans="2:5" x14ac:dyDescent="0.25">
      <c r="B4550" s="545">
        <v>5455</v>
      </c>
      <c r="C4550" s="545" t="s">
        <v>3246</v>
      </c>
      <c r="D4550" s="669" t="s">
        <v>401</v>
      </c>
      <c r="E4550" s="546">
        <v>703.20001200000002</v>
      </c>
    </row>
    <row r="4551" spans="2:5" x14ac:dyDescent="0.25">
      <c r="B4551" s="545">
        <v>5456</v>
      </c>
      <c r="C4551" s="545" t="s">
        <v>3770</v>
      </c>
      <c r="D4551" s="669" t="s">
        <v>401</v>
      </c>
      <c r="E4551" s="546">
        <v>731.17999899999995</v>
      </c>
    </row>
    <row r="4552" spans="2:5" x14ac:dyDescent="0.25">
      <c r="B4552" s="545">
        <v>5457</v>
      </c>
      <c r="C4552" s="545" t="s">
        <v>3617</v>
      </c>
      <c r="D4552" s="669" t="s">
        <v>401</v>
      </c>
      <c r="E4552" s="546">
        <v>722.86000999999999</v>
      </c>
    </row>
    <row r="4553" spans="2:5" x14ac:dyDescent="0.25">
      <c r="B4553" s="545">
        <v>5458</v>
      </c>
      <c r="C4553" s="545" t="s">
        <v>2086</v>
      </c>
      <c r="D4553" s="669" t="s">
        <v>401</v>
      </c>
      <c r="E4553" s="546">
        <v>679.85000600000001</v>
      </c>
    </row>
    <row r="4554" spans="2:5" x14ac:dyDescent="0.25">
      <c r="B4554" s="545">
        <v>5459</v>
      </c>
      <c r="C4554" s="545" t="s">
        <v>1415</v>
      </c>
      <c r="D4554" s="669" t="s">
        <v>401</v>
      </c>
      <c r="E4554" s="546">
        <v>616.20001200000002</v>
      </c>
    </row>
    <row r="4555" spans="2:5" x14ac:dyDescent="0.25">
      <c r="B4555" s="545">
        <v>5460</v>
      </c>
      <c r="C4555" s="545" t="s">
        <v>2187</v>
      </c>
      <c r="D4555" s="669" t="s">
        <v>401</v>
      </c>
      <c r="E4555" s="546">
        <v>652.33333300000004</v>
      </c>
    </row>
    <row r="4556" spans="2:5" x14ac:dyDescent="0.25">
      <c r="B4556" s="545">
        <v>5461</v>
      </c>
      <c r="C4556" s="545" t="s">
        <v>6622</v>
      </c>
      <c r="D4556" s="669" t="s">
        <v>401</v>
      </c>
      <c r="E4556" s="546">
        <v>655.12000699999999</v>
      </c>
    </row>
    <row r="4557" spans="2:5" x14ac:dyDescent="0.25">
      <c r="B4557" s="545">
        <v>5462</v>
      </c>
      <c r="C4557" s="545" t="s">
        <v>1228</v>
      </c>
      <c r="D4557" s="669" t="s">
        <v>401</v>
      </c>
      <c r="E4557" s="546">
        <v>612.71999500000004</v>
      </c>
    </row>
    <row r="4558" spans="2:5" x14ac:dyDescent="0.25">
      <c r="B4558" s="545">
        <v>5463</v>
      </c>
      <c r="C4558" s="545" t="s">
        <v>2641</v>
      </c>
      <c r="D4558" s="669" t="s">
        <v>401</v>
      </c>
      <c r="E4558" s="546">
        <v>673.49998500000004</v>
      </c>
    </row>
    <row r="4559" spans="2:5" x14ac:dyDescent="0.25">
      <c r="B4559" s="545">
        <v>5464</v>
      </c>
      <c r="C4559" s="545" t="s">
        <v>2282</v>
      </c>
      <c r="D4559" s="669" t="s">
        <v>401</v>
      </c>
      <c r="E4559" s="546">
        <v>656.50000599999998</v>
      </c>
    </row>
    <row r="4560" spans="2:5" x14ac:dyDescent="0.25">
      <c r="B4560" s="545">
        <v>5465</v>
      </c>
      <c r="C4560" s="545" t="s">
        <v>1912</v>
      </c>
      <c r="D4560" s="669" t="s">
        <v>401</v>
      </c>
      <c r="E4560" s="546">
        <v>640.48000500000001</v>
      </c>
    </row>
    <row r="4561" spans="2:5" x14ac:dyDescent="0.25">
      <c r="B4561" s="545">
        <v>5466</v>
      </c>
      <c r="C4561" s="545" t="s">
        <v>3474</v>
      </c>
      <c r="D4561" s="669" t="s">
        <v>401</v>
      </c>
      <c r="E4561" s="546">
        <v>714.54444699999999</v>
      </c>
    </row>
    <row r="4562" spans="2:5" x14ac:dyDescent="0.25">
      <c r="B4562" s="545">
        <v>5467</v>
      </c>
      <c r="C4562" s="545" t="s">
        <v>3698</v>
      </c>
      <c r="D4562" s="669" t="s">
        <v>401</v>
      </c>
      <c r="E4562" s="546">
        <v>727.09997599999997</v>
      </c>
    </row>
    <row r="4563" spans="2:5" x14ac:dyDescent="0.25">
      <c r="B4563" s="545">
        <v>5468</v>
      </c>
      <c r="C4563" s="545" t="s">
        <v>2163</v>
      </c>
      <c r="D4563" s="669" t="s">
        <v>401</v>
      </c>
      <c r="E4563" s="546">
        <v>651.4</v>
      </c>
    </row>
    <row r="4564" spans="2:5" x14ac:dyDescent="0.25">
      <c r="B4564" s="545">
        <v>5469</v>
      </c>
      <c r="C4564" s="545" t="s">
        <v>2375</v>
      </c>
      <c r="D4564" s="669" t="s">
        <v>401</v>
      </c>
      <c r="E4564" s="546">
        <v>660.70001200000002</v>
      </c>
    </row>
    <row r="4565" spans="2:5" x14ac:dyDescent="0.25">
      <c r="B4565" s="545">
        <v>5470</v>
      </c>
      <c r="C4565" s="545" t="s">
        <v>3237</v>
      </c>
      <c r="D4565" s="669" t="s">
        <v>401</v>
      </c>
      <c r="E4565" s="546">
        <v>702.82223199999999</v>
      </c>
    </row>
    <row r="4566" spans="2:5" x14ac:dyDescent="0.25">
      <c r="B4566" s="545">
        <v>5471</v>
      </c>
      <c r="C4566" s="545" t="s">
        <v>3697</v>
      </c>
      <c r="D4566" s="669" t="s">
        <v>401</v>
      </c>
      <c r="E4566" s="546">
        <v>726.93335000000002</v>
      </c>
    </row>
    <row r="4567" spans="2:5" x14ac:dyDescent="0.25">
      <c r="B4567" s="545">
        <v>5472</v>
      </c>
      <c r="C4567" s="545" t="s">
        <v>6882</v>
      </c>
      <c r="D4567" s="669" t="s">
        <v>401</v>
      </c>
      <c r="E4567" s="546">
        <v>668.20769299999995</v>
      </c>
    </row>
    <row r="4568" spans="2:5" x14ac:dyDescent="0.25">
      <c r="B4568" s="545">
        <v>5473</v>
      </c>
      <c r="C4568" s="545" t="s">
        <v>2795</v>
      </c>
      <c r="D4568" s="669" t="s">
        <v>401</v>
      </c>
      <c r="E4568" s="546">
        <v>680.55000299999995</v>
      </c>
    </row>
    <row r="4569" spans="2:5" x14ac:dyDescent="0.25">
      <c r="B4569" s="545">
        <v>5474</v>
      </c>
      <c r="C4569" s="545" t="s">
        <v>1076</v>
      </c>
      <c r="D4569" s="669" t="s">
        <v>401</v>
      </c>
      <c r="E4569" s="546">
        <v>728.572721</v>
      </c>
    </row>
    <row r="4570" spans="2:5" x14ac:dyDescent="0.25">
      <c r="B4570" s="545">
        <v>5475</v>
      </c>
      <c r="C4570" s="545" t="s">
        <v>1056</v>
      </c>
      <c r="D4570" s="669" t="s">
        <v>401</v>
      </c>
      <c r="E4570" s="546">
        <v>594.31428700000004</v>
      </c>
    </row>
    <row r="4571" spans="2:5" x14ac:dyDescent="0.25">
      <c r="B4571" s="545">
        <v>5476</v>
      </c>
      <c r="C4571" s="545" t="s">
        <v>2266</v>
      </c>
      <c r="D4571" s="669" t="s">
        <v>401</v>
      </c>
      <c r="E4571" s="546">
        <v>656.00001199999997</v>
      </c>
    </row>
    <row r="4572" spans="2:5" x14ac:dyDescent="0.25">
      <c r="B4572" s="545">
        <v>5477</v>
      </c>
      <c r="C4572" s="545" t="s">
        <v>3438</v>
      </c>
      <c r="D4572" s="669" t="s">
        <v>401</v>
      </c>
      <c r="E4572" s="546">
        <v>712.75714100000005</v>
      </c>
    </row>
    <row r="4573" spans="2:5" x14ac:dyDescent="0.25">
      <c r="B4573" s="545">
        <v>5478</v>
      </c>
      <c r="C4573" s="545" t="s">
        <v>2744</v>
      </c>
      <c r="D4573" s="669" t="s">
        <v>401</v>
      </c>
      <c r="E4573" s="546">
        <v>677.97857199999999</v>
      </c>
    </row>
    <row r="4574" spans="2:5" x14ac:dyDescent="0.25">
      <c r="B4574" s="545">
        <v>5479</v>
      </c>
      <c r="C4574" s="545" t="s">
        <v>1981</v>
      </c>
      <c r="D4574" s="669" t="s">
        <v>401</v>
      </c>
      <c r="E4574" s="546">
        <v>718.95453399999997</v>
      </c>
    </row>
    <row r="4575" spans="2:5" x14ac:dyDescent="0.25">
      <c r="B4575" s="545">
        <v>5480</v>
      </c>
      <c r="C4575" s="545" t="s">
        <v>3279</v>
      </c>
      <c r="D4575" s="669" t="s">
        <v>401</v>
      </c>
      <c r="E4575" s="546">
        <v>704.62727500000005</v>
      </c>
    </row>
    <row r="4576" spans="2:5" x14ac:dyDescent="0.25">
      <c r="B4576" s="545">
        <v>5481</v>
      </c>
      <c r="C4576" s="545" t="s">
        <v>3349</v>
      </c>
      <c r="D4576" s="669" t="s">
        <v>401</v>
      </c>
      <c r="E4576" s="546">
        <v>708.44615299999998</v>
      </c>
    </row>
    <row r="4577" spans="2:5" x14ac:dyDescent="0.25">
      <c r="B4577" s="545">
        <v>5482</v>
      </c>
      <c r="C4577" s="545" t="s">
        <v>3072</v>
      </c>
      <c r="D4577" s="669" t="s">
        <v>401</v>
      </c>
      <c r="E4577" s="546">
        <v>694.61818100000005</v>
      </c>
    </row>
    <row r="4578" spans="2:5" x14ac:dyDescent="0.25">
      <c r="B4578" s="545">
        <v>5483</v>
      </c>
      <c r="C4578" s="545" t="s">
        <v>3753</v>
      </c>
      <c r="D4578" s="669" t="s">
        <v>401</v>
      </c>
      <c r="E4578" s="546">
        <v>729.95001200000002</v>
      </c>
    </row>
    <row r="4579" spans="2:5" x14ac:dyDescent="0.25">
      <c r="B4579" s="545">
        <v>5484</v>
      </c>
      <c r="C4579" s="545" t="s">
        <v>3247</v>
      </c>
      <c r="D4579" s="669" t="s">
        <v>401</v>
      </c>
      <c r="E4579" s="546">
        <v>703.20001200000002</v>
      </c>
    </row>
    <row r="4580" spans="2:5" x14ac:dyDescent="0.25">
      <c r="B4580" s="545">
        <v>5485</v>
      </c>
      <c r="C4580" s="545" t="s">
        <v>1597</v>
      </c>
      <c r="D4580" s="669" t="s">
        <v>401</v>
      </c>
      <c r="E4580" s="546">
        <v>695.16364099999998</v>
      </c>
    </row>
    <row r="4581" spans="2:5" x14ac:dyDescent="0.25">
      <c r="B4581" s="545">
        <v>5486</v>
      </c>
      <c r="C4581" s="545" t="s">
        <v>3365</v>
      </c>
      <c r="D4581" s="669" t="s">
        <v>401</v>
      </c>
      <c r="E4581" s="546">
        <v>709.18333900000005</v>
      </c>
    </row>
    <row r="4582" spans="2:5" x14ac:dyDescent="0.25">
      <c r="B4582" s="545">
        <v>5487</v>
      </c>
      <c r="C4582" s="545" t="s">
        <v>2052</v>
      </c>
      <c r="D4582" s="669" t="s">
        <v>401</v>
      </c>
      <c r="E4582" s="546">
        <v>672.13333599999999</v>
      </c>
    </row>
    <row r="4583" spans="2:5" x14ac:dyDescent="0.25">
      <c r="B4583" s="545">
        <v>5488</v>
      </c>
      <c r="C4583" s="545" t="s">
        <v>2082</v>
      </c>
      <c r="D4583" s="669" t="s">
        <v>401</v>
      </c>
      <c r="E4583" s="546">
        <v>647.28461200000004</v>
      </c>
    </row>
    <row r="4584" spans="2:5" x14ac:dyDescent="0.25">
      <c r="B4584" s="545">
        <v>5501</v>
      </c>
      <c r="C4584" s="545" t="s">
        <v>2887</v>
      </c>
      <c r="D4584" s="669" t="s">
        <v>395</v>
      </c>
      <c r="E4584" s="546">
        <v>685.5</v>
      </c>
    </row>
    <row r="4585" spans="2:5" x14ac:dyDescent="0.25">
      <c r="B4585" s="545">
        <v>5502</v>
      </c>
      <c r="C4585" s="545" t="s">
        <v>2603</v>
      </c>
      <c r="D4585" s="669" t="s">
        <v>395</v>
      </c>
      <c r="E4585" s="546">
        <v>670.9</v>
      </c>
    </row>
    <row r="4586" spans="2:5" x14ac:dyDescent="0.25">
      <c r="B4586" s="545">
        <v>5503</v>
      </c>
      <c r="C4586" s="545" t="s">
        <v>3546</v>
      </c>
      <c r="D4586" s="669" t="s">
        <v>395</v>
      </c>
      <c r="E4586" s="546">
        <v>718.66666699999996</v>
      </c>
    </row>
    <row r="4587" spans="2:5" x14ac:dyDescent="0.25">
      <c r="B4587" s="545">
        <v>5504</v>
      </c>
      <c r="C4587" s="545" t="s">
        <v>4283</v>
      </c>
      <c r="D4587" s="669" t="s">
        <v>395</v>
      </c>
      <c r="E4587" s="546">
        <v>763.51666299999999</v>
      </c>
    </row>
    <row r="4588" spans="2:5" x14ac:dyDescent="0.25">
      <c r="B4588" s="545">
        <v>5505</v>
      </c>
      <c r="C4588" s="545" t="s">
        <v>4355</v>
      </c>
      <c r="D4588" s="669" t="s">
        <v>395</v>
      </c>
      <c r="E4588" s="546">
        <v>768.41999499999997</v>
      </c>
    </row>
    <row r="4589" spans="2:5" x14ac:dyDescent="0.25">
      <c r="B4589" s="545">
        <v>5506</v>
      </c>
      <c r="C4589" s="545" t="s">
        <v>6500</v>
      </c>
      <c r="D4589" s="669" t="s">
        <v>395</v>
      </c>
      <c r="E4589" s="546">
        <v>644.09999600000003</v>
      </c>
    </row>
    <row r="4590" spans="2:5" x14ac:dyDescent="0.25">
      <c r="B4590" s="545">
        <v>5507</v>
      </c>
      <c r="C4590" s="545" t="s">
        <v>1337</v>
      </c>
      <c r="D4590" s="669" t="s">
        <v>395</v>
      </c>
      <c r="E4590" s="546">
        <v>673.41428900000005</v>
      </c>
    </row>
    <row r="4591" spans="2:5" x14ac:dyDescent="0.25">
      <c r="B4591" s="545">
        <v>5508</v>
      </c>
      <c r="C4591" s="545" t="s">
        <v>3111</v>
      </c>
      <c r="D4591" s="669" t="s">
        <v>395</v>
      </c>
      <c r="E4591" s="546">
        <v>696.76250500000003</v>
      </c>
    </row>
    <row r="4592" spans="2:5" x14ac:dyDescent="0.25">
      <c r="B4592" s="545">
        <v>5509</v>
      </c>
      <c r="C4592" s="545" t="s">
        <v>2976</v>
      </c>
      <c r="D4592" s="669" t="s">
        <v>395</v>
      </c>
      <c r="E4592" s="546">
        <v>689.13635299999999</v>
      </c>
    </row>
    <row r="4593" spans="2:5" x14ac:dyDescent="0.25">
      <c r="B4593" s="545">
        <v>5510</v>
      </c>
      <c r="C4593" s="545" t="s">
        <v>4217</v>
      </c>
      <c r="D4593" s="669" t="s">
        <v>395</v>
      </c>
      <c r="E4593" s="546">
        <v>758.78333499999997</v>
      </c>
    </row>
    <row r="4594" spans="2:5" x14ac:dyDescent="0.25">
      <c r="B4594" s="545">
        <v>5511</v>
      </c>
      <c r="C4594" s="545" t="s">
        <v>3599</v>
      </c>
      <c r="D4594" s="669" t="s">
        <v>395</v>
      </c>
      <c r="E4594" s="546">
        <v>721.29998799999998</v>
      </c>
    </row>
    <row r="4595" spans="2:5" x14ac:dyDescent="0.25">
      <c r="B4595" s="545">
        <v>5512</v>
      </c>
      <c r="C4595" s="545" t="s">
        <v>1991</v>
      </c>
      <c r="D4595" s="669" t="s">
        <v>395</v>
      </c>
      <c r="E4595" s="546">
        <v>760.46667500000001</v>
      </c>
    </row>
    <row r="4596" spans="2:5" x14ac:dyDescent="0.25">
      <c r="B4596" s="545">
        <v>5513</v>
      </c>
      <c r="C4596" s="545" t="s">
        <v>4098</v>
      </c>
      <c r="D4596" s="669" t="s">
        <v>395</v>
      </c>
      <c r="E4596" s="546">
        <v>750.70001200000002</v>
      </c>
    </row>
    <row r="4597" spans="2:5" x14ac:dyDescent="0.25">
      <c r="B4597" s="545">
        <v>5514</v>
      </c>
      <c r="C4597" s="545" t="s">
        <v>3417</v>
      </c>
      <c r="D4597" s="669" t="s">
        <v>395</v>
      </c>
      <c r="E4597" s="546">
        <v>712.11111800000003</v>
      </c>
    </row>
    <row r="4598" spans="2:5" x14ac:dyDescent="0.25">
      <c r="B4598" s="545">
        <v>5515</v>
      </c>
      <c r="C4598" s="545" t="s">
        <v>2611</v>
      </c>
      <c r="D4598" s="669" t="s">
        <v>395</v>
      </c>
      <c r="E4598" s="546">
        <v>671.38332100000002</v>
      </c>
    </row>
    <row r="4599" spans="2:5" x14ac:dyDescent="0.25">
      <c r="B4599" s="545">
        <v>5516</v>
      </c>
      <c r="C4599" s="545" t="s">
        <v>807</v>
      </c>
      <c r="D4599" s="669" t="s">
        <v>395</v>
      </c>
      <c r="E4599" s="546">
        <v>699.21249399999999</v>
      </c>
    </row>
    <row r="4600" spans="2:5" x14ac:dyDescent="0.25">
      <c r="B4600" s="545">
        <v>5517</v>
      </c>
      <c r="C4600" s="545" t="s">
        <v>2652</v>
      </c>
      <c r="D4600" s="669" t="s">
        <v>395</v>
      </c>
      <c r="E4600" s="546">
        <v>673.90000899999995</v>
      </c>
    </row>
    <row r="4601" spans="2:5" x14ac:dyDescent="0.25">
      <c r="B4601" s="545">
        <v>5518</v>
      </c>
      <c r="C4601" s="545" t="s">
        <v>3241</v>
      </c>
      <c r="D4601" s="669" t="s">
        <v>395</v>
      </c>
      <c r="E4601" s="546">
        <v>703.1</v>
      </c>
    </row>
    <row r="4602" spans="2:5" x14ac:dyDescent="0.25">
      <c r="B4602" s="545">
        <v>5519</v>
      </c>
      <c r="C4602" s="545" t="s">
        <v>2944</v>
      </c>
      <c r="D4602" s="669" t="s">
        <v>395</v>
      </c>
      <c r="E4602" s="546">
        <v>687.51999499999999</v>
      </c>
    </row>
    <row r="4603" spans="2:5" x14ac:dyDescent="0.25">
      <c r="B4603" s="545">
        <v>5520</v>
      </c>
      <c r="C4603" s="545" t="s">
        <v>7393</v>
      </c>
      <c r="D4603" s="669" t="s">
        <v>395</v>
      </c>
      <c r="E4603" s="546">
        <v>705.35000600000001</v>
      </c>
    </row>
    <row r="4604" spans="2:5" x14ac:dyDescent="0.25">
      <c r="B4604" s="545">
        <v>5521</v>
      </c>
      <c r="C4604" s="545" t="s">
        <v>2978</v>
      </c>
      <c r="D4604" s="669" t="s">
        <v>395</v>
      </c>
      <c r="E4604" s="546">
        <v>689.20370400000002</v>
      </c>
    </row>
    <row r="4605" spans="2:5" x14ac:dyDescent="0.25">
      <c r="B4605" s="545">
        <v>5522</v>
      </c>
      <c r="C4605" s="545" t="s">
        <v>2225</v>
      </c>
      <c r="D4605" s="669" t="s">
        <v>395</v>
      </c>
      <c r="E4605" s="546">
        <v>654.13334099999997</v>
      </c>
    </row>
    <row r="4606" spans="2:5" x14ac:dyDescent="0.25">
      <c r="B4606" s="545">
        <v>5551</v>
      </c>
      <c r="C4606" s="545" t="s">
        <v>5525</v>
      </c>
      <c r="D4606" s="669" t="s">
        <v>398</v>
      </c>
      <c r="E4606" s="546">
        <v>899.73636699999997</v>
      </c>
    </row>
    <row r="4607" spans="2:5" x14ac:dyDescent="0.25">
      <c r="B4607" s="545">
        <v>5552</v>
      </c>
      <c r="C4607" s="545" t="s">
        <v>7458</v>
      </c>
      <c r="D4607" s="669" t="s">
        <v>398</v>
      </c>
      <c r="E4607" s="546">
        <v>787.18331899999998</v>
      </c>
    </row>
    <row r="4608" spans="2:5" x14ac:dyDescent="0.25">
      <c r="B4608" s="545">
        <v>5553</v>
      </c>
      <c r="C4608" s="545" t="s">
        <v>4699</v>
      </c>
      <c r="D4608" s="669" t="s">
        <v>398</v>
      </c>
      <c r="E4608" s="546">
        <v>795.67500299999995</v>
      </c>
    </row>
    <row r="4609" spans="2:5" x14ac:dyDescent="0.25">
      <c r="B4609" s="545">
        <v>5554</v>
      </c>
      <c r="C4609" s="545" t="s">
        <v>4878</v>
      </c>
      <c r="D4609" s="669" t="s">
        <v>398</v>
      </c>
      <c r="E4609" s="546">
        <v>809.52856399999996</v>
      </c>
    </row>
    <row r="4610" spans="2:5" x14ac:dyDescent="0.25">
      <c r="B4610" s="545">
        <v>5555</v>
      </c>
      <c r="C4610" s="545" t="s">
        <v>5173</v>
      </c>
      <c r="D4610" s="669" t="s">
        <v>398</v>
      </c>
      <c r="E4610" s="546">
        <v>841.38750500000003</v>
      </c>
    </row>
    <row r="4611" spans="2:5" x14ac:dyDescent="0.25">
      <c r="B4611" s="545">
        <v>5556</v>
      </c>
      <c r="C4611" s="545" t="s">
        <v>4829</v>
      </c>
      <c r="D4611" s="669" t="s">
        <v>398</v>
      </c>
      <c r="E4611" s="546">
        <v>806.04999499999997</v>
      </c>
    </row>
    <row r="4612" spans="2:5" x14ac:dyDescent="0.25">
      <c r="B4612" s="545">
        <v>5557</v>
      </c>
      <c r="C4612" s="545" t="s">
        <v>4306</v>
      </c>
      <c r="D4612" s="669" t="s">
        <v>398</v>
      </c>
      <c r="E4612" s="546">
        <v>765.12000699999999</v>
      </c>
    </row>
    <row r="4613" spans="2:5" x14ac:dyDescent="0.25">
      <c r="B4613" s="545">
        <v>5558</v>
      </c>
      <c r="C4613" s="545" t="s">
        <v>5151</v>
      </c>
      <c r="D4613" s="669" t="s">
        <v>398</v>
      </c>
      <c r="E4613" s="546">
        <v>839</v>
      </c>
    </row>
    <row r="4614" spans="2:5" x14ac:dyDescent="0.25">
      <c r="B4614" s="545">
        <v>5559</v>
      </c>
      <c r="C4614" s="545" t="s">
        <v>5373</v>
      </c>
      <c r="D4614" s="669" t="s">
        <v>398</v>
      </c>
      <c r="E4614" s="546">
        <v>874.19444799999997</v>
      </c>
    </row>
    <row r="4615" spans="2:5" x14ac:dyDescent="0.25">
      <c r="B4615" s="545">
        <v>5560</v>
      </c>
      <c r="C4615" s="545" t="s">
        <v>5460</v>
      </c>
      <c r="D4615" s="669" t="s">
        <v>398</v>
      </c>
      <c r="E4615" s="546">
        <v>950.92857600000002</v>
      </c>
    </row>
    <row r="4616" spans="2:5" x14ac:dyDescent="0.25">
      <c r="B4616" s="545">
        <v>5561</v>
      </c>
      <c r="C4616" s="545" t="s">
        <v>7010</v>
      </c>
      <c r="D4616" s="669" t="s">
        <v>398</v>
      </c>
      <c r="E4616" s="546">
        <v>897.51429099999996</v>
      </c>
    </row>
    <row r="4617" spans="2:5" x14ac:dyDescent="0.25">
      <c r="B4617" s="545">
        <v>5562</v>
      </c>
      <c r="C4617" s="545" t="s">
        <v>5602</v>
      </c>
      <c r="D4617" s="669" t="s">
        <v>398</v>
      </c>
      <c r="E4617" s="546">
        <v>911.82692299999997</v>
      </c>
    </row>
    <row r="4618" spans="2:5" x14ac:dyDescent="0.25">
      <c r="B4618" s="545">
        <v>5563</v>
      </c>
      <c r="C4618" s="545" t="s">
        <v>5714</v>
      </c>
      <c r="D4618" s="669" t="s">
        <v>398</v>
      </c>
      <c r="E4618" s="546">
        <v>942.72499100000005</v>
      </c>
    </row>
    <row r="4619" spans="2:5" x14ac:dyDescent="0.25">
      <c r="B4619" s="545">
        <v>5564</v>
      </c>
      <c r="C4619" s="545" t="s">
        <v>5168</v>
      </c>
      <c r="D4619" s="669" t="s">
        <v>398</v>
      </c>
      <c r="E4619" s="546">
        <v>840.40909099999999</v>
      </c>
    </row>
    <row r="4620" spans="2:5" x14ac:dyDescent="0.25">
      <c r="B4620" s="545">
        <v>5565</v>
      </c>
      <c r="C4620" s="545" t="s">
        <v>4521</v>
      </c>
      <c r="D4620" s="669" t="s">
        <v>398</v>
      </c>
      <c r="E4620" s="546">
        <v>781.02857300000005</v>
      </c>
    </row>
    <row r="4621" spans="2:5" x14ac:dyDescent="0.25">
      <c r="B4621" s="545">
        <v>5566</v>
      </c>
      <c r="C4621" s="545" t="s">
        <v>5149</v>
      </c>
      <c r="D4621" s="669" t="s">
        <v>398</v>
      </c>
      <c r="E4621" s="546">
        <v>838.70001200000002</v>
      </c>
    </row>
    <row r="4622" spans="2:5" x14ac:dyDescent="0.25">
      <c r="B4622" s="545">
        <v>5567</v>
      </c>
      <c r="C4622" s="545" t="s">
        <v>4860</v>
      </c>
      <c r="D4622" s="669" t="s">
        <v>398</v>
      </c>
      <c r="E4622" s="546">
        <v>808.16666699999996</v>
      </c>
    </row>
    <row r="4623" spans="2:5" x14ac:dyDescent="0.25">
      <c r="B4623" s="545">
        <v>5568</v>
      </c>
      <c r="C4623" s="545" t="s">
        <v>7335</v>
      </c>
      <c r="D4623" s="669" t="s">
        <v>398</v>
      </c>
      <c r="E4623" s="546">
        <v>888</v>
      </c>
    </row>
    <row r="4624" spans="2:5" x14ac:dyDescent="0.25">
      <c r="B4624" s="545">
        <v>5569</v>
      </c>
      <c r="C4624" s="545" t="s">
        <v>5957</v>
      </c>
      <c r="D4624" s="669" t="s">
        <v>398</v>
      </c>
      <c r="E4624" s="546">
        <v>1029.7214269999999</v>
      </c>
    </row>
    <row r="4625" spans="2:5" x14ac:dyDescent="0.25">
      <c r="B4625" s="545">
        <v>5570</v>
      </c>
      <c r="C4625" s="545" t="s">
        <v>5417</v>
      </c>
      <c r="D4625" s="669" t="s">
        <v>398</v>
      </c>
      <c r="E4625" s="546">
        <v>881.65002400000003</v>
      </c>
    </row>
    <row r="4626" spans="2:5" x14ac:dyDescent="0.25">
      <c r="B4626" s="545">
        <v>5571</v>
      </c>
      <c r="C4626" s="545" t="s">
        <v>4873</v>
      </c>
      <c r="D4626" s="669" t="s">
        <v>398</v>
      </c>
      <c r="E4626" s="546">
        <v>809.19999199999995</v>
      </c>
    </row>
    <row r="4627" spans="2:5" x14ac:dyDescent="0.25">
      <c r="B4627" s="545">
        <v>5572</v>
      </c>
      <c r="C4627" s="545" t="s">
        <v>4249</v>
      </c>
      <c r="D4627" s="669" t="s">
        <v>398</v>
      </c>
      <c r="E4627" s="546">
        <v>760.81427900000006</v>
      </c>
    </row>
    <row r="4628" spans="2:5" x14ac:dyDescent="0.25">
      <c r="B4628" s="545">
        <v>5573</v>
      </c>
      <c r="C4628" s="545" t="s">
        <v>1327</v>
      </c>
      <c r="D4628" s="669" t="s">
        <v>398</v>
      </c>
      <c r="E4628" s="546">
        <v>793.54999699999996</v>
      </c>
    </row>
    <row r="4629" spans="2:5" x14ac:dyDescent="0.25">
      <c r="B4629" s="545">
        <v>5574</v>
      </c>
      <c r="C4629" s="545" t="s">
        <v>3926</v>
      </c>
      <c r="D4629" s="669" t="s">
        <v>398</v>
      </c>
      <c r="E4629" s="546">
        <v>859.95000200000004</v>
      </c>
    </row>
    <row r="4630" spans="2:5" x14ac:dyDescent="0.25">
      <c r="B4630" s="545">
        <v>5575</v>
      </c>
      <c r="C4630" s="545" t="s">
        <v>6156</v>
      </c>
      <c r="D4630" s="669" t="s">
        <v>398</v>
      </c>
      <c r="E4630" s="546">
        <v>1156.4055579999999</v>
      </c>
    </row>
    <row r="4631" spans="2:5" x14ac:dyDescent="0.25">
      <c r="B4631" s="545">
        <v>5576</v>
      </c>
      <c r="C4631" s="545" t="s">
        <v>5040</v>
      </c>
      <c r="D4631" s="669" t="s">
        <v>398</v>
      </c>
      <c r="E4631" s="546">
        <v>827.14375299999995</v>
      </c>
    </row>
    <row r="4632" spans="2:5" x14ac:dyDescent="0.25">
      <c r="B4632" s="545">
        <v>5577</v>
      </c>
      <c r="C4632" s="545" t="s">
        <v>4827</v>
      </c>
      <c r="D4632" s="669" t="s">
        <v>398</v>
      </c>
      <c r="E4632" s="546">
        <v>805.9923</v>
      </c>
    </row>
    <row r="4633" spans="2:5" x14ac:dyDescent="0.25">
      <c r="B4633" s="545">
        <v>5578</v>
      </c>
      <c r="C4633" s="545" t="s">
        <v>4918</v>
      </c>
      <c r="D4633" s="669" t="s">
        <v>398</v>
      </c>
      <c r="E4633" s="546">
        <v>814.01999499999999</v>
      </c>
    </row>
    <row r="4634" spans="2:5" x14ac:dyDescent="0.25">
      <c r="B4634" s="545">
        <v>5579</v>
      </c>
      <c r="C4634" s="545" t="s">
        <v>6545</v>
      </c>
      <c r="D4634" s="669" t="s">
        <v>398</v>
      </c>
      <c r="E4634" s="546">
        <v>774.2</v>
      </c>
    </row>
    <row r="4635" spans="2:5" x14ac:dyDescent="0.25">
      <c r="B4635" s="545">
        <v>5580</v>
      </c>
      <c r="C4635" s="545" t="s">
        <v>3976</v>
      </c>
      <c r="D4635" s="669" t="s">
        <v>398</v>
      </c>
      <c r="E4635" s="546">
        <v>743.64285700000005</v>
      </c>
    </row>
    <row r="4636" spans="2:5" x14ac:dyDescent="0.25">
      <c r="B4636" s="545">
        <v>5581</v>
      </c>
      <c r="C4636" s="545" t="s">
        <v>5680</v>
      </c>
      <c r="D4636" s="669" t="s">
        <v>398</v>
      </c>
      <c r="E4636" s="546">
        <v>933.76666299999999</v>
      </c>
    </row>
    <row r="4637" spans="2:5" x14ac:dyDescent="0.25">
      <c r="B4637" s="545">
        <v>5582</v>
      </c>
      <c r="C4637" s="545" t="s">
        <v>4835</v>
      </c>
      <c r="D4637" s="669" t="s">
        <v>398</v>
      </c>
      <c r="E4637" s="546">
        <v>806.39998400000002</v>
      </c>
    </row>
    <row r="4638" spans="2:5" x14ac:dyDescent="0.25">
      <c r="B4638" s="545">
        <v>5583</v>
      </c>
      <c r="C4638" s="545" t="s">
        <v>2248</v>
      </c>
      <c r="D4638" s="669" t="s">
        <v>398</v>
      </c>
      <c r="E4638" s="546">
        <v>655.10000600000001</v>
      </c>
    </row>
    <row r="4639" spans="2:5" x14ac:dyDescent="0.25">
      <c r="B4639" s="545">
        <v>5584</v>
      </c>
      <c r="C4639" s="545" t="s">
        <v>2399</v>
      </c>
      <c r="D4639" s="669" t="s">
        <v>398</v>
      </c>
      <c r="E4639" s="546">
        <v>662.12498500000004</v>
      </c>
    </row>
    <row r="4640" spans="2:5" x14ac:dyDescent="0.25">
      <c r="B4640" s="545">
        <v>5585</v>
      </c>
      <c r="C4640" s="545" t="s">
        <v>3193</v>
      </c>
      <c r="D4640" s="669" t="s">
        <v>398</v>
      </c>
      <c r="E4640" s="546">
        <v>700.83331299999998</v>
      </c>
    </row>
    <row r="4641" spans="2:5" x14ac:dyDescent="0.25">
      <c r="B4641" s="545">
        <v>5586</v>
      </c>
      <c r="C4641" s="545" t="s">
        <v>2911</v>
      </c>
      <c r="D4641" s="669" t="s">
        <v>398</v>
      </c>
      <c r="E4641" s="546">
        <v>686.23999000000003</v>
      </c>
    </row>
    <row r="4642" spans="2:5" x14ac:dyDescent="0.25">
      <c r="B4642" s="545">
        <v>5587</v>
      </c>
      <c r="C4642" s="545" t="s">
        <v>7229</v>
      </c>
      <c r="D4642" s="669" t="s">
        <v>398</v>
      </c>
      <c r="E4642" s="546">
        <v>714.05000299999995</v>
      </c>
    </row>
    <row r="4643" spans="2:5" x14ac:dyDescent="0.25">
      <c r="B4643" s="545">
        <v>5588</v>
      </c>
      <c r="C4643" s="545" t="s">
        <v>3955</v>
      </c>
      <c r="D4643" s="669" t="s">
        <v>398</v>
      </c>
      <c r="E4643" s="546">
        <v>742</v>
      </c>
    </row>
    <row r="4644" spans="2:5" x14ac:dyDescent="0.25">
      <c r="B4644" s="545">
        <v>5589</v>
      </c>
      <c r="C4644" s="545" t="s">
        <v>4484</v>
      </c>
      <c r="D4644" s="669" t="s">
        <v>398</v>
      </c>
      <c r="E4644" s="546">
        <v>778.81818199999998</v>
      </c>
    </row>
    <row r="4645" spans="2:5" x14ac:dyDescent="0.25">
      <c r="B4645" s="545">
        <v>5590</v>
      </c>
      <c r="C4645" s="545" t="s">
        <v>1981</v>
      </c>
      <c r="D4645" s="669" t="s">
        <v>398</v>
      </c>
      <c r="E4645" s="546">
        <v>855.44666700000005</v>
      </c>
    </row>
    <row r="4646" spans="2:5" x14ac:dyDescent="0.25">
      <c r="B4646" s="545">
        <v>5591</v>
      </c>
      <c r="C4646" s="545" t="s">
        <v>7278</v>
      </c>
      <c r="D4646" s="669" t="s">
        <v>398</v>
      </c>
      <c r="E4646" s="546">
        <v>904.39999699999998</v>
      </c>
    </row>
    <row r="4647" spans="2:5" x14ac:dyDescent="0.25">
      <c r="B4647" s="545">
        <v>5592</v>
      </c>
      <c r="C4647" s="545" t="s">
        <v>1913</v>
      </c>
      <c r="D4647" s="669" t="s">
        <v>398</v>
      </c>
      <c r="E4647" s="546">
        <v>665.84997599999997</v>
      </c>
    </row>
    <row r="4648" spans="2:5" x14ac:dyDescent="0.25">
      <c r="B4648" s="545">
        <v>5593</v>
      </c>
      <c r="C4648" s="545" t="s">
        <v>2617</v>
      </c>
      <c r="D4648" s="669" t="s">
        <v>398</v>
      </c>
      <c r="E4648" s="546">
        <v>671.92498799999998</v>
      </c>
    </row>
    <row r="4649" spans="2:5" x14ac:dyDescent="0.25">
      <c r="B4649" s="545">
        <v>5594</v>
      </c>
      <c r="C4649" s="545" t="s">
        <v>3236</v>
      </c>
      <c r="D4649" s="669" t="s">
        <v>398</v>
      </c>
      <c r="E4649" s="546">
        <v>702.79999699999996</v>
      </c>
    </row>
    <row r="4650" spans="2:5" x14ac:dyDescent="0.25">
      <c r="B4650" s="545">
        <v>5595</v>
      </c>
      <c r="C4650" s="545" t="s">
        <v>1878</v>
      </c>
      <c r="D4650" s="669" t="s">
        <v>398</v>
      </c>
      <c r="E4650" s="546">
        <v>726.08572000000004</v>
      </c>
    </row>
    <row r="4651" spans="2:5" x14ac:dyDescent="0.25">
      <c r="B4651" s="545">
        <v>5596</v>
      </c>
      <c r="C4651" s="545" t="s">
        <v>3584</v>
      </c>
      <c r="D4651" s="669" t="s">
        <v>398</v>
      </c>
      <c r="E4651" s="546">
        <v>720.53333499999997</v>
      </c>
    </row>
    <row r="4652" spans="2:5" x14ac:dyDescent="0.25">
      <c r="B4652" s="545">
        <v>5597</v>
      </c>
      <c r="C4652" s="545" t="s">
        <v>4743</v>
      </c>
      <c r="D4652" s="669" t="s">
        <v>398</v>
      </c>
      <c r="E4652" s="546">
        <v>799.41109200000005</v>
      </c>
    </row>
    <row r="4653" spans="2:5" x14ac:dyDescent="0.25">
      <c r="B4653" s="545">
        <v>5598</v>
      </c>
      <c r="C4653" s="545" t="s">
        <v>5042</v>
      </c>
      <c r="D4653" s="669" t="s">
        <v>398</v>
      </c>
      <c r="E4653" s="546">
        <v>827.25</v>
      </c>
    </row>
    <row r="4654" spans="2:5" x14ac:dyDescent="0.25">
      <c r="B4654" s="545">
        <v>5599</v>
      </c>
      <c r="C4654" s="545" t="s">
        <v>4119</v>
      </c>
      <c r="D4654" s="669" t="s">
        <v>398</v>
      </c>
      <c r="E4654" s="546">
        <v>752</v>
      </c>
    </row>
    <row r="4655" spans="2:5" x14ac:dyDescent="0.25">
      <c r="B4655" s="545">
        <v>5600</v>
      </c>
      <c r="C4655" s="545" t="s">
        <v>5621</v>
      </c>
      <c r="D4655" s="669" t="s">
        <v>398</v>
      </c>
      <c r="E4655" s="546">
        <v>916.63124100000005</v>
      </c>
    </row>
    <row r="4656" spans="2:5" x14ac:dyDescent="0.25">
      <c r="B4656" s="545">
        <v>5601</v>
      </c>
      <c r="C4656" s="545" t="s">
        <v>6251</v>
      </c>
      <c r="D4656" s="669" t="s">
        <v>398</v>
      </c>
      <c r="E4656" s="546">
        <v>1253.0166830000001</v>
      </c>
    </row>
    <row r="4657" spans="2:5" x14ac:dyDescent="0.25">
      <c r="B4657" s="545">
        <v>5603</v>
      </c>
      <c r="C4657" s="545" t="s">
        <v>2468</v>
      </c>
      <c r="D4657" s="669" t="s">
        <v>398</v>
      </c>
      <c r="E4657" s="546">
        <v>664.72857699999997</v>
      </c>
    </row>
    <row r="4658" spans="2:5" x14ac:dyDescent="0.25">
      <c r="B4658" s="545">
        <v>5604</v>
      </c>
      <c r="C4658" s="545" t="s">
        <v>2463</v>
      </c>
      <c r="D4658" s="669" t="s">
        <v>398</v>
      </c>
      <c r="E4658" s="546">
        <v>664.6</v>
      </c>
    </row>
    <row r="4659" spans="2:5" x14ac:dyDescent="0.25">
      <c r="B4659" s="545">
        <v>5605</v>
      </c>
      <c r="C4659" s="545" t="s">
        <v>2553</v>
      </c>
      <c r="D4659" s="669" t="s">
        <v>398</v>
      </c>
      <c r="E4659" s="546">
        <v>668.61665900000003</v>
      </c>
    </row>
    <row r="4660" spans="2:5" x14ac:dyDescent="0.25">
      <c r="B4660" s="545">
        <v>5606</v>
      </c>
      <c r="C4660" s="545" t="s">
        <v>7096</v>
      </c>
      <c r="D4660" s="669" t="s">
        <v>398</v>
      </c>
      <c r="E4660" s="546">
        <v>677.62857499999996</v>
      </c>
    </row>
    <row r="4661" spans="2:5" x14ac:dyDescent="0.25">
      <c r="B4661" s="545">
        <v>5607</v>
      </c>
      <c r="C4661" s="545" t="s">
        <v>2713</v>
      </c>
      <c r="D4661" s="669" t="s">
        <v>398</v>
      </c>
      <c r="E4661" s="546">
        <v>676.44615799999997</v>
      </c>
    </row>
    <row r="4662" spans="2:5" x14ac:dyDescent="0.25">
      <c r="B4662" s="545">
        <v>5608</v>
      </c>
      <c r="C4662" s="545" t="s">
        <v>3711</v>
      </c>
      <c r="D4662" s="669" t="s">
        <v>398</v>
      </c>
      <c r="E4662" s="546">
        <v>727.72941000000003</v>
      </c>
    </row>
    <row r="4663" spans="2:5" x14ac:dyDescent="0.25">
      <c r="B4663" s="545">
        <v>5609</v>
      </c>
      <c r="C4663" s="545" t="s">
        <v>4205</v>
      </c>
      <c r="D4663" s="669" t="s">
        <v>398</v>
      </c>
      <c r="E4663" s="546">
        <v>757.95555300000001</v>
      </c>
    </row>
    <row r="4664" spans="2:5" x14ac:dyDescent="0.25">
      <c r="B4664" s="545">
        <v>5610</v>
      </c>
      <c r="C4664" s="545" t="s">
        <v>5183</v>
      </c>
      <c r="D4664" s="669" t="s">
        <v>398</v>
      </c>
      <c r="E4664" s="546">
        <v>843.96666800000003</v>
      </c>
    </row>
    <row r="4665" spans="2:5" x14ac:dyDescent="0.25">
      <c r="B4665" s="545">
        <v>5611</v>
      </c>
      <c r="C4665" s="545" t="s">
        <v>2418</v>
      </c>
      <c r="D4665" s="669" t="s">
        <v>398</v>
      </c>
      <c r="E4665" s="546">
        <v>663.14999399999999</v>
      </c>
    </row>
    <row r="4666" spans="2:5" x14ac:dyDescent="0.25">
      <c r="B4666" s="545">
        <v>5612</v>
      </c>
      <c r="C4666" s="545" t="s">
        <v>2650</v>
      </c>
      <c r="D4666" s="669" t="s">
        <v>392</v>
      </c>
      <c r="E4666" s="546">
        <v>673.79998799999998</v>
      </c>
    </row>
    <row r="4667" spans="2:5" x14ac:dyDescent="0.25">
      <c r="B4667" s="545">
        <v>5613</v>
      </c>
      <c r="C4667" s="545" t="s">
        <v>2406</v>
      </c>
      <c r="D4667" s="669" t="s">
        <v>398</v>
      </c>
      <c r="E4667" s="546">
        <v>662.6</v>
      </c>
    </row>
    <row r="4668" spans="2:5" x14ac:dyDescent="0.25">
      <c r="B4668" s="545">
        <v>5614</v>
      </c>
      <c r="C4668" s="545" t="s">
        <v>3983</v>
      </c>
      <c r="D4668" s="669" t="s">
        <v>398</v>
      </c>
      <c r="E4668" s="546">
        <v>744.09999600000003</v>
      </c>
    </row>
    <row r="4669" spans="2:5" x14ac:dyDescent="0.25">
      <c r="B4669" s="545">
        <v>5615</v>
      </c>
      <c r="C4669" s="545" t="s">
        <v>4052</v>
      </c>
      <c r="D4669" s="669" t="s">
        <v>398</v>
      </c>
      <c r="E4669" s="546">
        <v>748.45454500000005</v>
      </c>
    </row>
    <row r="4670" spans="2:5" x14ac:dyDescent="0.25">
      <c r="B4670" s="545">
        <v>5616</v>
      </c>
      <c r="C4670" s="545" t="s">
        <v>4465</v>
      </c>
      <c r="D4670" s="669" t="s">
        <v>398</v>
      </c>
      <c r="E4670" s="546">
        <v>777.87857099999997</v>
      </c>
    </row>
    <row r="4671" spans="2:5" x14ac:dyDescent="0.25">
      <c r="B4671" s="545">
        <v>5617</v>
      </c>
      <c r="C4671" s="545" t="s">
        <v>5154</v>
      </c>
      <c r="D4671" s="669" t="s">
        <v>398</v>
      </c>
      <c r="E4671" s="546">
        <v>839.23749899999996</v>
      </c>
    </row>
    <row r="4672" spans="2:5" x14ac:dyDescent="0.25">
      <c r="B4672" s="545">
        <v>5618</v>
      </c>
      <c r="C4672" s="545" t="s">
        <v>5808</v>
      </c>
      <c r="D4672" s="669" t="s">
        <v>398</v>
      </c>
      <c r="E4672" s="546">
        <v>968.64998900000001</v>
      </c>
    </row>
    <row r="4673" spans="2:5" x14ac:dyDescent="0.25">
      <c r="B4673" s="545">
        <v>5619</v>
      </c>
      <c r="C4673" s="545" t="s">
        <v>2158</v>
      </c>
      <c r="D4673" s="669" t="s">
        <v>398</v>
      </c>
      <c r="E4673" s="546">
        <v>651.12941599999999</v>
      </c>
    </row>
    <row r="4674" spans="2:5" x14ac:dyDescent="0.25">
      <c r="B4674" s="545">
        <v>5620</v>
      </c>
      <c r="C4674" s="545" t="s">
        <v>2275</v>
      </c>
      <c r="D4674" s="669" t="s">
        <v>398</v>
      </c>
      <c r="E4674" s="546">
        <v>656.21538399999997</v>
      </c>
    </row>
    <row r="4675" spans="2:5" x14ac:dyDescent="0.25">
      <c r="B4675" s="545">
        <v>5621</v>
      </c>
      <c r="C4675" s="545" t="s">
        <v>2208</v>
      </c>
      <c r="D4675" s="669" t="s">
        <v>398</v>
      </c>
      <c r="E4675" s="546">
        <v>653.23333300000002</v>
      </c>
    </row>
    <row r="4676" spans="2:5" x14ac:dyDescent="0.25">
      <c r="B4676" s="545">
        <v>5622</v>
      </c>
      <c r="C4676" s="545" t="s">
        <v>2119</v>
      </c>
      <c r="D4676" s="669" t="s">
        <v>392</v>
      </c>
      <c r="E4676" s="546">
        <v>649.42857100000003</v>
      </c>
    </row>
    <row r="4677" spans="2:5" x14ac:dyDescent="0.25">
      <c r="B4677" s="545">
        <v>5623</v>
      </c>
      <c r="C4677" s="545" t="s">
        <v>2280</v>
      </c>
      <c r="D4677" s="669" t="s">
        <v>392</v>
      </c>
      <c r="E4677" s="546">
        <v>656.47499100000005</v>
      </c>
    </row>
    <row r="4678" spans="2:5" x14ac:dyDescent="0.25">
      <c r="B4678" s="545">
        <v>5624</v>
      </c>
      <c r="C4678" s="545" t="s">
        <v>2029</v>
      </c>
      <c r="D4678" s="669" t="s">
        <v>392</v>
      </c>
      <c r="E4678" s="546">
        <v>644.21818099999996</v>
      </c>
    </row>
    <row r="4679" spans="2:5" x14ac:dyDescent="0.25">
      <c r="B4679" s="545">
        <v>5625</v>
      </c>
      <c r="C4679" s="545" t="s">
        <v>392</v>
      </c>
      <c r="D4679" s="669" t="s">
        <v>392</v>
      </c>
      <c r="E4679" s="546">
        <v>638.15000099999997</v>
      </c>
    </row>
    <row r="4680" spans="2:5" x14ac:dyDescent="0.25">
      <c r="B4680" s="545">
        <v>5626</v>
      </c>
      <c r="C4680" s="545" t="s">
        <v>2297</v>
      </c>
      <c r="D4680" s="669" t="s">
        <v>392</v>
      </c>
      <c r="E4680" s="546">
        <v>657.16667099999995</v>
      </c>
    </row>
    <row r="4681" spans="2:5" x14ac:dyDescent="0.25">
      <c r="B4681" s="545">
        <v>5627</v>
      </c>
      <c r="C4681" s="545" t="s">
        <v>3179</v>
      </c>
      <c r="D4681" s="669" t="s">
        <v>398</v>
      </c>
      <c r="E4681" s="546">
        <v>700.23043199999995</v>
      </c>
    </row>
    <row r="4682" spans="2:5" x14ac:dyDescent="0.25">
      <c r="B4682" s="545">
        <v>5628</v>
      </c>
      <c r="C4682" s="545" t="s">
        <v>3925</v>
      </c>
      <c r="D4682" s="669" t="s">
        <v>398</v>
      </c>
      <c r="E4682" s="546">
        <v>740.23333700000001</v>
      </c>
    </row>
    <row r="4683" spans="2:5" x14ac:dyDescent="0.25">
      <c r="B4683" s="545">
        <v>5629</v>
      </c>
      <c r="C4683" s="545" t="s">
        <v>4190</v>
      </c>
      <c r="D4683" s="669" t="s">
        <v>398</v>
      </c>
      <c r="E4683" s="546">
        <v>756.77499799999998</v>
      </c>
    </row>
    <row r="4684" spans="2:5" x14ac:dyDescent="0.25">
      <c r="B4684" s="545">
        <v>5630</v>
      </c>
      <c r="C4684" s="545" t="s">
        <v>2693</v>
      </c>
      <c r="D4684" s="669" t="s">
        <v>398</v>
      </c>
      <c r="E4684" s="546">
        <v>675.52855599999998</v>
      </c>
    </row>
    <row r="4685" spans="2:5" x14ac:dyDescent="0.25">
      <c r="B4685" s="545">
        <v>5631</v>
      </c>
      <c r="C4685" s="545" t="s">
        <v>2623</v>
      </c>
      <c r="D4685" s="669" t="s">
        <v>398</v>
      </c>
      <c r="E4685" s="546">
        <v>672.48181699999998</v>
      </c>
    </row>
    <row r="4686" spans="2:5" x14ac:dyDescent="0.25">
      <c r="B4686" s="545">
        <v>5632</v>
      </c>
      <c r="C4686" s="545" t="s">
        <v>2738</v>
      </c>
      <c r="D4686" s="669" t="s">
        <v>398</v>
      </c>
      <c r="E4686" s="546">
        <v>677.66428499999995</v>
      </c>
    </row>
    <row r="4687" spans="2:5" x14ac:dyDescent="0.25">
      <c r="B4687" s="545">
        <v>5633</v>
      </c>
      <c r="C4687" s="545" t="s">
        <v>6789</v>
      </c>
      <c r="D4687" s="669" t="s">
        <v>398</v>
      </c>
      <c r="E4687" s="546">
        <v>686.19166600000005</v>
      </c>
    </row>
    <row r="4688" spans="2:5" x14ac:dyDescent="0.25">
      <c r="B4688" s="545">
        <v>5634</v>
      </c>
      <c r="C4688" s="545" t="s">
        <v>2529</v>
      </c>
      <c r="D4688" s="669" t="s">
        <v>398</v>
      </c>
      <c r="E4688" s="546">
        <v>667.79445099999998</v>
      </c>
    </row>
    <row r="4689" spans="2:5" x14ac:dyDescent="0.25">
      <c r="B4689" s="545">
        <v>5635</v>
      </c>
      <c r="C4689" s="545" t="s">
        <v>1729</v>
      </c>
      <c r="D4689" s="669" t="s">
        <v>398</v>
      </c>
      <c r="E4689" s="546">
        <v>633.52499399999999</v>
      </c>
    </row>
    <row r="4690" spans="2:5" x14ac:dyDescent="0.25">
      <c r="B4690" s="545">
        <v>5636</v>
      </c>
      <c r="C4690" s="545" t="s">
        <v>7320</v>
      </c>
      <c r="D4690" s="669" t="s">
        <v>398</v>
      </c>
      <c r="E4690" s="546">
        <v>646.71249399999999</v>
      </c>
    </row>
    <row r="4691" spans="2:5" x14ac:dyDescent="0.25">
      <c r="B4691" s="545">
        <v>5637</v>
      </c>
      <c r="C4691" s="545" t="s">
        <v>2108</v>
      </c>
      <c r="D4691" s="669" t="s">
        <v>398</v>
      </c>
      <c r="E4691" s="546">
        <v>648.81332999999995</v>
      </c>
    </row>
    <row r="4692" spans="2:5" x14ac:dyDescent="0.25">
      <c r="B4692" s="545">
        <v>5638</v>
      </c>
      <c r="C4692" s="545" t="s">
        <v>2235</v>
      </c>
      <c r="D4692" s="669" t="s">
        <v>398</v>
      </c>
      <c r="E4692" s="546">
        <v>654.60000200000002</v>
      </c>
    </row>
    <row r="4693" spans="2:5" x14ac:dyDescent="0.25">
      <c r="B4693" s="545">
        <v>5639</v>
      </c>
      <c r="C4693" s="545" t="s">
        <v>2128</v>
      </c>
      <c r="D4693" s="669" t="s">
        <v>398</v>
      </c>
      <c r="E4693" s="546">
        <v>649.84286099999997</v>
      </c>
    </row>
    <row r="4694" spans="2:5" x14ac:dyDescent="0.25">
      <c r="B4694" s="545">
        <v>5640</v>
      </c>
      <c r="C4694" s="545" t="s">
        <v>2259</v>
      </c>
      <c r="D4694" s="669" t="s">
        <v>398</v>
      </c>
      <c r="E4694" s="546">
        <v>655.639994</v>
      </c>
    </row>
    <row r="4695" spans="2:5" x14ac:dyDescent="0.25">
      <c r="B4695" s="545">
        <v>5641</v>
      </c>
      <c r="C4695" s="545" t="s">
        <v>1050</v>
      </c>
      <c r="D4695" s="669" t="s">
        <v>398</v>
      </c>
      <c r="E4695" s="546">
        <v>688</v>
      </c>
    </row>
    <row r="4696" spans="2:5" x14ac:dyDescent="0.25">
      <c r="B4696" s="545">
        <v>5642</v>
      </c>
      <c r="C4696" s="545" t="s">
        <v>2366</v>
      </c>
      <c r="D4696" s="669" t="s">
        <v>398</v>
      </c>
      <c r="E4696" s="546">
        <v>711.38461500000005</v>
      </c>
    </row>
    <row r="4697" spans="2:5" x14ac:dyDescent="0.25">
      <c r="B4697" s="545">
        <v>5643</v>
      </c>
      <c r="C4697" s="545" t="s">
        <v>3728</v>
      </c>
      <c r="D4697" s="669" t="s">
        <v>398</v>
      </c>
      <c r="E4697" s="546">
        <v>728.63332800000001</v>
      </c>
    </row>
    <row r="4698" spans="2:5" x14ac:dyDescent="0.25">
      <c r="B4698" s="545">
        <v>5644</v>
      </c>
      <c r="C4698" s="545" t="s">
        <v>3653</v>
      </c>
      <c r="D4698" s="669" t="s">
        <v>398</v>
      </c>
      <c r="E4698" s="546">
        <v>724.45999099999995</v>
      </c>
    </row>
    <row r="4699" spans="2:5" x14ac:dyDescent="0.25">
      <c r="B4699" s="545">
        <v>5645</v>
      </c>
      <c r="C4699" s="545" t="s">
        <v>2466</v>
      </c>
      <c r="D4699" s="669" t="s">
        <v>398</v>
      </c>
      <c r="E4699" s="546">
        <v>664.70001200000002</v>
      </c>
    </row>
    <row r="4700" spans="2:5" x14ac:dyDescent="0.25">
      <c r="B4700" s="545">
        <v>5646</v>
      </c>
      <c r="C4700" s="545" t="s">
        <v>6838</v>
      </c>
      <c r="D4700" s="669" t="s">
        <v>398</v>
      </c>
      <c r="E4700" s="546">
        <v>685.86000200000001</v>
      </c>
    </row>
    <row r="4701" spans="2:5" x14ac:dyDescent="0.25">
      <c r="B4701" s="545">
        <v>5647</v>
      </c>
      <c r="C4701" s="545" t="s">
        <v>3091</v>
      </c>
      <c r="D4701" s="669" t="s">
        <v>398</v>
      </c>
      <c r="E4701" s="546">
        <v>695.53637100000003</v>
      </c>
    </row>
    <row r="4702" spans="2:5" x14ac:dyDescent="0.25">
      <c r="B4702" s="545">
        <v>5648</v>
      </c>
      <c r="C4702" s="545" t="s">
        <v>1918</v>
      </c>
      <c r="D4702" s="669" t="s">
        <v>398</v>
      </c>
      <c r="E4702" s="546">
        <v>640.71666500000003</v>
      </c>
    </row>
    <row r="4703" spans="2:5" x14ac:dyDescent="0.25">
      <c r="B4703" s="545">
        <v>5649</v>
      </c>
      <c r="C4703" s="545" t="s">
        <v>2778</v>
      </c>
      <c r="D4703" s="669" t="s">
        <v>398</v>
      </c>
      <c r="E4703" s="546">
        <v>679.71538799999996</v>
      </c>
    </row>
    <row r="4704" spans="2:5" x14ac:dyDescent="0.25">
      <c r="B4704" s="545">
        <v>5650</v>
      </c>
      <c r="C4704" s="545" t="s">
        <v>2907</v>
      </c>
      <c r="D4704" s="669" t="s">
        <v>398</v>
      </c>
      <c r="E4704" s="546">
        <v>696.27407700000003</v>
      </c>
    </row>
    <row r="4705" spans="2:5" x14ac:dyDescent="0.25">
      <c r="B4705" s="545">
        <v>5651</v>
      </c>
      <c r="C4705" s="545" t="s">
        <v>3038</v>
      </c>
      <c r="D4705" s="669" t="s">
        <v>398</v>
      </c>
      <c r="E4705" s="546">
        <v>692.67499499999997</v>
      </c>
    </row>
    <row r="4706" spans="2:5" x14ac:dyDescent="0.25">
      <c r="B4706" s="545">
        <v>5652</v>
      </c>
      <c r="C4706" s="545" t="s">
        <v>2421</v>
      </c>
      <c r="D4706" s="669" t="s">
        <v>398</v>
      </c>
      <c r="E4706" s="546">
        <v>663.22857699999997</v>
      </c>
    </row>
    <row r="4707" spans="2:5" x14ac:dyDescent="0.25">
      <c r="B4707" s="545">
        <v>5653</v>
      </c>
      <c r="C4707" s="545" t="s">
        <v>2494</v>
      </c>
      <c r="D4707" s="669" t="s">
        <v>398</v>
      </c>
      <c r="E4707" s="546">
        <v>665.54000199999996</v>
      </c>
    </row>
    <row r="4708" spans="2:5" x14ac:dyDescent="0.25">
      <c r="B4708" s="545">
        <v>5654</v>
      </c>
      <c r="C4708" s="545" t="s">
        <v>2335</v>
      </c>
      <c r="D4708" s="669" t="s">
        <v>398</v>
      </c>
      <c r="E4708" s="546">
        <v>659.03999599999997</v>
      </c>
    </row>
    <row r="4709" spans="2:5" x14ac:dyDescent="0.25">
      <c r="B4709" s="545">
        <v>5655</v>
      </c>
      <c r="C4709" s="545" t="s">
        <v>2701</v>
      </c>
      <c r="D4709" s="669" t="s">
        <v>398</v>
      </c>
      <c r="E4709" s="546">
        <v>675.78000099999997</v>
      </c>
    </row>
    <row r="4710" spans="2:5" x14ac:dyDescent="0.25">
      <c r="B4710" s="545">
        <v>5656</v>
      </c>
      <c r="C4710" s="545" t="s">
        <v>2594</v>
      </c>
      <c r="D4710" s="669" t="s">
        <v>398</v>
      </c>
      <c r="E4710" s="546">
        <v>670.40000399999997</v>
      </c>
    </row>
    <row r="4711" spans="2:5" x14ac:dyDescent="0.25">
      <c r="B4711" s="545">
        <v>5657</v>
      </c>
      <c r="C4711" s="545" t="s">
        <v>2654</v>
      </c>
      <c r="D4711" s="669" t="s">
        <v>398</v>
      </c>
      <c r="E4711" s="546">
        <v>674.03125399999999</v>
      </c>
    </row>
    <row r="4712" spans="2:5" x14ac:dyDescent="0.25">
      <c r="B4712" s="545">
        <v>5658</v>
      </c>
      <c r="C4712" s="545" t="s">
        <v>3017</v>
      </c>
      <c r="D4712" s="669" t="s">
        <v>398</v>
      </c>
      <c r="E4712" s="546">
        <v>691.53749100000005</v>
      </c>
    </row>
    <row r="4713" spans="2:5" x14ac:dyDescent="0.25">
      <c r="B4713" s="545">
        <v>5659</v>
      </c>
      <c r="C4713" s="545" t="s">
        <v>3749</v>
      </c>
      <c r="D4713" s="669" t="s">
        <v>398</v>
      </c>
      <c r="E4713" s="546">
        <v>729.62222599999996</v>
      </c>
    </row>
    <row r="4714" spans="2:5" x14ac:dyDescent="0.25">
      <c r="B4714" s="545">
        <v>5660</v>
      </c>
      <c r="C4714" s="545" t="s">
        <v>2839</v>
      </c>
      <c r="D4714" s="669" t="s">
        <v>398</v>
      </c>
      <c r="E4714" s="546">
        <v>683.62858400000005</v>
      </c>
    </row>
    <row r="4715" spans="2:5" x14ac:dyDescent="0.25">
      <c r="B4715" s="545">
        <v>5661</v>
      </c>
      <c r="C4715" s="545" t="s">
        <v>2274</v>
      </c>
      <c r="D4715" s="669" t="s">
        <v>398</v>
      </c>
      <c r="E4715" s="546">
        <v>656.20555999999999</v>
      </c>
    </row>
    <row r="4716" spans="2:5" x14ac:dyDescent="0.25">
      <c r="B4716" s="545">
        <v>5662</v>
      </c>
      <c r="C4716" s="545" t="s">
        <v>3187</v>
      </c>
      <c r="D4716" s="669" t="s">
        <v>398</v>
      </c>
      <c r="E4716" s="546">
        <v>700.32999900000004</v>
      </c>
    </row>
    <row r="4717" spans="2:5" x14ac:dyDescent="0.25">
      <c r="B4717" s="545">
        <v>5663</v>
      </c>
      <c r="C4717" s="545" t="s">
        <v>3372</v>
      </c>
      <c r="D4717" s="669" t="s">
        <v>398</v>
      </c>
      <c r="E4717" s="546">
        <v>709.49333100000001</v>
      </c>
    </row>
    <row r="4718" spans="2:5" x14ac:dyDescent="0.25">
      <c r="B4718" s="545">
        <v>5664</v>
      </c>
      <c r="C4718" s="545" t="s">
        <v>3390</v>
      </c>
      <c r="D4718" s="669" t="s">
        <v>398</v>
      </c>
      <c r="E4718" s="546">
        <v>710.37499200000002</v>
      </c>
    </row>
    <row r="4719" spans="2:5" x14ac:dyDescent="0.25">
      <c r="B4719" s="545">
        <v>5665</v>
      </c>
      <c r="C4719" s="545" t="s">
        <v>2534</v>
      </c>
      <c r="D4719" s="669" t="s">
        <v>398</v>
      </c>
      <c r="E4719" s="546">
        <v>667.96153800000002</v>
      </c>
    </row>
    <row r="4720" spans="2:5" x14ac:dyDescent="0.25">
      <c r="B4720" s="545">
        <v>5666</v>
      </c>
      <c r="C4720" s="545" t="s">
        <v>2551</v>
      </c>
      <c r="D4720" s="669" t="s">
        <v>398</v>
      </c>
      <c r="E4720" s="546">
        <v>668.60768900000005</v>
      </c>
    </row>
    <row r="4721" spans="2:5" x14ac:dyDescent="0.25">
      <c r="B4721" s="545">
        <v>5667</v>
      </c>
      <c r="C4721" s="545" t="s">
        <v>2924</v>
      </c>
      <c r="D4721" s="669" t="s">
        <v>398</v>
      </c>
      <c r="E4721" s="546">
        <v>686.89374499999997</v>
      </c>
    </row>
    <row r="4722" spans="2:5" x14ac:dyDescent="0.25">
      <c r="B4722" s="545">
        <v>5668</v>
      </c>
      <c r="C4722" s="545" t="s">
        <v>2965</v>
      </c>
      <c r="D4722" s="669" t="s">
        <v>398</v>
      </c>
      <c r="E4722" s="546">
        <v>688.78750600000001</v>
      </c>
    </row>
    <row r="4723" spans="2:5" x14ac:dyDescent="0.25">
      <c r="B4723" s="545">
        <v>5669</v>
      </c>
      <c r="C4723" s="545" t="s">
        <v>2849</v>
      </c>
      <c r="D4723" s="669" t="s">
        <v>398</v>
      </c>
      <c r="E4723" s="546">
        <v>683.90000399999997</v>
      </c>
    </row>
    <row r="4724" spans="2:5" x14ac:dyDescent="0.25">
      <c r="B4724" s="545">
        <v>5670</v>
      </c>
      <c r="C4724" s="545" t="s">
        <v>3209</v>
      </c>
      <c r="D4724" s="669" t="s">
        <v>398</v>
      </c>
      <c r="E4724" s="546">
        <v>701.56363699999997</v>
      </c>
    </row>
    <row r="4725" spans="2:5" x14ac:dyDescent="0.25">
      <c r="B4725" s="545">
        <v>5671</v>
      </c>
      <c r="C4725" s="545" t="s">
        <v>3423</v>
      </c>
      <c r="D4725" s="669" t="s">
        <v>398</v>
      </c>
      <c r="E4725" s="546">
        <v>712.27857300000005</v>
      </c>
    </row>
    <row r="4726" spans="2:5" x14ac:dyDescent="0.25">
      <c r="B4726" s="545">
        <v>5672</v>
      </c>
      <c r="C4726" s="545" t="s">
        <v>3042</v>
      </c>
      <c r="D4726" s="669" t="s">
        <v>398</v>
      </c>
      <c r="E4726" s="546">
        <v>692.93333399999995</v>
      </c>
    </row>
    <row r="4727" spans="2:5" x14ac:dyDescent="0.25">
      <c r="B4727" s="545">
        <v>5673</v>
      </c>
      <c r="C4727" s="545" t="s">
        <v>7349</v>
      </c>
      <c r="D4727" s="669" t="s">
        <v>398</v>
      </c>
      <c r="E4727" s="546">
        <v>683.47499600000003</v>
      </c>
    </row>
    <row r="4728" spans="2:5" x14ac:dyDescent="0.25">
      <c r="B4728" s="545">
        <v>5674</v>
      </c>
      <c r="C4728" s="545" t="s">
        <v>6874</v>
      </c>
      <c r="D4728" s="669" t="s">
        <v>398</v>
      </c>
      <c r="E4728" s="546">
        <v>685.26666299999999</v>
      </c>
    </row>
    <row r="4729" spans="2:5" x14ac:dyDescent="0.25">
      <c r="B4729" s="545">
        <v>5702</v>
      </c>
      <c r="C4729" s="545" t="s">
        <v>1165</v>
      </c>
      <c r="D4729" s="669" t="s">
        <v>396</v>
      </c>
      <c r="E4729" s="546">
        <v>926.81999499999995</v>
      </c>
    </row>
    <row r="4730" spans="2:5" x14ac:dyDescent="0.25">
      <c r="B4730" s="545">
        <v>5703</v>
      </c>
      <c r="C4730" s="545" t="s">
        <v>5939</v>
      </c>
      <c r="D4730" s="669" t="s">
        <v>396</v>
      </c>
      <c r="E4730" s="546">
        <v>1020.670967</v>
      </c>
    </row>
    <row r="4731" spans="2:5" x14ac:dyDescent="0.25">
      <c r="B4731" s="545">
        <v>5704</v>
      </c>
      <c r="C4731" s="545" t="s">
        <v>6239</v>
      </c>
      <c r="D4731" s="669" t="s">
        <v>396</v>
      </c>
      <c r="E4731" s="546">
        <v>1235.082347</v>
      </c>
    </row>
    <row r="4732" spans="2:5" x14ac:dyDescent="0.25">
      <c r="B4732" s="545">
        <v>5705</v>
      </c>
      <c r="C4732" s="545" t="s">
        <v>1920</v>
      </c>
      <c r="D4732" s="669" t="s">
        <v>396</v>
      </c>
      <c r="E4732" s="546">
        <v>760.75624800000003</v>
      </c>
    </row>
    <row r="4733" spans="2:5" x14ac:dyDescent="0.25">
      <c r="B4733" s="545">
        <v>5706</v>
      </c>
      <c r="C4733" s="545" t="s">
        <v>4605</v>
      </c>
      <c r="D4733" s="669" t="s">
        <v>396</v>
      </c>
      <c r="E4733" s="546">
        <v>788.19375200000002</v>
      </c>
    </row>
    <row r="4734" spans="2:5" x14ac:dyDescent="0.25">
      <c r="B4734" s="545">
        <v>5707</v>
      </c>
      <c r="C4734" s="545" t="s">
        <v>5118</v>
      </c>
      <c r="D4734" s="669" t="s">
        <v>396</v>
      </c>
      <c r="E4734" s="546">
        <v>835.23889499999996</v>
      </c>
    </row>
    <row r="4735" spans="2:5" x14ac:dyDescent="0.25">
      <c r="B4735" s="545">
        <v>5708</v>
      </c>
      <c r="C4735" s="545" t="s">
        <v>3138</v>
      </c>
      <c r="D4735" s="669" t="s">
        <v>396</v>
      </c>
      <c r="E4735" s="546">
        <v>985.32500200000004</v>
      </c>
    </row>
    <row r="4736" spans="2:5" x14ac:dyDescent="0.25">
      <c r="B4736" s="545">
        <v>5709</v>
      </c>
      <c r="C4736" s="545" t="s">
        <v>6084</v>
      </c>
      <c r="D4736" s="669" t="s">
        <v>396</v>
      </c>
      <c r="E4736" s="546">
        <v>1100.5022779999999</v>
      </c>
    </row>
    <row r="4737" spans="2:5" x14ac:dyDescent="0.25">
      <c r="B4737" s="545">
        <v>5710</v>
      </c>
      <c r="C4737" s="545" t="s">
        <v>6204</v>
      </c>
      <c r="D4737" s="669" t="s">
        <v>396</v>
      </c>
      <c r="E4737" s="546">
        <v>1202.5499990000001</v>
      </c>
    </row>
    <row r="4738" spans="2:5" x14ac:dyDescent="0.25">
      <c r="B4738" s="545">
        <v>5713</v>
      </c>
      <c r="C4738" s="545" t="s">
        <v>6168</v>
      </c>
      <c r="D4738" s="669" t="s">
        <v>396</v>
      </c>
      <c r="E4738" s="546">
        <v>1168.899987</v>
      </c>
    </row>
    <row r="4739" spans="2:5" x14ac:dyDescent="0.25">
      <c r="B4739" s="545">
        <v>5714</v>
      </c>
      <c r="C4739" s="545" t="s">
        <v>7243</v>
      </c>
      <c r="D4739" s="669" t="s">
        <v>396</v>
      </c>
      <c r="E4739" s="546">
        <v>966.77999299999999</v>
      </c>
    </row>
    <row r="4740" spans="2:5" x14ac:dyDescent="0.25">
      <c r="B4740" s="545">
        <v>5715</v>
      </c>
      <c r="C4740" s="545" t="s">
        <v>5407</v>
      </c>
      <c r="D4740" s="669" t="s">
        <v>396</v>
      </c>
      <c r="E4740" s="546">
        <v>880.14999899999998</v>
      </c>
    </row>
    <row r="4741" spans="2:5" x14ac:dyDescent="0.25">
      <c r="B4741" s="545">
        <v>5716</v>
      </c>
      <c r="C4741" s="545" t="s">
        <v>4805</v>
      </c>
      <c r="D4741" s="669" t="s">
        <v>396</v>
      </c>
      <c r="E4741" s="546">
        <v>803.94999700000005</v>
      </c>
    </row>
    <row r="4742" spans="2:5" x14ac:dyDescent="0.25">
      <c r="B4742" s="545">
        <v>5717</v>
      </c>
      <c r="C4742" s="545" t="s">
        <v>6192</v>
      </c>
      <c r="D4742" s="669" t="s">
        <v>396</v>
      </c>
      <c r="E4742" s="546">
        <v>1190.4593789999999</v>
      </c>
    </row>
    <row r="4743" spans="2:5" x14ac:dyDescent="0.25">
      <c r="B4743" s="545">
        <v>5718</v>
      </c>
      <c r="C4743" s="545" t="s">
        <v>7437</v>
      </c>
      <c r="D4743" s="669" t="s">
        <v>396</v>
      </c>
      <c r="E4743" s="546">
        <v>915.97999900000002</v>
      </c>
    </row>
    <row r="4744" spans="2:5" x14ac:dyDescent="0.25">
      <c r="B4744" s="545">
        <v>5719</v>
      </c>
      <c r="C4744" s="545" t="s">
        <v>5930</v>
      </c>
      <c r="D4744" s="669" t="s">
        <v>396</v>
      </c>
      <c r="E4744" s="546">
        <v>1015.405877</v>
      </c>
    </row>
    <row r="4745" spans="2:5" x14ac:dyDescent="0.25">
      <c r="B4745" s="545">
        <v>5720</v>
      </c>
      <c r="C4745" s="545" t="s">
        <v>5833</v>
      </c>
      <c r="D4745" s="669" t="s">
        <v>396</v>
      </c>
      <c r="E4745" s="546">
        <v>975.68890399999998</v>
      </c>
    </row>
    <row r="4746" spans="2:5" x14ac:dyDescent="0.25">
      <c r="B4746" s="545">
        <v>5721</v>
      </c>
      <c r="C4746" s="545" t="s">
        <v>5248</v>
      </c>
      <c r="D4746" s="669" t="s">
        <v>396</v>
      </c>
      <c r="E4746" s="546">
        <v>853.409085</v>
      </c>
    </row>
    <row r="4747" spans="2:5" x14ac:dyDescent="0.25">
      <c r="B4747" s="545">
        <v>5722</v>
      </c>
      <c r="C4747" s="545" t="s">
        <v>5750</v>
      </c>
      <c r="D4747" s="669" t="s">
        <v>396</v>
      </c>
      <c r="E4747" s="546">
        <v>953.27499899999998</v>
      </c>
    </row>
    <row r="4748" spans="2:5" x14ac:dyDescent="0.25">
      <c r="B4748" s="545">
        <v>5723</v>
      </c>
      <c r="C4748" s="545" t="s">
        <v>3493</v>
      </c>
      <c r="D4748" s="669" t="s">
        <v>396</v>
      </c>
      <c r="E4748" s="546">
        <v>976.35262599999999</v>
      </c>
    </row>
    <row r="4749" spans="2:5" x14ac:dyDescent="0.25">
      <c r="B4749" s="545">
        <v>5724</v>
      </c>
      <c r="C4749" s="545" t="s">
        <v>5632</v>
      </c>
      <c r="D4749" s="669" t="s">
        <v>396</v>
      </c>
      <c r="E4749" s="546">
        <v>919.73333200000002</v>
      </c>
    </row>
    <row r="4750" spans="2:5" x14ac:dyDescent="0.25">
      <c r="B4750" s="545">
        <v>5725</v>
      </c>
      <c r="C4750" s="545" t="s">
        <v>6569</v>
      </c>
      <c r="D4750" s="669" t="s">
        <v>396</v>
      </c>
      <c r="E4750" s="546">
        <v>1017.8821390000001</v>
      </c>
    </row>
    <row r="4751" spans="2:5" x14ac:dyDescent="0.25">
      <c r="B4751" s="545">
        <v>5728</v>
      </c>
      <c r="C4751" s="545" t="s">
        <v>5784</v>
      </c>
      <c r="D4751" s="669" t="s">
        <v>396</v>
      </c>
      <c r="E4751" s="546">
        <v>961.74400400000002</v>
      </c>
    </row>
    <row r="4752" spans="2:5" x14ac:dyDescent="0.25">
      <c r="B4752" s="545">
        <v>5729</v>
      </c>
      <c r="C4752" s="545" t="s">
        <v>5987</v>
      </c>
      <c r="D4752" s="669" t="s">
        <v>396</v>
      </c>
      <c r="E4752" s="546">
        <v>1042.9470679999999</v>
      </c>
    </row>
    <row r="4753" spans="2:5" x14ac:dyDescent="0.25">
      <c r="B4753" s="545">
        <v>5730</v>
      </c>
      <c r="C4753" s="545" t="s">
        <v>6095</v>
      </c>
      <c r="D4753" s="669" t="s">
        <v>396</v>
      </c>
      <c r="E4753" s="546">
        <v>1109.5578869999999</v>
      </c>
    </row>
    <row r="4754" spans="2:5" x14ac:dyDescent="0.25">
      <c r="B4754" s="545">
        <v>5731</v>
      </c>
      <c r="C4754" s="545" t="s">
        <v>6065</v>
      </c>
      <c r="D4754" s="669" t="s">
        <v>396</v>
      </c>
      <c r="E4754" s="546">
        <v>1088.9125059999999</v>
      </c>
    </row>
    <row r="4755" spans="2:5" x14ac:dyDescent="0.25">
      <c r="B4755" s="545">
        <v>5732</v>
      </c>
      <c r="C4755" s="545" t="s">
        <v>5904</v>
      </c>
      <c r="D4755" s="669" t="s">
        <v>396</v>
      </c>
      <c r="E4755" s="546">
        <v>1000.883321</v>
      </c>
    </row>
    <row r="4756" spans="2:5" x14ac:dyDescent="0.25">
      <c r="B4756" s="545">
        <v>5733</v>
      </c>
      <c r="C4756" s="545" t="s">
        <v>6211</v>
      </c>
      <c r="D4756" s="669" t="s">
        <v>396</v>
      </c>
      <c r="E4756" s="546">
        <v>1209.310909</v>
      </c>
    </row>
    <row r="4757" spans="2:5" x14ac:dyDescent="0.25">
      <c r="B4757" s="545">
        <v>5735</v>
      </c>
      <c r="C4757" s="545" t="s">
        <v>6216</v>
      </c>
      <c r="D4757" s="669" t="s">
        <v>396</v>
      </c>
      <c r="E4757" s="546">
        <v>1217.529029</v>
      </c>
    </row>
    <row r="4758" spans="2:5" x14ac:dyDescent="0.25">
      <c r="B4758" s="545">
        <v>5736</v>
      </c>
      <c r="C4758" s="545" t="s">
        <v>5836</v>
      </c>
      <c r="D4758" s="669" t="s">
        <v>396</v>
      </c>
      <c r="E4758" s="546">
        <v>977.51250500000003</v>
      </c>
    </row>
    <row r="4759" spans="2:5" x14ac:dyDescent="0.25">
      <c r="B4759" s="545">
        <v>5737</v>
      </c>
      <c r="C4759" s="545" t="s">
        <v>5937</v>
      </c>
      <c r="D4759" s="669" t="s">
        <v>396</v>
      </c>
      <c r="E4759" s="546">
        <v>1018.800008</v>
      </c>
    </row>
    <row r="4760" spans="2:5" x14ac:dyDescent="0.25">
      <c r="B4760" s="545">
        <v>5738</v>
      </c>
      <c r="C4760" s="545" t="s">
        <v>6212</v>
      </c>
      <c r="D4760" s="669" t="s">
        <v>396</v>
      </c>
      <c r="E4760" s="546">
        <v>1209.71001</v>
      </c>
    </row>
    <row r="4761" spans="2:5" x14ac:dyDescent="0.25">
      <c r="B4761" s="545">
        <v>5739</v>
      </c>
      <c r="C4761" s="545" t="s">
        <v>6014</v>
      </c>
      <c r="D4761" s="669" t="s">
        <v>396</v>
      </c>
      <c r="E4761" s="546">
        <v>1055.235999</v>
      </c>
    </row>
    <row r="4762" spans="2:5" x14ac:dyDescent="0.25">
      <c r="B4762" s="545">
        <v>5740</v>
      </c>
      <c r="C4762" s="545" t="s">
        <v>5985</v>
      </c>
      <c r="D4762" s="669" t="s">
        <v>396</v>
      </c>
      <c r="E4762" s="546">
        <v>1042.3600100000001</v>
      </c>
    </row>
    <row r="4763" spans="2:5" x14ac:dyDescent="0.25">
      <c r="B4763" s="545">
        <v>5741</v>
      </c>
      <c r="C4763" s="545" t="s">
        <v>5754</v>
      </c>
      <c r="D4763" s="669" t="s">
        <v>396</v>
      </c>
      <c r="E4763" s="546">
        <v>953.89999399999999</v>
      </c>
    </row>
    <row r="4764" spans="2:5" x14ac:dyDescent="0.25">
      <c r="B4764" s="545">
        <v>5742</v>
      </c>
      <c r="C4764" s="545" t="s">
        <v>6541</v>
      </c>
      <c r="D4764" s="669" t="s">
        <v>396</v>
      </c>
      <c r="E4764" s="546">
        <v>934.57999900000004</v>
      </c>
    </row>
    <row r="4765" spans="2:5" x14ac:dyDescent="0.25">
      <c r="B4765" s="545">
        <v>5743</v>
      </c>
      <c r="C4765" s="545" t="s">
        <v>396</v>
      </c>
      <c r="D4765" s="669" t="s">
        <v>396</v>
      </c>
      <c r="E4765" s="546">
        <v>869.63333499999999</v>
      </c>
    </row>
    <row r="4766" spans="2:5" x14ac:dyDescent="0.25">
      <c r="B4766" s="545">
        <v>5744</v>
      </c>
      <c r="C4766" s="545" t="s">
        <v>7353</v>
      </c>
      <c r="D4766" s="669" t="s">
        <v>396</v>
      </c>
      <c r="E4766" s="546">
        <v>913</v>
      </c>
    </row>
    <row r="4767" spans="2:5" x14ac:dyDescent="0.25">
      <c r="B4767" s="545">
        <v>5745</v>
      </c>
      <c r="C4767" s="545" t="s">
        <v>6545</v>
      </c>
      <c r="D4767" s="669" t="s">
        <v>396</v>
      </c>
      <c r="E4767" s="546">
        <v>1001.216665</v>
      </c>
    </row>
    <row r="4768" spans="2:5" x14ac:dyDescent="0.25">
      <c r="B4768" s="545">
        <v>5746</v>
      </c>
      <c r="C4768" s="545" t="s">
        <v>6096</v>
      </c>
      <c r="D4768" s="669" t="s">
        <v>396</v>
      </c>
      <c r="E4768" s="546">
        <v>1111.7000009999999</v>
      </c>
    </row>
    <row r="4769" spans="2:5" x14ac:dyDescent="0.25">
      <c r="B4769" s="545">
        <v>5747</v>
      </c>
      <c r="C4769" s="545" t="s">
        <v>5766</v>
      </c>
      <c r="D4769" s="669" t="s">
        <v>396</v>
      </c>
      <c r="E4769" s="546">
        <v>957.46666500000003</v>
      </c>
    </row>
    <row r="4770" spans="2:5" x14ac:dyDescent="0.25">
      <c r="B4770" s="545">
        <v>5748</v>
      </c>
      <c r="C4770" s="545" t="s">
        <v>5580</v>
      </c>
      <c r="D4770" s="669" t="s">
        <v>396</v>
      </c>
      <c r="E4770" s="546">
        <v>908.09997599999997</v>
      </c>
    </row>
    <row r="4771" spans="2:5" x14ac:dyDescent="0.25">
      <c r="B4771" s="545">
        <v>5749</v>
      </c>
      <c r="C4771" s="545" t="s">
        <v>5653</v>
      </c>
      <c r="D4771" s="669" t="s">
        <v>396</v>
      </c>
      <c r="E4771" s="546">
        <v>925.39284799999996</v>
      </c>
    </row>
    <row r="4772" spans="2:5" x14ac:dyDescent="0.25">
      <c r="B4772" s="545">
        <v>5750</v>
      </c>
      <c r="C4772" s="545" t="s">
        <v>5601</v>
      </c>
      <c r="D4772" s="669" t="s">
        <v>396</v>
      </c>
      <c r="E4772" s="546">
        <v>911.74444600000004</v>
      </c>
    </row>
    <row r="4773" spans="2:5" x14ac:dyDescent="0.25">
      <c r="B4773" s="545">
        <v>5751</v>
      </c>
      <c r="C4773" s="545" t="s">
        <v>5772</v>
      </c>
      <c r="D4773" s="669" t="s">
        <v>396</v>
      </c>
      <c r="E4773" s="546">
        <v>959.22999600000003</v>
      </c>
    </row>
    <row r="4774" spans="2:5" x14ac:dyDescent="0.25">
      <c r="B4774" s="545">
        <v>5752</v>
      </c>
      <c r="C4774" s="545" t="s">
        <v>6226</v>
      </c>
      <c r="D4774" s="669" t="s">
        <v>396</v>
      </c>
      <c r="E4774" s="546">
        <v>1228.0999959999999</v>
      </c>
    </row>
    <row r="4775" spans="2:5" x14ac:dyDescent="0.25">
      <c r="B4775" s="545">
        <v>5753</v>
      </c>
      <c r="C4775" s="545" t="s">
        <v>6105</v>
      </c>
      <c r="D4775" s="669" t="s">
        <v>396</v>
      </c>
      <c r="E4775" s="546">
        <v>1120.3214330000001</v>
      </c>
    </row>
    <row r="4776" spans="2:5" x14ac:dyDescent="0.25">
      <c r="B4776" s="545">
        <v>5754</v>
      </c>
      <c r="C4776" s="545" t="s">
        <v>3474</v>
      </c>
      <c r="D4776" s="669" t="s">
        <v>396</v>
      </c>
      <c r="E4776" s="546">
        <v>979.10999500000003</v>
      </c>
    </row>
    <row r="4777" spans="2:5" x14ac:dyDescent="0.25">
      <c r="B4777" s="545">
        <v>5755</v>
      </c>
      <c r="C4777" s="545" t="s">
        <v>1204</v>
      </c>
      <c r="D4777" s="669" t="s">
        <v>396</v>
      </c>
      <c r="E4777" s="546">
        <v>912.13332100000002</v>
      </c>
    </row>
    <row r="4778" spans="2:5" x14ac:dyDescent="0.25">
      <c r="B4778" s="545">
        <v>5756</v>
      </c>
      <c r="C4778" s="545" t="s">
        <v>5734</v>
      </c>
      <c r="D4778" s="669" t="s">
        <v>396</v>
      </c>
      <c r="E4778" s="546">
        <v>949.85882600000002</v>
      </c>
    </row>
    <row r="4779" spans="2:5" x14ac:dyDescent="0.25">
      <c r="B4779" s="545">
        <v>5757</v>
      </c>
      <c r="C4779" s="545" t="s">
        <v>4395</v>
      </c>
      <c r="D4779" s="669" t="s">
        <v>396</v>
      </c>
      <c r="E4779" s="546">
        <v>915.13076100000001</v>
      </c>
    </row>
    <row r="4780" spans="2:5" x14ac:dyDescent="0.25">
      <c r="B4780" s="545">
        <v>5758</v>
      </c>
      <c r="C4780" s="545" t="s">
        <v>5583</v>
      </c>
      <c r="D4780" s="669" t="s">
        <v>396</v>
      </c>
      <c r="E4780" s="546">
        <v>908.369235</v>
      </c>
    </row>
    <row r="4781" spans="2:5" x14ac:dyDescent="0.25">
      <c r="B4781" s="545">
        <v>5759</v>
      </c>
      <c r="C4781" s="545" t="s">
        <v>5698</v>
      </c>
      <c r="D4781" s="669" t="s">
        <v>396</v>
      </c>
      <c r="E4781" s="546">
        <v>938.69999199999995</v>
      </c>
    </row>
    <row r="4782" spans="2:5" x14ac:dyDescent="0.25">
      <c r="B4782" s="545">
        <v>5760</v>
      </c>
      <c r="C4782" s="545" t="s">
        <v>5857</v>
      </c>
      <c r="D4782" s="669" t="s">
        <v>396</v>
      </c>
      <c r="E4782" s="546">
        <v>985.428585</v>
      </c>
    </row>
    <row r="4783" spans="2:5" x14ac:dyDescent="0.25">
      <c r="B4783" s="545">
        <v>5761</v>
      </c>
      <c r="C4783" s="545" t="s">
        <v>4261</v>
      </c>
      <c r="D4783" s="669" t="s">
        <v>396</v>
      </c>
      <c r="E4783" s="546">
        <v>960.29411400000004</v>
      </c>
    </row>
    <row r="4784" spans="2:5" x14ac:dyDescent="0.25">
      <c r="B4784" s="545">
        <v>5762</v>
      </c>
      <c r="C4784" s="545" t="s">
        <v>5622</v>
      </c>
      <c r="D4784" s="669" t="s">
        <v>396</v>
      </c>
      <c r="E4784" s="546">
        <v>917.14285700000005</v>
      </c>
    </row>
    <row r="4785" spans="2:5" x14ac:dyDescent="0.25">
      <c r="B4785" s="545">
        <v>5802</v>
      </c>
      <c r="C4785" s="545" t="s">
        <v>6082</v>
      </c>
      <c r="D4785" s="669" t="s">
        <v>394</v>
      </c>
      <c r="E4785" s="546">
        <v>1099.6944410000001</v>
      </c>
    </row>
    <row r="4786" spans="2:5" x14ac:dyDescent="0.25">
      <c r="B4786" s="545">
        <v>5803</v>
      </c>
      <c r="C4786" s="545" t="s">
        <v>6107</v>
      </c>
      <c r="D4786" s="669" t="s">
        <v>394</v>
      </c>
      <c r="E4786" s="546">
        <v>1122.6907409999999</v>
      </c>
    </row>
    <row r="4787" spans="2:5" x14ac:dyDescent="0.25">
      <c r="B4787" s="545">
        <v>5806</v>
      </c>
      <c r="C4787" s="545" t="s">
        <v>7244</v>
      </c>
      <c r="D4787" s="669" t="s">
        <v>394</v>
      </c>
      <c r="E4787" s="546">
        <v>1129.9205199999999</v>
      </c>
    </row>
    <row r="4788" spans="2:5" x14ac:dyDescent="0.25">
      <c r="B4788" s="545">
        <v>5807</v>
      </c>
      <c r="C4788" s="545" t="s">
        <v>6173</v>
      </c>
      <c r="D4788" s="669" t="s">
        <v>394</v>
      </c>
      <c r="E4788" s="546">
        <v>1176.139985</v>
      </c>
    </row>
    <row r="4789" spans="2:5" x14ac:dyDescent="0.25">
      <c r="B4789" s="545">
        <v>5808</v>
      </c>
      <c r="C4789" s="545" t="s">
        <v>7440</v>
      </c>
      <c r="D4789" s="669" t="s">
        <v>394</v>
      </c>
      <c r="E4789" s="546">
        <v>1114.51819</v>
      </c>
    </row>
    <row r="4790" spans="2:5" x14ac:dyDescent="0.25">
      <c r="B4790" s="545">
        <v>5809</v>
      </c>
      <c r="C4790" s="545" t="s">
        <v>6041</v>
      </c>
      <c r="D4790" s="669" t="s">
        <v>394</v>
      </c>
      <c r="E4790" s="546">
        <v>1075.6269110000001</v>
      </c>
    </row>
    <row r="4791" spans="2:5" x14ac:dyDescent="0.25">
      <c r="B4791" s="545">
        <v>5810</v>
      </c>
      <c r="C4791" s="545" t="s">
        <v>6116</v>
      </c>
      <c r="D4791" s="669" t="s">
        <v>394</v>
      </c>
      <c r="E4791" s="546">
        <v>1130.061913</v>
      </c>
    </row>
    <row r="4792" spans="2:5" x14ac:dyDescent="0.25">
      <c r="B4792" s="545">
        <v>5811</v>
      </c>
      <c r="C4792" s="545" t="s">
        <v>5893</v>
      </c>
      <c r="D4792" s="669" t="s">
        <v>394</v>
      </c>
      <c r="E4792" s="546">
        <v>996.10000300000002</v>
      </c>
    </row>
    <row r="4793" spans="2:5" x14ac:dyDescent="0.25">
      <c r="B4793" s="545">
        <v>5812</v>
      </c>
      <c r="C4793" s="545" t="s">
        <v>5941</v>
      </c>
      <c r="D4793" s="669" t="s">
        <v>394</v>
      </c>
      <c r="E4793" s="546">
        <v>1021.690918</v>
      </c>
    </row>
    <row r="4794" spans="2:5" x14ac:dyDescent="0.25">
      <c r="B4794" s="545">
        <v>5813</v>
      </c>
      <c r="C4794" s="545" t="s">
        <v>6857</v>
      </c>
      <c r="D4794" s="669" t="s">
        <v>394</v>
      </c>
      <c r="E4794" s="546">
        <v>997.63332800000001</v>
      </c>
    </row>
    <row r="4795" spans="2:5" x14ac:dyDescent="0.25">
      <c r="B4795" s="545">
        <v>5814</v>
      </c>
      <c r="C4795" s="545" t="s">
        <v>5936</v>
      </c>
      <c r="D4795" s="669" t="s">
        <v>394</v>
      </c>
      <c r="E4795" s="546">
        <v>1018.212494</v>
      </c>
    </row>
    <row r="4796" spans="2:5" x14ac:dyDescent="0.25">
      <c r="B4796" s="545">
        <v>5815</v>
      </c>
      <c r="C4796" s="545" t="s">
        <v>5869</v>
      </c>
      <c r="D4796" s="669" t="s">
        <v>394</v>
      </c>
      <c r="E4796" s="546">
        <v>987.19999199999995</v>
      </c>
    </row>
    <row r="4797" spans="2:5" x14ac:dyDescent="0.25">
      <c r="B4797" s="545">
        <v>5816</v>
      </c>
      <c r="C4797" s="545" t="s">
        <v>848</v>
      </c>
      <c r="D4797" s="669" t="s">
        <v>394</v>
      </c>
      <c r="E4797" s="546">
        <v>1030.58572</v>
      </c>
    </row>
    <row r="4798" spans="2:5" x14ac:dyDescent="0.25">
      <c r="B4798" s="545">
        <v>5817</v>
      </c>
      <c r="C4798" s="545" t="s">
        <v>5861</v>
      </c>
      <c r="D4798" s="669" t="s">
        <v>394</v>
      </c>
      <c r="E4798" s="546">
        <v>985.96666000000005</v>
      </c>
    </row>
    <row r="4799" spans="2:5" x14ac:dyDescent="0.25">
      <c r="B4799" s="545">
        <v>5818</v>
      </c>
      <c r="C4799" s="545" t="s">
        <v>5862</v>
      </c>
      <c r="D4799" s="669" t="s">
        <v>394</v>
      </c>
      <c r="E4799" s="546">
        <v>986.24166400000001</v>
      </c>
    </row>
    <row r="4800" spans="2:5" x14ac:dyDescent="0.25">
      <c r="B4800" s="545">
        <v>5819</v>
      </c>
      <c r="C4800" s="545" t="s">
        <v>5864</v>
      </c>
      <c r="D4800" s="669" t="s">
        <v>394</v>
      </c>
      <c r="E4800" s="546">
        <v>986.54286000000002</v>
      </c>
    </row>
    <row r="4801" spans="2:5" x14ac:dyDescent="0.25">
      <c r="B4801" s="545">
        <v>5820</v>
      </c>
      <c r="C4801" s="545" t="s">
        <v>6067</v>
      </c>
      <c r="D4801" s="669" t="s">
        <v>394</v>
      </c>
      <c r="E4801" s="546">
        <v>1091.2375070000001</v>
      </c>
    </row>
    <row r="4802" spans="2:5" x14ac:dyDescent="0.25">
      <c r="B4802" s="545">
        <v>5821</v>
      </c>
      <c r="C4802" s="545" t="s">
        <v>6129</v>
      </c>
      <c r="D4802" s="669" t="s">
        <v>394</v>
      </c>
      <c r="E4802" s="546">
        <v>1144.309082</v>
      </c>
    </row>
    <row r="4803" spans="2:5" x14ac:dyDescent="0.25">
      <c r="B4803" s="545">
        <v>5822</v>
      </c>
      <c r="C4803" s="545" t="s">
        <v>6160</v>
      </c>
      <c r="D4803" s="669" t="s">
        <v>394</v>
      </c>
      <c r="E4803" s="546">
        <v>1160.037934</v>
      </c>
    </row>
    <row r="4804" spans="2:5" x14ac:dyDescent="0.25">
      <c r="B4804" s="545">
        <v>5823</v>
      </c>
      <c r="C4804" s="545" t="s">
        <v>6801</v>
      </c>
      <c r="D4804" s="669" t="s">
        <v>394</v>
      </c>
      <c r="E4804" s="546">
        <v>935.81667100000004</v>
      </c>
    </row>
    <row r="4805" spans="2:5" x14ac:dyDescent="0.25">
      <c r="B4805" s="545">
        <v>5824</v>
      </c>
      <c r="C4805" s="545" t="s">
        <v>6907</v>
      </c>
      <c r="D4805" s="669" t="s">
        <v>394</v>
      </c>
      <c r="E4805" s="546">
        <v>981.42222800000002</v>
      </c>
    </row>
    <row r="4806" spans="2:5" x14ac:dyDescent="0.25">
      <c r="B4806" s="545">
        <v>5825</v>
      </c>
      <c r="C4806" s="545" t="s">
        <v>5729</v>
      </c>
      <c r="D4806" s="669" t="s">
        <v>394</v>
      </c>
      <c r="E4806" s="546">
        <v>947.65000899999995</v>
      </c>
    </row>
    <row r="4807" spans="2:5" x14ac:dyDescent="0.25">
      <c r="B4807" s="545">
        <v>5826</v>
      </c>
      <c r="C4807" s="545" t="s">
        <v>6544</v>
      </c>
      <c r="D4807" s="669" t="s">
        <v>394</v>
      </c>
      <c r="E4807" s="546">
        <v>946.5</v>
      </c>
    </row>
    <row r="4808" spans="2:5" x14ac:dyDescent="0.25">
      <c r="B4808" s="545">
        <v>5827</v>
      </c>
      <c r="C4808" s="545" t="s">
        <v>5698</v>
      </c>
      <c r="D4808" s="669" t="s">
        <v>394</v>
      </c>
      <c r="E4808" s="546">
        <v>983.14285700000005</v>
      </c>
    </row>
    <row r="4809" spans="2:5" x14ac:dyDescent="0.25">
      <c r="B4809" s="545">
        <v>5828</v>
      </c>
      <c r="C4809" s="545" t="s">
        <v>5933</v>
      </c>
      <c r="D4809" s="669" t="s">
        <v>394</v>
      </c>
      <c r="E4809" s="546">
        <v>1016.5</v>
      </c>
    </row>
    <row r="4810" spans="2:5" x14ac:dyDescent="0.25">
      <c r="B4810" s="545">
        <v>5829</v>
      </c>
      <c r="C4810" s="545" t="s">
        <v>6483</v>
      </c>
      <c r="D4810" s="669" t="s">
        <v>394</v>
      </c>
      <c r="E4810" s="546">
        <v>1074.978572</v>
      </c>
    </row>
    <row r="4811" spans="2:5" x14ac:dyDescent="0.25">
      <c r="B4811" s="545">
        <v>5831</v>
      </c>
      <c r="C4811" s="545" t="s">
        <v>5999</v>
      </c>
      <c r="D4811" s="669" t="s">
        <v>394</v>
      </c>
      <c r="E4811" s="546">
        <v>1046.1999969999999</v>
      </c>
    </row>
    <row r="4812" spans="2:5" x14ac:dyDescent="0.25">
      <c r="B4812" s="545">
        <v>5832</v>
      </c>
      <c r="C4812" s="545" t="s">
        <v>5832</v>
      </c>
      <c r="D4812" s="669" t="s">
        <v>394</v>
      </c>
      <c r="E4812" s="546">
        <v>975.671426</v>
      </c>
    </row>
    <row r="4813" spans="2:5" x14ac:dyDescent="0.25">
      <c r="B4813" s="545">
        <v>5833</v>
      </c>
      <c r="C4813" s="545" t="s">
        <v>5770</v>
      </c>
      <c r="D4813" s="669" t="s">
        <v>394</v>
      </c>
      <c r="E4813" s="546">
        <v>958.78749800000003</v>
      </c>
    </row>
    <row r="4814" spans="2:5" x14ac:dyDescent="0.25">
      <c r="B4814" s="545">
        <v>5834</v>
      </c>
      <c r="C4814" s="545" t="s">
        <v>6514</v>
      </c>
      <c r="D4814" s="669" t="s">
        <v>394</v>
      </c>
      <c r="E4814" s="546">
        <v>996.29998799999998</v>
      </c>
    </row>
    <row r="4815" spans="2:5" x14ac:dyDescent="0.25">
      <c r="B4815" s="545">
        <v>5835</v>
      </c>
      <c r="C4815" s="545" t="s">
        <v>5990</v>
      </c>
      <c r="D4815" s="669" t="s">
        <v>394</v>
      </c>
      <c r="E4815" s="546">
        <v>1044.1750030000001</v>
      </c>
    </row>
    <row r="4816" spans="2:5" x14ac:dyDescent="0.25">
      <c r="B4816" s="545">
        <v>5836</v>
      </c>
      <c r="C4816" s="545" t="s">
        <v>5952</v>
      </c>
      <c r="D4816" s="669" t="s">
        <v>394</v>
      </c>
      <c r="E4816" s="546">
        <v>1027.753845</v>
      </c>
    </row>
    <row r="4817" spans="2:5" x14ac:dyDescent="0.25">
      <c r="B4817" s="545">
        <v>5837</v>
      </c>
      <c r="C4817" s="545" t="s">
        <v>5989</v>
      </c>
      <c r="D4817" s="669" t="s">
        <v>394</v>
      </c>
      <c r="E4817" s="546">
        <v>1043.974976</v>
      </c>
    </row>
    <row r="4818" spans="2:5" x14ac:dyDescent="0.25">
      <c r="B4818" s="545">
        <v>5838</v>
      </c>
      <c r="C4818" s="545" t="s">
        <v>2546</v>
      </c>
      <c r="D4818" s="669" t="s">
        <v>394</v>
      </c>
      <c r="E4818" s="546">
        <v>958.52222400000005</v>
      </c>
    </row>
    <row r="4819" spans="2:5" x14ac:dyDescent="0.25">
      <c r="B4819" s="545">
        <v>5839</v>
      </c>
      <c r="C4819" s="545" t="s">
        <v>5775</v>
      </c>
      <c r="D4819" s="669" t="s">
        <v>394</v>
      </c>
      <c r="E4819" s="546">
        <v>960.57501200000002</v>
      </c>
    </row>
    <row r="4820" spans="2:5" x14ac:dyDescent="0.25">
      <c r="B4820" s="545">
        <v>5840</v>
      </c>
      <c r="C4820" s="545" t="s">
        <v>5840</v>
      </c>
      <c r="D4820" s="669" t="s">
        <v>394</v>
      </c>
      <c r="E4820" s="546">
        <v>979.09999600000003</v>
      </c>
    </row>
    <row r="4821" spans="2:5" x14ac:dyDescent="0.25">
      <c r="B4821" s="545">
        <v>5841</v>
      </c>
      <c r="C4821" s="545" t="s">
        <v>5769</v>
      </c>
      <c r="D4821" s="669" t="s">
        <v>394</v>
      </c>
      <c r="E4821" s="546">
        <v>958.51429099999996</v>
      </c>
    </row>
    <row r="4822" spans="2:5" x14ac:dyDescent="0.25">
      <c r="B4822" s="545">
        <v>5842</v>
      </c>
      <c r="C4822" s="545" t="s">
        <v>5877</v>
      </c>
      <c r="D4822" s="669" t="s">
        <v>394</v>
      </c>
      <c r="E4822" s="546">
        <v>991.60000600000001</v>
      </c>
    </row>
    <row r="4823" spans="2:5" x14ac:dyDescent="0.25">
      <c r="B4823" s="545">
        <v>5843</v>
      </c>
      <c r="C4823" s="545" t="s">
        <v>5459</v>
      </c>
      <c r="D4823" s="669" t="s">
        <v>394</v>
      </c>
      <c r="E4823" s="546">
        <v>889.54286000000002</v>
      </c>
    </row>
    <row r="4824" spans="2:5" x14ac:dyDescent="0.25">
      <c r="B4824" s="545">
        <v>5844</v>
      </c>
      <c r="C4824" s="545" t="s">
        <v>5641</v>
      </c>
      <c r="D4824" s="669" t="s">
        <v>394</v>
      </c>
      <c r="E4824" s="546">
        <v>923.30769699999996</v>
      </c>
    </row>
    <row r="4825" spans="2:5" x14ac:dyDescent="0.25">
      <c r="B4825" s="545">
        <v>5845</v>
      </c>
      <c r="C4825" s="545" t="s">
        <v>6479</v>
      </c>
      <c r="D4825" s="669" t="s">
        <v>394</v>
      </c>
      <c r="E4825" s="546">
        <v>936.78572299999996</v>
      </c>
    </row>
    <row r="4826" spans="2:5" x14ac:dyDescent="0.25">
      <c r="B4826" s="545">
        <v>5846</v>
      </c>
      <c r="C4826" s="545" t="s">
        <v>5839</v>
      </c>
      <c r="D4826" s="669" t="s">
        <v>394</v>
      </c>
      <c r="E4826" s="546">
        <v>978.57499700000005</v>
      </c>
    </row>
    <row r="4827" spans="2:5" x14ac:dyDescent="0.25">
      <c r="B4827" s="545">
        <v>5847</v>
      </c>
      <c r="C4827" s="545" t="s">
        <v>5706</v>
      </c>
      <c r="D4827" s="669" t="s">
        <v>394</v>
      </c>
      <c r="E4827" s="546">
        <v>940.44998199999998</v>
      </c>
    </row>
    <row r="4828" spans="2:5" x14ac:dyDescent="0.25">
      <c r="B4828" s="545">
        <v>5848</v>
      </c>
      <c r="C4828" s="545" t="s">
        <v>5915</v>
      </c>
      <c r="D4828" s="669" t="s">
        <v>394</v>
      </c>
      <c r="E4828" s="546">
        <v>1006.787506</v>
      </c>
    </row>
    <row r="4829" spans="2:5" x14ac:dyDescent="0.25">
      <c r="B4829" s="545">
        <v>5849</v>
      </c>
      <c r="C4829" s="545" t="s">
        <v>5913</v>
      </c>
      <c r="D4829" s="669" t="s">
        <v>394</v>
      </c>
      <c r="E4829" s="546">
        <v>1006.207679</v>
      </c>
    </row>
    <row r="4830" spans="2:5" x14ac:dyDescent="0.25">
      <c r="B4830" s="545">
        <v>5850</v>
      </c>
      <c r="C4830" s="545" t="s">
        <v>5965</v>
      </c>
      <c r="D4830" s="669" t="s">
        <v>394</v>
      </c>
      <c r="E4830" s="546">
        <v>1034.633335</v>
      </c>
    </row>
    <row r="4831" spans="2:5" x14ac:dyDescent="0.25">
      <c r="B4831" s="545">
        <v>5851</v>
      </c>
      <c r="C4831" s="545" t="s">
        <v>6143</v>
      </c>
      <c r="D4831" s="669" t="s">
        <v>394</v>
      </c>
      <c r="E4831" s="546">
        <v>1150.636358</v>
      </c>
    </row>
    <row r="4832" spans="2:5" x14ac:dyDescent="0.25">
      <c r="B4832" s="545">
        <v>5852</v>
      </c>
      <c r="C4832" s="545" t="s">
        <v>4162</v>
      </c>
      <c r="D4832" s="669" t="s">
        <v>394</v>
      </c>
      <c r="E4832" s="546">
        <v>1171.0666639999999</v>
      </c>
    </row>
    <row r="4833" spans="2:5" x14ac:dyDescent="0.25">
      <c r="B4833" s="545">
        <v>5853</v>
      </c>
      <c r="C4833" s="545" t="s">
        <v>5850</v>
      </c>
      <c r="D4833" s="669" t="s">
        <v>394</v>
      </c>
      <c r="E4833" s="546">
        <v>982.36363600000004</v>
      </c>
    </row>
    <row r="4834" spans="2:5" x14ac:dyDescent="0.25">
      <c r="B4834" s="545">
        <v>5854</v>
      </c>
      <c r="C4834" s="545" t="s">
        <v>5824</v>
      </c>
      <c r="D4834" s="669" t="s">
        <v>394</v>
      </c>
      <c r="E4834" s="546">
        <v>973.47499800000003</v>
      </c>
    </row>
    <row r="4835" spans="2:5" x14ac:dyDescent="0.25">
      <c r="B4835" s="545">
        <v>5855</v>
      </c>
      <c r="C4835" s="545" t="s">
        <v>5888</v>
      </c>
      <c r="D4835" s="669" t="s">
        <v>394</v>
      </c>
      <c r="E4835" s="546">
        <v>994.47367799999995</v>
      </c>
    </row>
    <row r="4836" spans="2:5" x14ac:dyDescent="0.25">
      <c r="B4836" s="545">
        <v>5856</v>
      </c>
      <c r="C4836" s="545" t="s">
        <v>6750</v>
      </c>
      <c r="D4836" s="669" t="s">
        <v>394</v>
      </c>
      <c r="E4836" s="546">
        <v>964.89999399999999</v>
      </c>
    </row>
    <row r="4837" spans="2:5" x14ac:dyDescent="0.25">
      <c r="B4837" s="545">
        <v>5857</v>
      </c>
      <c r="C4837" s="545" t="s">
        <v>2323</v>
      </c>
      <c r="D4837" s="669" t="s">
        <v>394</v>
      </c>
      <c r="E4837" s="546">
        <v>975.51250500000003</v>
      </c>
    </row>
    <row r="4838" spans="2:5" x14ac:dyDescent="0.25">
      <c r="B4838" s="545">
        <v>5858</v>
      </c>
      <c r="C4838" s="545" t="s">
        <v>5726</v>
      </c>
      <c r="D4838" s="669" t="s">
        <v>394</v>
      </c>
      <c r="E4838" s="546">
        <v>946.84545900000001</v>
      </c>
    </row>
    <row r="4839" spans="2:5" x14ac:dyDescent="0.25">
      <c r="B4839" s="545">
        <v>5859</v>
      </c>
      <c r="C4839" s="545" t="s">
        <v>5424</v>
      </c>
      <c r="D4839" s="669" t="s">
        <v>394</v>
      </c>
      <c r="E4839" s="546">
        <v>883.28000499999996</v>
      </c>
    </row>
    <row r="4840" spans="2:5" x14ac:dyDescent="0.25">
      <c r="B4840" s="545">
        <v>5860</v>
      </c>
      <c r="C4840" s="545" t="s">
        <v>5561</v>
      </c>
      <c r="D4840" s="669" t="s">
        <v>394</v>
      </c>
      <c r="E4840" s="546">
        <v>906.43332199999998</v>
      </c>
    </row>
    <row r="4841" spans="2:5" x14ac:dyDescent="0.25">
      <c r="B4841" s="545">
        <v>5861</v>
      </c>
      <c r="C4841" s="545" t="s">
        <v>7327</v>
      </c>
      <c r="D4841" s="669" t="s">
        <v>394</v>
      </c>
      <c r="E4841" s="546">
        <v>879.39000199999998</v>
      </c>
    </row>
    <row r="4842" spans="2:5" x14ac:dyDescent="0.25">
      <c r="B4842" s="545">
        <v>5862</v>
      </c>
      <c r="C4842" s="545" t="s">
        <v>3707</v>
      </c>
      <c r="D4842" s="669" t="s">
        <v>394</v>
      </c>
      <c r="E4842" s="546">
        <v>924.66666699999996</v>
      </c>
    </row>
    <row r="4843" spans="2:5" x14ac:dyDescent="0.25">
      <c r="B4843" s="545">
        <v>5863</v>
      </c>
      <c r="C4843" s="545" t="s">
        <v>5752</v>
      </c>
      <c r="D4843" s="669" t="s">
        <v>394</v>
      </c>
      <c r="E4843" s="546">
        <v>953.77333199999998</v>
      </c>
    </row>
    <row r="4844" spans="2:5" x14ac:dyDescent="0.25">
      <c r="B4844" s="545">
        <v>5864</v>
      </c>
      <c r="C4844" s="545" t="s">
        <v>6577</v>
      </c>
      <c r="D4844" s="669" t="s">
        <v>394</v>
      </c>
      <c r="E4844" s="546">
        <v>959.38333599999999</v>
      </c>
    </row>
    <row r="4845" spans="2:5" x14ac:dyDescent="0.25">
      <c r="B4845" s="545">
        <v>5865</v>
      </c>
      <c r="C4845" s="545" t="s">
        <v>6763</v>
      </c>
      <c r="D4845" s="669" t="s">
        <v>394</v>
      </c>
      <c r="E4845" s="546">
        <v>1012.64284</v>
      </c>
    </row>
    <row r="4846" spans="2:5" x14ac:dyDescent="0.25">
      <c r="B4846" s="545">
        <v>5866</v>
      </c>
      <c r="C4846" s="545" t="s">
        <v>6078</v>
      </c>
      <c r="D4846" s="669" t="s">
        <v>394</v>
      </c>
      <c r="E4846" s="546">
        <v>1097.6499940000001</v>
      </c>
    </row>
    <row r="4847" spans="2:5" x14ac:dyDescent="0.25">
      <c r="B4847" s="545">
        <v>5867</v>
      </c>
      <c r="C4847" s="545" t="s">
        <v>5959</v>
      </c>
      <c r="D4847" s="669" t="s">
        <v>394</v>
      </c>
      <c r="E4847" s="546">
        <v>1031.633331</v>
      </c>
    </row>
    <row r="4848" spans="2:5" x14ac:dyDescent="0.25">
      <c r="B4848" s="545">
        <v>5868</v>
      </c>
      <c r="C4848" s="545" t="s">
        <v>6087</v>
      </c>
      <c r="D4848" s="669" t="s">
        <v>394</v>
      </c>
      <c r="E4848" s="546">
        <v>1102.8062629999999</v>
      </c>
    </row>
    <row r="4849" spans="2:5" x14ac:dyDescent="0.25">
      <c r="B4849" s="545">
        <v>5869</v>
      </c>
      <c r="C4849" s="545" t="s">
        <v>6142</v>
      </c>
      <c r="D4849" s="669" t="s">
        <v>394</v>
      </c>
      <c r="E4849" s="546">
        <v>1150.226919</v>
      </c>
    </row>
    <row r="4850" spans="2:5" x14ac:dyDescent="0.25">
      <c r="B4850" s="545">
        <v>5870</v>
      </c>
      <c r="C4850" s="545" t="s">
        <v>7121</v>
      </c>
      <c r="D4850" s="669" t="s">
        <v>394</v>
      </c>
      <c r="E4850" s="546">
        <v>1030.833333</v>
      </c>
    </row>
    <row r="4851" spans="2:5" x14ac:dyDescent="0.25">
      <c r="B4851" s="545">
        <v>5871</v>
      </c>
      <c r="C4851" s="545" t="s">
        <v>6768</v>
      </c>
      <c r="D4851" s="669" t="s">
        <v>394</v>
      </c>
      <c r="E4851" s="546">
        <v>876.63332800000001</v>
      </c>
    </row>
    <row r="4852" spans="2:5" x14ac:dyDescent="0.25">
      <c r="B4852" s="545">
        <v>5872</v>
      </c>
      <c r="C4852" s="545" t="s">
        <v>5297</v>
      </c>
      <c r="D4852" s="669" t="s">
        <v>394</v>
      </c>
      <c r="E4852" s="546">
        <v>861.125</v>
      </c>
    </row>
    <row r="4853" spans="2:5" x14ac:dyDescent="0.25">
      <c r="B4853" s="545">
        <v>5873</v>
      </c>
      <c r="C4853" s="545" t="s">
        <v>700</v>
      </c>
      <c r="D4853" s="669" t="s">
        <v>394</v>
      </c>
      <c r="E4853" s="546">
        <v>897.68000500000005</v>
      </c>
    </row>
    <row r="4854" spans="2:5" x14ac:dyDescent="0.25">
      <c r="B4854" s="545">
        <v>5874</v>
      </c>
      <c r="C4854" s="545" t="s">
        <v>6525</v>
      </c>
      <c r="D4854" s="669" t="s">
        <v>394</v>
      </c>
      <c r="E4854" s="546">
        <v>848.29998799999998</v>
      </c>
    </row>
    <row r="4855" spans="2:5" x14ac:dyDescent="0.25">
      <c r="B4855" s="545">
        <v>5875</v>
      </c>
      <c r="C4855" s="545" t="s">
        <v>6524</v>
      </c>
      <c r="D4855" s="669" t="s">
        <v>394</v>
      </c>
      <c r="E4855" s="546">
        <v>895.13999000000001</v>
      </c>
    </row>
    <row r="4856" spans="2:5" x14ac:dyDescent="0.25">
      <c r="B4856" s="545">
        <v>5876</v>
      </c>
      <c r="C4856" s="545" t="s">
        <v>5720</v>
      </c>
      <c r="D4856" s="669" t="s">
        <v>394</v>
      </c>
      <c r="E4856" s="546">
        <v>944.90000199999997</v>
      </c>
    </row>
    <row r="4857" spans="2:5" x14ac:dyDescent="0.25">
      <c r="B4857" s="545">
        <v>5877</v>
      </c>
      <c r="C4857" s="545" t="s">
        <v>5804</v>
      </c>
      <c r="D4857" s="669" t="s">
        <v>394</v>
      </c>
      <c r="E4857" s="546">
        <v>966.60000300000002</v>
      </c>
    </row>
    <row r="4858" spans="2:5" x14ac:dyDescent="0.25">
      <c r="B4858" s="545">
        <v>5878</v>
      </c>
      <c r="C4858" s="545" t="s">
        <v>5900</v>
      </c>
      <c r="D4858" s="669" t="s">
        <v>394</v>
      </c>
      <c r="E4858" s="546">
        <v>998.12221999999997</v>
      </c>
    </row>
    <row r="4859" spans="2:5" x14ac:dyDescent="0.25">
      <c r="B4859" s="545">
        <v>5879</v>
      </c>
      <c r="C4859" s="545" t="s">
        <v>5863</v>
      </c>
      <c r="D4859" s="669" t="s">
        <v>394</v>
      </c>
      <c r="E4859" s="546">
        <v>986.36251100000004</v>
      </c>
    </row>
    <row r="4860" spans="2:5" x14ac:dyDescent="0.25">
      <c r="B4860" s="545">
        <v>5880</v>
      </c>
      <c r="C4860" s="545" t="s">
        <v>7069</v>
      </c>
      <c r="D4860" s="669" t="s">
        <v>394</v>
      </c>
      <c r="E4860" s="546">
        <v>988.63334099999997</v>
      </c>
    </row>
    <row r="4861" spans="2:5" x14ac:dyDescent="0.25">
      <c r="B4861" s="545">
        <v>5881</v>
      </c>
      <c r="C4861" s="545" t="s">
        <v>7552</v>
      </c>
      <c r="D4861" s="669" t="s">
        <v>394</v>
      </c>
      <c r="E4861" s="546">
        <v>970.22666400000003</v>
      </c>
    </row>
    <row r="4862" spans="2:5" x14ac:dyDescent="0.25">
      <c r="B4862" s="545">
        <v>5882</v>
      </c>
      <c r="C4862" s="545" t="s">
        <v>5881</v>
      </c>
      <c r="D4862" s="669" t="s">
        <v>394</v>
      </c>
      <c r="E4862" s="546">
        <v>992.71667500000001</v>
      </c>
    </row>
    <row r="4863" spans="2:5" x14ac:dyDescent="0.25">
      <c r="B4863" s="545">
        <v>5883</v>
      </c>
      <c r="C4863" s="545" t="s">
        <v>5842</v>
      </c>
      <c r="D4863" s="669" t="s">
        <v>394</v>
      </c>
      <c r="E4863" s="546">
        <v>979.56665699999996</v>
      </c>
    </row>
    <row r="4864" spans="2:5" x14ac:dyDescent="0.25">
      <c r="B4864" s="545">
        <v>5884</v>
      </c>
      <c r="C4864" s="545" t="s">
        <v>5948</v>
      </c>
      <c r="D4864" s="669" t="s">
        <v>394</v>
      </c>
      <c r="E4864" s="546">
        <v>1026.7624820000001</v>
      </c>
    </row>
    <row r="4865" spans="2:5" x14ac:dyDescent="0.25">
      <c r="B4865" s="545">
        <v>5885</v>
      </c>
      <c r="C4865" s="545" t="s">
        <v>5895</v>
      </c>
      <c r="D4865" s="669" t="s">
        <v>394</v>
      </c>
      <c r="E4865" s="546">
        <v>996.25</v>
      </c>
    </row>
    <row r="4866" spans="2:5" x14ac:dyDescent="0.25">
      <c r="B4866" s="545">
        <v>5901</v>
      </c>
      <c r="C4866" s="545" t="s">
        <v>4252</v>
      </c>
      <c r="D4866" s="669" t="s">
        <v>393</v>
      </c>
      <c r="E4866" s="546">
        <v>1044.6062549999999</v>
      </c>
    </row>
    <row r="4867" spans="2:5" x14ac:dyDescent="0.25">
      <c r="B4867" s="545">
        <v>5902</v>
      </c>
      <c r="C4867" s="545" t="s">
        <v>6092</v>
      </c>
      <c r="D4867" s="669" t="s">
        <v>393</v>
      </c>
      <c r="E4867" s="546">
        <v>1108.2200029999999</v>
      </c>
    </row>
    <row r="4868" spans="2:5" x14ac:dyDescent="0.25">
      <c r="B4868" s="545">
        <v>5903</v>
      </c>
      <c r="C4868" s="545" t="s">
        <v>5841</v>
      </c>
      <c r="D4868" s="669" t="s">
        <v>393</v>
      </c>
      <c r="E4868" s="546">
        <v>979.13332800000001</v>
      </c>
    </row>
    <row r="4869" spans="2:5" x14ac:dyDescent="0.25">
      <c r="B4869" s="545">
        <v>5904</v>
      </c>
      <c r="C4869" s="545" t="s">
        <v>6172</v>
      </c>
      <c r="D4869" s="669" t="s">
        <v>393</v>
      </c>
      <c r="E4869" s="546">
        <v>1174.2071530000001</v>
      </c>
    </row>
    <row r="4870" spans="2:5" x14ac:dyDescent="0.25">
      <c r="B4870" s="545">
        <v>5905</v>
      </c>
      <c r="C4870" s="545" t="s">
        <v>2678</v>
      </c>
      <c r="D4870" s="669" t="s">
        <v>393</v>
      </c>
      <c r="E4870" s="546">
        <v>1083.9200069999999</v>
      </c>
    </row>
    <row r="4871" spans="2:5" x14ac:dyDescent="0.25">
      <c r="B4871" s="545">
        <v>5906</v>
      </c>
      <c r="C4871" s="545" t="s">
        <v>2849</v>
      </c>
      <c r="D4871" s="669" t="s">
        <v>393</v>
      </c>
      <c r="E4871" s="546">
        <v>1194.9142890000001</v>
      </c>
    </row>
    <row r="4872" spans="2:5" x14ac:dyDescent="0.25">
      <c r="B4872" s="545">
        <v>5907</v>
      </c>
      <c r="C4872" s="545" t="s">
        <v>6247</v>
      </c>
      <c r="D4872" s="669" t="s">
        <v>393</v>
      </c>
      <c r="E4872" s="546">
        <v>1248.133335</v>
      </c>
    </row>
    <row r="4873" spans="2:5" x14ac:dyDescent="0.25">
      <c r="B4873" s="545">
        <v>5908</v>
      </c>
      <c r="C4873" s="545" t="s">
        <v>5174</v>
      </c>
      <c r="D4873" s="669" t="s">
        <v>393</v>
      </c>
      <c r="E4873" s="546">
        <v>841.48571800000002</v>
      </c>
    </row>
    <row r="4874" spans="2:5" x14ac:dyDescent="0.25">
      <c r="B4874" s="545">
        <v>5909</v>
      </c>
      <c r="C4874" s="545" t="s">
        <v>5588</v>
      </c>
      <c r="D4874" s="669" t="s">
        <v>393</v>
      </c>
      <c r="E4874" s="546">
        <v>909.73999000000003</v>
      </c>
    </row>
    <row r="4875" spans="2:5" x14ac:dyDescent="0.25">
      <c r="B4875" s="545">
        <v>5910</v>
      </c>
      <c r="C4875" s="545" t="s">
        <v>5066</v>
      </c>
      <c r="D4875" s="669" t="s">
        <v>393</v>
      </c>
      <c r="E4875" s="546">
        <v>830.10666900000001</v>
      </c>
    </row>
    <row r="4876" spans="2:5" x14ac:dyDescent="0.25">
      <c r="B4876" s="545">
        <v>5911</v>
      </c>
      <c r="C4876" s="545" t="s">
        <v>5546</v>
      </c>
      <c r="D4876" s="669" t="s">
        <v>393</v>
      </c>
      <c r="E4876" s="546">
        <v>902.80908799999997</v>
      </c>
    </row>
    <row r="4877" spans="2:5" x14ac:dyDescent="0.25">
      <c r="B4877" s="545">
        <v>5912</v>
      </c>
      <c r="C4877" s="545" t="s">
        <v>4962</v>
      </c>
      <c r="D4877" s="669" t="s">
        <v>393</v>
      </c>
      <c r="E4877" s="546">
        <v>818.13124800000003</v>
      </c>
    </row>
    <row r="4878" spans="2:5" x14ac:dyDescent="0.25">
      <c r="B4878" s="545">
        <v>5913</v>
      </c>
      <c r="C4878" s="545" t="s">
        <v>4765</v>
      </c>
      <c r="D4878" s="669" t="s">
        <v>393</v>
      </c>
      <c r="E4878" s="546">
        <v>801.44287099999997</v>
      </c>
    </row>
    <row r="4879" spans="2:5" x14ac:dyDescent="0.25">
      <c r="B4879" s="545">
        <v>5914</v>
      </c>
      <c r="C4879" s="545" t="s">
        <v>5521</v>
      </c>
      <c r="D4879" s="669" t="s">
        <v>393</v>
      </c>
      <c r="E4879" s="546">
        <v>899.139996</v>
      </c>
    </row>
    <row r="4880" spans="2:5" x14ac:dyDescent="0.25">
      <c r="B4880" s="545">
        <v>5915</v>
      </c>
      <c r="C4880" s="545" t="s">
        <v>393</v>
      </c>
      <c r="D4880" s="669" t="s">
        <v>393</v>
      </c>
      <c r="E4880" s="546">
        <v>852.85998500000005</v>
      </c>
    </row>
    <row r="4881" spans="2:5" x14ac:dyDescent="0.25">
      <c r="B4881" s="545">
        <v>5916</v>
      </c>
      <c r="C4881" s="545" t="s">
        <v>5953</v>
      </c>
      <c r="D4881" s="669" t="s">
        <v>393</v>
      </c>
      <c r="E4881" s="546">
        <v>1027.950006</v>
      </c>
    </row>
    <row r="4882" spans="2:5" x14ac:dyDescent="0.25">
      <c r="B4882" s="545">
        <v>5917</v>
      </c>
      <c r="C4882" s="545" t="s">
        <v>6265</v>
      </c>
      <c r="D4882" s="669" t="s">
        <v>393</v>
      </c>
      <c r="E4882" s="546">
        <v>1285.2461499999999</v>
      </c>
    </row>
    <row r="4883" spans="2:5" x14ac:dyDescent="0.25">
      <c r="B4883" s="545">
        <v>5918</v>
      </c>
      <c r="C4883" s="545" t="s">
        <v>5642</v>
      </c>
      <c r="D4883" s="669" t="s">
        <v>393</v>
      </c>
      <c r="E4883" s="546">
        <v>923.32499700000005</v>
      </c>
    </row>
    <row r="4884" spans="2:5" x14ac:dyDescent="0.25">
      <c r="B4884" s="545">
        <v>5919</v>
      </c>
      <c r="C4884" s="545" t="s">
        <v>5688</v>
      </c>
      <c r="D4884" s="669" t="s">
        <v>393</v>
      </c>
      <c r="E4884" s="546">
        <v>935.16923199999997</v>
      </c>
    </row>
    <row r="4885" spans="2:5" x14ac:dyDescent="0.25">
      <c r="B4885" s="545">
        <v>5920</v>
      </c>
      <c r="C4885" s="545" t="s">
        <v>6102</v>
      </c>
      <c r="D4885" s="669" t="s">
        <v>393</v>
      </c>
      <c r="E4885" s="546">
        <v>1118.459985</v>
      </c>
    </row>
    <row r="4886" spans="2:5" x14ac:dyDescent="0.25">
      <c r="B4886" s="545">
        <v>5921</v>
      </c>
      <c r="C4886" s="545" t="s">
        <v>5871</v>
      </c>
      <c r="D4886" s="669" t="s">
        <v>393</v>
      </c>
      <c r="E4886" s="546">
        <v>987.50999100000001</v>
      </c>
    </row>
    <row r="4887" spans="2:5" x14ac:dyDescent="0.25">
      <c r="B4887" s="545">
        <v>5922</v>
      </c>
      <c r="C4887" s="545" t="s">
        <v>5918</v>
      </c>
      <c r="D4887" s="669" t="s">
        <v>393</v>
      </c>
      <c r="E4887" s="546">
        <v>1007.783331</v>
      </c>
    </row>
    <row r="4888" spans="2:5" x14ac:dyDescent="0.25">
      <c r="B4888" s="545">
        <v>5923</v>
      </c>
      <c r="C4888" s="545" t="s">
        <v>5780</v>
      </c>
      <c r="D4888" s="669" t="s">
        <v>393</v>
      </c>
      <c r="E4888" s="546">
        <v>960.94999900000005</v>
      </c>
    </row>
    <row r="4889" spans="2:5" x14ac:dyDescent="0.25">
      <c r="B4889" s="545">
        <v>5924</v>
      </c>
      <c r="C4889" s="545" t="s">
        <v>5909</v>
      </c>
      <c r="D4889" s="669" t="s">
        <v>393</v>
      </c>
      <c r="E4889" s="546">
        <v>1005.462502</v>
      </c>
    </row>
    <row r="4890" spans="2:5" x14ac:dyDescent="0.25">
      <c r="B4890" s="545">
        <v>5925</v>
      </c>
      <c r="C4890" s="545" t="s">
        <v>6056</v>
      </c>
      <c r="D4890" s="669" t="s">
        <v>393</v>
      </c>
      <c r="E4890" s="546">
        <v>1081.2200069999999</v>
      </c>
    </row>
    <row r="4891" spans="2:5" x14ac:dyDescent="0.25">
      <c r="B4891" s="545">
        <v>5926</v>
      </c>
      <c r="C4891" s="545" t="s">
        <v>5812</v>
      </c>
      <c r="D4891" s="669" t="s">
        <v>393</v>
      </c>
      <c r="E4891" s="546">
        <v>968.81999499999995</v>
      </c>
    </row>
    <row r="4892" spans="2:5" x14ac:dyDescent="0.25">
      <c r="B4892" s="545">
        <v>5927</v>
      </c>
      <c r="C4892" s="545" t="s">
        <v>5625</v>
      </c>
      <c r="D4892" s="669" t="s">
        <v>393</v>
      </c>
      <c r="E4892" s="546">
        <v>917.64284799999996</v>
      </c>
    </row>
    <row r="4893" spans="2:5" x14ac:dyDescent="0.25">
      <c r="B4893" s="545">
        <v>5928</v>
      </c>
      <c r="C4893" s="545" t="s">
        <v>4558</v>
      </c>
      <c r="D4893" s="669" t="s">
        <v>393</v>
      </c>
      <c r="E4893" s="546">
        <v>784.63000499999998</v>
      </c>
    </row>
    <row r="4894" spans="2:5" x14ac:dyDescent="0.25">
      <c r="B4894" s="545">
        <v>5929</v>
      </c>
      <c r="C4894" s="545" t="s">
        <v>3952</v>
      </c>
      <c r="D4894" s="669" t="s">
        <v>393</v>
      </c>
      <c r="E4894" s="546">
        <v>741.56667100000004</v>
      </c>
    </row>
    <row r="4895" spans="2:5" x14ac:dyDescent="0.25">
      <c r="B4895" s="545">
        <v>5930</v>
      </c>
      <c r="C4895" s="545" t="s">
        <v>3516</v>
      </c>
      <c r="D4895" s="669" t="s">
        <v>393</v>
      </c>
      <c r="E4895" s="546">
        <v>717.15454699999998</v>
      </c>
    </row>
    <row r="4896" spans="2:5" x14ac:dyDescent="0.25">
      <c r="B4896" s="545">
        <v>5931</v>
      </c>
      <c r="C4896" s="545" t="s">
        <v>3286</v>
      </c>
      <c r="D4896" s="669" t="s">
        <v>393</v>
      </c>
      <c r="E4896" s="546">
        <v>704.88181899999995</v>
      </c>
    </row>
    <row r="4897" spans="2:5" x14ac:dyDescent="0.25">
      <c r="B4897" s="545">
        <v>5932</v>
      </c>
      <c r="C4897" s="545" t="s">
        <v>4415</v>
      </c>
      <c r="D4897" s="669" t="s">
        <v>393</v>
      </c>
      <c r="E4897" s="546">
        <v>773.93333600000005</v>
      </c>
    </row>
    <row r="4898" spans="2:5" x14ac:dyDescent="0.25">
      <c r="B4898" s="545">
        <v>5933</v>
      </c>
      <c r="C4898" s="545" t="s">
        <v>4097</v>
      </c>
      <c r="D4898" s="669" t="s">
        <v>393</v>
      </c>
      <c r="E4898" s="546">
        <v>750.63529300000005</v>
      </c>
    </row>
    <row r="4899" spans="2:5" x14ac:dyDescent="0.25">
      <c r="B4899" s="545">
        <v>5934</v>
      </c>
      <c r="C4899" s="545" t="s">
        <v>3803</v>
      </c>
      <c r="D4899" s="669" t="s">
        <v>393</v>
      </c>
      <c r="E4899" s="546">
        <v>733.13334099999997</v>
      </c>
    </row>
    <row r="4900" spans="2:5" x14ac:dyDescent="0.25">
      <c r="B4900" s="545">
        <v>5935</v>
      </c>
      <c r="C4900" s="545" t="s">
        <v>3456</v>
      </c>
      <c r="D4900" s="669" t="s">
        <v>393</v>
      </c>
      <c r="E4900" s="546">
        <v>713.541382</v>
      </c>
    </row>
    <row r="4901" spans="2:5" x14ac:dyDescent="0.25">
      <c r="B4901" s="545">
        <v>5936</v>
      </c>
      <c r="C4901" s="545" t="s">
        <v>4071</v>
      </c>
      <c r="D4901" s="669" t="s">
        <v>393</v>
      </c>
      <c r="E4901" s="546">
        <v>749.44545700000003</v>
      </c>
    </row>
    <row r="4902" spans="2:5" x14ac:dyDescent="0.25">
      <c r="B4902" s="545">
        <v>5937</v>
      </c>
      <c r="C4902" s="545" t="s">
        <v>1285</v>
      </c>
      <c r="D4902" s="669" t="s">
        <v>393</v>
      </c>
      <c r="E4902" s="546">
        <v>768.72499700000003</v>
      </c>
    </row>
    <row r="4903" spans="2:5" x14ac:dyDescent="0.25">
      <c r="B4903" s="545">
        <v>5938</v>
      </c>
      <c r="C4903" s="545" t="s">
        <v>1160</v>
      </c>
      <c r="D4903" s="669" t="s">
        <v>393</v>
      </c>
      <c r="E4903" s="546">
        <v>713.90000199999997</v>
      </c>
    </row>
    <row r="4904" spans="2:5" x14ac:dyDescent="0.25">
      <c r="B4904" s="545">
        <v>5939</v>
      </c>
      <c r="C4904" s="545" t="s">
        <v>2966</v>
      </c>
      <c r="D4904" s="669" t="s">
        <v>393</v>
      </c>
      <c r="E4904" s="546">
        <v>688.84446200000002</v>
      </c>
    </row>
    <row r="4905" spans="2:5" x14ac:dyDescent="0.25">
      <c r="B4905" s="545">
        <v>5940</v>
      </c>
      <c r="C4905" s="545" t="s">
        <v>4786</v>
      </c>
      <c r="D4905" s="669" t="s">
        <v>393</v>
      </c>
      <c r="E4905" s="546">
        <v>802.55833399999995</v>
      </c>
    </row>
    <row r="4906" spans="2:5" x14ac:dyDescent="0.25">
      <c r="B4906" s="545">
        <v>5941</v>
      </c>
      <c r="C4906" s="545" t="s">
        <v>4602</v>
      </c>
      <c r="D4906" s="669" t="s">
        <v>393</v>
      </c>
      <c r="E4906" s="546">
        <v>788.1</v>
      </c>
    </row>
    <row r="4907" spans="2:5" x14ac:dyDescent="0.25">
      <c r="B4907" s="545">
        <v>5942</v>
      </c>
      <c r="C4907" s="545" t="s">
        <v>4984</v>
      </c>
      <c r="D4907" s="669" t="s">
        <v>393</v>
      </c>
      <c r="E4907" s="546">
        <v>820.625</v>
      </c>
    </row>
    <row r="4908" spans="2:5" x14ac:dyDescent="0.25">
      <c r="B4908" s="545">
        <v>5943</v>
      </c>
      <c r="C4908" s="545" t="s">
        <v>5154</v>
      </c>
      <c r="D4908" s="669" t="s">
        <v>393</v>
      </c>
      <c r="E4908" s="546">
        <v>884.43077200000005</v>
      </c>
    </row>
    <row r="4909" spans="2:5" x14ac:dyDescent="0.25">
      <c r="B4909" s="545">
        <v>5944</v>
      </c>
      <c r="C4909" s="545" t="s">
        <v>2347</v>
      </c>
      <c r="D4909" s="669" t="s">
        <v>393</v>
      </c>
      <c r="E4909" s="546">
        <v>948.60909200000003</v>
      </c>
    </row>
    <row r="4910" spans="2:5" x14ac:dyDescent="0.25">
      <c r="B4910" s="545">
        <v>5945</v>
      </c>
      <c r="C4910" s="545" t="s">
        <v>5387</v>
      </c>
      <c r="D4910" s="669" t="s">
        <v>393</v>
      </c>
      <c r="E4910" s="546">
        <v>876.34000200000003</v>
      </c>
    </row>
    <row r="4911" spans="2:5" x14ac:dyDescent="0.25">
      <c r="B4911" s="545">
        <v>5946</v>
      </c>
      <c r="C4911" s="545" t="s">
        <v>4017</v>
      </c>
      <c r="D4911" s="669" t="s">
        <v>393</v>
      </c>
      <c r="E4911" s="546">
        <v>844.94545700000003</v>
      </c>
    </row>
    <row r="4912" spans="2:5" x14ac:dyDescent="0.25">
      <c r="B4912" s="545">
        <v>5947</v>
      </c>
      <c r="C4912" s="545" t="s">
        <v>5205</v>
      </c>
      <c r="D4912" s="669" t="s">
        <v>393</v>
      </c>
      <c r="E4912" s="546">
        <v>846.42666799999995</v>
      </c>
    </row>
    <row r="4913" spans="2:5" x14ac:dyDescent="0.25">
      <c r="B4913" s="545">
        <v>5948</v>
      </c>
      <c r="C4913" s="545" t="s">
        <v>6527</v>
      </c>
      <c r="D4913" s="669" t="s">
        <v>393</v>
      </c>
      <c r="E4913" s="546">
        <v>895.85000600000001</v>
      </c>
    </row>
    <row r="4914" spans="2:5" x14ac:dyDescent="0.25">
      <c r="B4914" s="545">
        <v>5949</v>
      </c>
      <c r="C4914" s="545" t="s">
        <v>5644</v>
      </c>
      <c r="D4914" s="669" t="s">
        <v>393</v>
      </c>
      <c r="E4914" s="546">
        <v>923.54118400000004</v>
      </c>
    </row>
    <row r="4915" spans="2:5" x14ac:dyDescent="0.25">
      <c r="B4915" s="545">
        <v>5950</v>
      </c>
      <c r="C4915" s="545" t="s">
        <v>6011</v>
      </c>
      <c r="D4915" s="669" t="s">
        <v>393</v>
      </c>
      <c r="E4915" s="546">
        <v>1054.5142820000001</v>
      </c>
    </row>
    <row r="4916" spans="2:5" x14ac:dyDescent="0.25">
      <c r="B4916" s="545">
        <v>5951</v>
      </c>
      <c r="C4916" s="545" t="s">
        <v>5516</v>
      </c>
      <c r="D4916" s="669" t="s">
        <v>393</v>
      </c>
      <c r="E4916" s="546">
        <v>897.52631899999994</v>
      </c>
    </row>
    <row r="4917" spans="2:5" x14ac:dyDescent="0.25">
      <c r="B4917" s="545">
        <v>5952</v>
      </c>
      <c r="C4917" s="545" t="s">
        <v>6526</v>
      </c>
      <c r="D4917" s="669" t="s">
        <v>393</v>
      </c>
      <c r="E4917" s="546">
        <v>933.66923899999995</v>
      </c>
    </row>
    <row r="4918" spans="2:5" x14ac:dyDescent="0.25">
      <c r="B4918" s="545">
        <v>5953</v>
      </c>
      <c r="C4918" s="545" t="s">
        <v>2455</v>
      </c>
      <c r="D4918" s="669" t="s">
        <v>393</v>
      </c>
      <c r="E4918" s="546">
        <v>777.87693000000002</v>
      </c>
    </row>
    <row r="4919" spans="2:5" x14ac:dyDescent="0.25">
      <c r="B4919" s="545">
        <v>5954</v>
      </c>
      <c r="C4919" s="545" t="s">
        <v>7235</v>
      </c>
      <c r="D4919" s="669" t="s">
        <v>393</v>
      </c>
      <c r="E4919" s="546">
        <v>802.19230300000004</v>
      </c>
    </row>
    <row r="4920" spans="2:5" x14ac:dyDescent="0.25">
      <c r="B4920" s="545">
        <v>5955</v>
      </c>
      <c r="C4920" s="545" t="s">
        <v>3012</v>
      </c>
      <c r="D4920" s="669" t="s">
        <v>393</v>
      </c>
      <c r="E4920" s="546">
        <v>691.43157299999996</v>
      </c>
    </row>
    <row r="4921" spans="2:5" x14ac:dyDescent="0.25">
      <c r="B4921" s="545">
        <v>5956</v>
      </c>
      <c r="C4921" s="545" t="s">
        <v>2930</v>
      </c>
      <c r="D4921" s="669" t="s">
        <v>393</v>
      </c>
      <c r="E4921" s="546">
        <v>687.116669</v>
      </c>
    </row>
    <row r="4922" spans="2:5" x14ac:dyDescent="0.25">
      <c r="B4922" s="545">
        <v>5957</v>
      </c>
      <c r="C4922" s="545" t="s">
        <v>2842</v>
      </c>
      <c r="D4922" s="669" t="s">
        <v>393</v>
      </c>
      <c r="E4922" s="546">
        <v>683.728568</v>
      </c>
    </row>
    <row r="4923" spans="2:5" x14ac:dyDescent="0.25">
      <c r="B4923" s="545">
        <v>5958</v>
      </c>
      <c r="C4923" s="545" t="s">
        <v>7252</v>
      </c>
      <c r="D4923" s="669" t="s">
        <v>393</v>
      </c>
      <c r="E4923" s="546">
        <v>684.82857000000001</v>
      </c>
    </row>
    <row r="4924" spans="2:5" x14ac:dyDescent="0.25">
      <c r="B4924" s="545">
        <v>5959</v>
      </c>
      <c r="C4924" s="545" t="s">
        <v>7253</v>
      </c>
      <c r="D4924" s="669" t="s">
        <v>393</v>
      </c>
      <c r="E4924" s="546">
        <v>687.20908999999995</v>
      </c>
    </row>
    <row r="4925" spans="2:5" x14ac:dyDescent="0.25">
      <c r="B4925" s="545">
        <v>5960</v>
      </c>
      <c r="C4925" s="545" t="s">
        <v>2576</v>
      </c>
      <c r="D4925" s="669" t="s">
        <v>393</v>
      </c>
      <c r="E4925" s="546">
        <v>669.36665900000003</v>
      </c>
    </row>
    <row r="4926" spans="2:5" x14ac:dyDescent="0.25">
      <c r="B4926" s="545">
        <v>5961</v>
      </c>
      <c r="C4926" s="545" t="s">
        <v>3026</v>
      </c>
      <c r="D4926" s="669" t="s">
        <v>393</v>
      </c>
      <c r="E4926" s="546">
        <v>692.14999899999998</v>
      </c>
    </row>
    <row r="4927" spans="2:5" x14ac:dyDescent="0.25">
      <c r="B4927" s="545">
        <v>5962</v>
      </c>
      <c r="C4927" s="545" t="s">
        <v>3379</v>
      </c>
      <c r="D4927" s="669" t="s">
        <v>393</v>
      </c>
      <c r="E4927" s="546">
        <v>709.82000700000003</v>
      </c>
    </row>
    <row r="4928" spans="2:5" x14ac:dyDescent="0.25">
      <c r="B4928" s="545">
        <v>5963</v>
      </c>
      <c r="C4928" s="545" t="s">
        <v>3960</v>
      </c>
      <c r="D4928" s="669" t="s">
        <v>393</v>
      </c>
      <c r="E4928" s="546">
        <v>742.37368900000001</v>
      </c>
    </row>
    <row r="4929" spans="2:5" x14ac:dyDescent="0.25">
      <c r="B4929" s="545">
        <v>5964</v>
      </c>
      <c r="C4929" s="545" t="s">
        <v>7251</v>
      </c>
      <c r="D4929" s="669" t="s">
        <v>393</v>
      </c>
      <c r="E4929" s="546">
        <v>718.03998999999999</v>
      </c>
    </row>
    <row r="4930" spans="2:5" x14ac:dyDescent="0.25">
      <c r="B4930" s="545">
        <v>5965</v>
      </c>
      <c r="C4930" s="545" t="s">
        <v>3322</v>
      </c>
      <c r="D4930" s="669" t="s">
        <v>393</v>
      </c>
      <c r="E4930" s="546">
        <v>707.14999399999999</v>
      </c>
    </row>
    <row r="4931" spans="2:5" x14ac:dyDescent="0.25">
      <c r="B4931" s="545">
        <v>5966</v>
      </c>
      <c r="C4931" s="545" t="s">
        <v>3575</v>
      </c>
      <c r="D4931" s="669" t="s">
        <v>393</v>
      </c>
      <c r="E4931" s="546">
        <v>719.90000599999996</v>
      </c>
    </row>
    <row r="4932" spans="2:5" x14ac:dyDescent="0.25">
      <c r="B4932" s="545">
        <v>5967</v>
      </c>
      <c r="C4932" s="545" t="s">
        <v>2639</v>
      </c>
      <c r="D4932" s="669" t="s">
        <v>393</v>
      </c>
      <c r="E4932" s="546">
        <v>729.03000199999997</v>
      </c>
    </row>
    <row r="4933" spans="2:5" x14ac:dyDescent="0.25">
      <c r="B4933" s="545">
        <v>5968</v>
      </c>
      <c r="C4933" s="545" t="s">
        <v>3393</v>
      </c>
      <c r="D4933" s="669" t="s">
        <v>393</v>
      </c>
      <c r="E4933" s="546">
        <v>710.59999600000003</v>
      </c>
    </row>
    <row r="4934" spans="2:5" x14ac:dyDescent="0.25">
      <c r="B4934" s="545">
        <v>5969</v>
      </c>
      <c r="C4934" s="545" t="s">
        <v>3771</v>
      </c>
      <c r="D4934" s="669" t="s">
        <v>393</v>
      </c>
      <c r="E4934" s="546">
        <v>731.20000600000003</v>
      </c>
    </row>
    <row r="4935" spans="2:5" x14ac:dyDescent="0.25">
      <c r="B4935" s="545">
        <v>5970</v>
      </c>
      <c r="C4935" s="545" t="s">
        <v>3552</v>
      </c>
      <c r="D4935" s="669" t="s">
        <v>393</v>
      </c>
      <c r="E4935" s="546">
        <v>718.83333600000003</v>
      </c>
    </row>
    <row r="4936" spans="2:5" x14ac:dyDescent="0.25">
      <c r="B4936" s="545">
        <v>5971</v>
      </c>
      <c r="C4936" s="545" t="s">
        <v>6826</v>
      </c>
      <c r="D4936" s="669" t="s">
        <v>393</v>
      </c>
      <c r="E4936" s="546">
        <v>717.633331</v>
      </c>
    </row>
    <row r="4937" spans="2:5" x14ac:dyDescent="0.25">
      <c r="B4937" s="545">
        <v>5972</v>
      </c>
      <c r="C4937" s="545" t="s">
        <v>3360</v>
      </c>
      <c r="D4937" s="669" t="s">
        <v>393</v>
      </c>
      <c r="E4937" s="546">
        <v>708.97500600000001</v>
      </c>
    </row>
    <row r="4938" spans="2:5" x14ac:dyDescent="0.25">
      <c r="B4938" s="545">
        <v>5973</v>
      </c>
      <c r="C4938" s="545" t="s">
        <v>3419</v>
      </c>
      <c r="D4938" s="669" t="s">
        <v>393</v>
      </c>
      <c r="E4938" s="546">
        <v>712.19999700000005</v>
      </c>
    </row>
    <row r="4939" spans="2:5" x14ac:dyDescent="0.25">
      <c r="B4939" s="545">
        <v>5974</v>
      </c>
      <c r="C4939" s="545" t="s">
        <v>3864</v>
      </c>
      <c r="D4939" s="669" t="s">
        <v>393</v>
      </c>
      <c r="E4939" s="546">
        <v>736.48999000000003</v>
      </c>
    </row>
    <row r="4940" spans="2:5" x14ac:dyDescent="0.25">
      <c r="B4940" s="545">
        <v>5975</v>
      </c>
      <c r="C4940" s="545" t="s">
        <v>6748</v>
      </c>
      <c r="D4940" s="669" t="s">
        <v>393</v>
      </c>
      <c r="E4940" s="546">
        <v>731.64999799999998</v>
      </c>
    </row>
    <row r="4941" spans="2:5" x14ac:dyDescent="0.25">
      <c r="B4941" s="545">
        <v>6001</v>
      </c>
      <c r="C4941" s="545" t="s">
        <v>2782</v>
      </c>
      <c r="D4941" s="669" t="s">
        <v>395</v>
      </c>
      <c r="E4941" s="546">
        <v>679.78235600000005</v>
      </c>
    </row>
    <row r="4942" spans="2:5" x14ac:dyDescent="0.25">
      <c r="B4942" s="545">
        <v>6002</v>
      </c>
      <c r="C4942" s="545" t="s">
        <v>3180</v>
      </c>
      <c r="D4942" s="669" t="s">
        <v>395</v>
      </c>
      <c r="E4942" s="546">
        <v>700.24285499999996</v>
      </c>
    </row>
    <row r="4943" spans="2:5" x14ac:dyDescent="0.25">
      <c r="B4943" s="545">
        <v>6003</v>
      </c>
      <c r="C4943" s="545" t="s">
        <v>2339</v>
      </c>
      <c r="D4943" s="669" t="s">
        <v>395</v>
      </c>
      <c r="E4943" s="546">
        <v>659.13334099999997</v>
      </c>
    </row>
    <row r="4944" spans="2:5" x14ac:dyDescent="0.25">
      <c r="B4944" s="545">
        <v>6004</v>
      </c>
      <c r="C4944" s="545" t="s">
        <v>3800</v>
      </c>
      <c r="D4944" s="669" t="s">
        <v>395</v>
      </c>
      <c r="E4944" s="546">
        <v>732.63333</v>
      </c>
    </row>
    <row r="4945" spans="2:5" x14ac:dyDescent="0.25">
      <c r="B4945" s="545">
        <v>6005</v>
      </c>
      <c r="C4945" s="545" t="s">
        <v>6485</v>
      </c>
      <c r="D4945" s="669" t="s">
        <v>395</v>
      </c>
      <c r="E4945" s="546">
        <v>699.919983</v>
      </c>
    </row>
    <row r="4946" spans="2:5" x14ac:dyDescent="0.25">
      <c r="B4946" s="545">
        <v>6006</v>
      </c>
      <c r="C4946" s="545" t="s">
        <v>1447</v>
      </c>
      <c r="D4946" s="669" t="s">
        <v>395</v>
      </c>
      <c r="E4946" s="546">
        <v>617.47999300000004</v>
      </c>
    </row>
    <row r="4947" spans="2:5" x14ac:dyDescent="0.25">
      <c r="B4947" s="545">
        <v>6007</v>
      </c>
      <c r="C4947" s="545" t="s">
        <v>4014</v>
      </c>
      <c r="D4947" s="669" t="s">
        <v>395</v>
      </c>
      <c r="E4947" s="546">
        <v>745.83333300000004</v>
      </c>
    </row>
    <row r="4948" spans="2:5" x14ac:dyDescent="0.25">
      <c r="B4948" s="545">
        <v>6008</v>
      </c>
      <c r="C4948" s="545" t="s">
        <v>1801</v>
      </c>
      <c r="D4948" s="669" t="s">
        <v>395</v>
      </c>
      <c r="E4948" s="546">
        <v>636.12856599999998</v>
      </c>
    </row>
    <row r="4949" spans="2:5" x14ac:dyDescent="0.25">
      <c r="B4949" s="545">
        <v>6009</v>
      </c>
      <c r="C4949" s="545" t="s">
        <v>2227</v>
      </c>
      <c r="D4949" s="669" t="s">
        <v>395</v>
      </c>
      <c r="E4949" s="546">
        <v>654.20001200000002</v>
      </c>
    </row>
    <row r="4950" spans="2:5" x14ac:dyDescent="0.25">
      <c r="B4950" s="545">
        <v>6010</v>
      </c>
      <c r="C4950" s="545" t="s">
        <v>4259</v>
      </c>
      <c r="D4950" s="669" t="s">
        <v>395</v>
      </c>
      <c r="E4950" s="546">
        <v>762.26666799999998</v>
      </c>
    </row>
    <row r="4951" spans="2:5" x14ac:dyDescent="0.25">
      <c r="B4951" s="545">
        <v>6011</v>
      </c>
      <c r="C4951" s="545" t="s">
        <v>2783</v>
      </c>
      <c r="D4951" s="669" t="s">
        <v>395</v>
      </c>
      <c r="E4951" s="546">
        <v>679.94998899999996</v>
      </c>
    </row>
    <row r="4952" spans="2:5" x14ac:dyDescent="0.25">
      <c r="B4952" s="545">
        <v>6012</v>
      </c>
      <c r="C4952" s="545" t="s">
        <v>2591</v>
      </c>
      <c r="D4952" s="669" t="s">
        <v>395</v>
      </c>
      <c r="E4952" s="546">
        <v>670.177775</v>
      </c>
    </row>
    <row r="4953" spans="2:5" x14ac:dyDescent="0.25">
      <c r="B4953" s="545">
        <v>6013</v>
      </c>
      <c r="C4953" s="545" t="s">
        <v>6533</v>
      </c>
      <c r="D4953" s="669" t="s">
        <v>395</v>
      </c>
      <c r="E4953" s="546">
        <v>660.14999399999999</v>
      </c>
    </row>
    <row r="4954" spans="2:5" x14ac:dyDescent="0.25">
      <c r="B4954" s="545">
        <v>6014</v>
      </c>
      <c r="C4954" s="545" t="s">
        <v>2324</v>
      </c>
      <c r="D4954" s="669" t="s">
        <v>395</v>
      </c>
      <c r="E4954" s="546">
        <v>762.16666699999996</v>
      </c>
    </row>
    <row r="4955" spans="2:5" x14ac:dyDescent="0.25">
      <c r="B4955" s="545">
        <v>6015</v>
      </c>
      <c r="C4955" s="545" t="s">
        <v>3284</v>
      </c>
      <c r="D4955" s="669" t="s">
        <v>395</v>
      </c>
      <c r="E4955" s="546">
        <v>704.77000699999996</v>
      </c>
    </row>
    <row r="4956" spans="2:5" x14ac:dyDescent="0.25">
      <c r="B4956" s="545">
        <v>6016</v>
      </c>
      <c r="C4956" s="545" t="s">
        <v>6675</v>
      </c>
      <c r="D4956" s="669" t="s">
        <v>395</v>
      </c>
      <c r="E4956" s="546">
        <v>681.33572000000004</v>
      </c>
    </row>
    <row r="4957" spans="2:5" x14ac:dyDescent="0.25">
      <c r="B4957" s="545">
        <v>6017</v>
      </c>
      <c r="C4957" s="545" t="s">
        <v>6679</v>
      </c>
      <c r="D4957" s="669" t="s">
        <v>395</v>
      </c>
      <c r="E4957" s="546">
        <v>714.17959299999995</v>
      </c>
    </row>
    <row r="4958" spans="2:5" x14ac:dyDescent="0.25">
      <c r="B4958" s="545">
        <v>6018</v>
      </c>
      <c r="C4958" s="545" t="s">
        <v>4774</v>
      </c>
      <c r="D4958" s="669" t="s">
        <v>395</v>
      </c>
      <c r="E4958" s="546">
        <v>802</v>
      </c>
    </row>
    <row r="4959" spans="2:5" x14ac:dyDescent="0.25">
      <c r="B4959" s="545">
        <v>6019</v>
      </c>
      <c r="C4959" s="545" t="s">
        <v>2407</v>
      </c>
      <c r="D4959" s="669" t="s">
        <v>395</v>
      </c>
      <c r="E4959" s="546">
        <v>662.60000600000001</v>
      </c>
    </row>
    <row r="4960" spans="2:5" x14ac:dyDescent="0.25">
      <c r="B4960" s="545">
        <v>6020</v>
      </c>
      <c r="C4960" s="545" t="s">
        <v>6705</v>
      </c>
      <c r="D4960" s="669" t="s">
        <v>395</v>
      </c>
      <c r="E4960" s="546">
        <v>617.69999199999995</v>
      </c>
    </row>
    <row r="4961" spans="2:5" x14ac:dyDescent="0.25">
      <c r="B4961" s="545">
        <v>6021</v>
      </c>
      <c r="C4961" s="545" t="s">
        <v>3644</v>
      </c>
      <c r="D4961" s="669" t="s">
        <v>395</v>
      </c>
      <c r="E4961" s="546">
        <v>724.15714800000001</v>
      </c>
    </row>
    <row r="4962" spans="2:5" x14ac:dyDescent="0.25">
      <c r="B4962" s="545">
        <v>6022</v>
      </c>
      <c r="C4962" s="545" t="s">
        <v>3787</v>
      </c>
      <c r="D4962" s="669" t="s">
        <v>395</v>
      </c>
      <c r="E4962" s="546">
        <v>731.97894299999996</v>
      </c>
    </row>
    <row r="4963" spans="2:5" x14ac:dyDescent="0.25">
      <c r="B4963" s="545">
        <v>6023</v>
      </c>
      <c r="C4963" s="545" t="s">
        <v>4721</v>
      </c>
      <c r="D4963" s="669" t="s">
        <v>395</v>
      </c>
      <c r="E4963" s="546">
        <v>797.60000600000001</v>
      </c>
    </row>
    <row r="4964" spans="2:5" x14ac:dyDescent="0.25">
      <c r="B4964" s="545">
        <v>6024</v>
      </c>
      <c r="C4964" s="545" t="s">
        <v>2719</v>
      </c>
      <c r="D4964" s="669" t="s">
        <v>395</v>
      </c>
      <c r="E4964" s="546">
        <v>676.83331299999998</v>
      </c>
    </row>
    <row r="4965" spans="2:5" x14ac:dyDescent="0.25">
      <c r="B4965" s="545">
        <v>6025</v>
      </c>
      <c r="C4965" s="545" t="s">
        <v>2982</v>
      </c>
      <c r="D4965" s="669" t="s">
        <v>395</v>
      </c>
      <c r="E4965" s="546">
        <v>689.55001800000002</v>
      </c>
    </row>
    <row r="4966" spans="2:5" x14ac:dyDescent="0.25">
      <c r="B4966" s="545">
        <v>6026</v>
      </c>
      <c r="C4966" s="545" t="s">
        <v>6887</v>
      </c>
      <c r="D4966" s="669" t="s">
        <v>395</v>
      </c>
      <c r="E4966" s="546">
        <v>788.42499499999997</v>
      </c>
    </row>
    <row r="4967" spans="2:5" x14ac:dyDescent="0.25">
      <c r="B4967" s="545">
        <v>6027</v>
      </c>
      <c r="C4967" s="545" t="s">
        <v>6908</v>
      </c>
      <c r="D4967" s="669" t="s">
        <v>395</v>
      </c>
      <c r="E4967" s="546">
        <v>641.80000299999995</v>
      </c>
    </row>
    <row r="4968" spans="2:5" x14ac:dyDescent="0.25">
      <c r="B4968" s="545">
        <v>6028</v>
      </c>
      <c r="C4968" s="545" t="s">
        <v>2513</v>
      </c>
      <c r="D4968" s="669" t="s">
        <v>395</v>
      </c>
      <c r="E4968" s="546">
        <v>698.40002400000003</v>
      </c>
    </row>
    <row r="4969" spans="2:5" x14ac:dyDescent="0.25">
      <c r="B4969" s="545">
        <v>6029</v>
      </c>
      <c r="C4969" s="545" t="s">
        <v>963</v>
      </c>
      <c r="D4969" s="669" t="s">
        <v>395</v>
      </c>
      <c r="E4969" s="546">
        <v>678</v>
      </c>
    </row>
    <row r="4970" spans="2:5" x14ac:dyDescent="0.25">
      <c r="B4970" s="545">
        <v>6030</v>
      </c>
      <c r="C4970" s="545" t="s">
        <v>3386</v>
      </c>
      <c r="D4970" s="669" t="s">
        <v>395</v>
      </c>
      <c r="E4970" s="546">
        <v>710.03332499999999</v>
      </c>
    </row>
    <row r="4971" spans="2:5" x14ac:dyDescent="0.25">
      <c r="B4971" s="545">
        <v>6031</v>
      </c>
      <c r="C4971" s="545" t="s">
        <v>3606</v>
      </c>
      <c r="D4971" s="669" t="s">
        <v>395</v>
      </c>
      <c r="E4971" s="546">
        <v>721.77221699999996</v>
      </c>
    </row>
    <row r="4972" spans="2:5" x14ac:dyDescent="0.25">
      <c r="B4972" s="545">
        <v>6032</v>
      </c>
      <c r="C4972" s="545" t="s">
        <v>1836</v>
      </c>
      <c r="D4972" s="669" t="s">
        <v>395</v>
      </c>
      <c r="E4972" s="546">
        <v>637.240002</v>
      </c>
    </row>
    <row r="4973" spans="2:5" x14ac:dyDescent="0.25">
      <c r="B4973" s="545">
        <v>6033</v>
      </c>
      <c r="C4973" s="545" t="s">
        <v>2376</v>
      </c>
      <c r="D4973" s="669" t="s">
        <v>395</v>
      </c>
      <c r="E4973" s="546">
        <v>660.71428600000002</v>
      </c>
    </row>
    <row r="4974" spans="2:5" x14ac:dyDescent="0.25">
      <c r="B4974" s="545">
        <v>6034</v>
      </c>
      <c r="C4974" s="545" t="s">
        <v>2020</v>
      </c>
      <c r="D4974" s="669" t="s">
        <v>395</v>
      </c>
      <c r="E4974" s="546">
        <v>643.95999800000004</v>
      </c>
    </row>
    <row r="4975" spans="2:5" x14ac:dyDescent="0.25">
      <c r="B4975" s="545">
        <v>6035</v>
      </c>
      <c r="C4975" s="545" t="s">
        <v>2858</v>
      </c>
      <c r="D4975" s="669" t="s">
        <v>395</v>
      </c>
      <c r="E4975" s="546">
        <v>684.31481900000006</v>
      </c>
    </row>
    <row r="4976" spans="2:5" x14ac:dyDescent="0.25">
      <c r="B4976" s="545">
        <v>6036</v>
      </c>
      <c r="C4976" s="545" t="s">
        <v>7029</v>
      </c>
      <c r="D4976" s="669" t="s">
        <v>395</v>
      </c>
      <c r="E4976" s="546">
        <v>694.383331</v>
      </c>
    </row>
    <row r="4977" spans="2:5" x14ac:dyDescent="0.25">
      <c r="B4977" s="545">
        <v>6037</v>
      </c>
      <c r="C4977" s="545" t="s">
        <v>3318</v>
      </c>
      <c r="D4977" s="669" t="s">
        <v>395</v>
      </c>
      <c r="E4977" s="546">
        <v>707.06666099999995</v>
      </c>
    </row>
    <row r="4978" spans="2:5" x14ac:dyDescent="0.25">
      <c r="B4978" s="545">
        <v>6038</v>
      </c>
      <c r="C4978" s="545" t="s">
        <v>4490</v>
      </c>
      <c r="D4978" s="669" t="s">
        <v>395</v>
      </c>
      <c r="E4978" s="546">
        <v>779.13334099999997</v>
      </c>
    </row>
    <row r="4979" spans="2:5" x14ac:dyDescent="0.25">
      <c r="B4979" s="545">
        <v>6039</v>
      </c>
      <c r="C4979" s="545" t="s">
        <v>3263</v>
      </c>
      <c r="D4979" s="669" t="s">
        <v>395</v>
      </c>
      <c r="E4979" s="546">
        <v>703.69998199999998</v>
      </c>
    </row>
    <row r="4980" spans="2:5" x14ac:dyDescent="0.25">
      <c r="B4980" s="545">
        <v>6040</v>
      </c>
      <c r="C4980" s="545" t="s">
        <v>3613</v>
      </c>
      <c r="D4980" s="669" t="s">
        <v>395</v>
      </c>
      <c r="E4980" s="546">
        <v>722.5</v>
      </c>
    </row>
    <row r="4981" spans="2:5" x14ac:dyDescent="0.25">
      <c r="B4981" s="545">
        <v>6041</v>
      </c>
      <c r="C4981" s="545" t="s">
        <v>2007</v>
      </c>
      <c r="D4981" s="669" t="s">
        <v>395</v>
      </c>
      <c r="E4981" s="546">
        <v>643.52500399999997</v>
      </c>
    </row>
    <row r="4982" spans="2:5" x14ac:dyDescent="0.25">
      <c r="B4982" s="545">
        <v>6042</v>
      </c>
      <c r="C4982" s="545" t="s">
        <v>2836</v>
      </c>
      <c r="D4982" s="669" t="s">
        <v>395</v>
      </c>
      <c r="E4982" s="546">
        <v>683.17499799999996</v>
      </c>
    </row>
    <row r="4983" spans="2:5" x14ac:dyDescent="0.25">
      <c r="B4983" s="545">
        <v>6043</v>
      </c>
      <c r="C4983" s="545" t="s">
        <v>395</v>
      </c>
      <c r="D4983" s="669" t="s">
        <v>395</v>
      </c>
      <c r="E4983" s="546">
        <v>679.23749499999997</v>
      </c>
    </row>
    <row r="4984" spans="2:5" x14ac:dyDescent="0.25">
      <c r="B4984" s="545">
        <v>6044</v>
      </c>
      <c r="C4984" s="545" t="s">
        <v>3120</v>
      </c>
      <c r="D4984" s="669" t="s">
        <v>395</v>
      </c>
      <c r="E4984" s="546">
        <v>697.21666500000003</v>
      </c>
    </row>
    <row r="4985" spans="2:5" x14ac:dyDescent="0.25">
      <c r="B4985" s="545">
        <v>6045</v>
      </c>
      <c r="C4985" s="545" t="s">
        <v>3608</v>
      </c>
      <c r="D4985" s="669" t="s">
        <v>395</v>
      </c>
      <c r="E4985" s="546">
        <v>721.81999900000005</v>
      </c>
    </row>
    <row r="4986" spans="2:5" x14ac:dyDescent="0.25">
      <c r="B4986" s="545">
        <v>6046</v>
      </c>
      <c r="C4986" s="545" t="s">
        <v>3487</v>
      </c>
      <c r="D4986" s="669" t="s">
        <v>395</v>
      </c>
      <c r="E4986" s="546">
        <v>715.35833200000002</v>
      </c>
    </row>
    <row r="4987" spans="2:5" x14ac:dyDescent="0.25">
      <c r="B4987" s="545">
        <v>6047</v>
      </c>
      <c r="C4987" s="545" t="s">
        <v>3281</v>
      </c>
      <c r="D4987" s="669" t="s">
        <v>395</v>
      </c>
      <c r="E4987" s="546">
        <v>704.69230300000004</v>
      </c>
    </row>
    <row r="4988" spans="2:5" x14ac:dyDescent="0.25">
      <c r="B4988" s="545">
        <v>6048</v>
      </c>
      <c r="C4988" s="545" t="s">
        <v>4568</v>
      </c>
      <c r="D4988" s="669" t="s">
        <v>395</v>
      </c>
      <c r="E4988" s="546">
        <v>785.38888899999995</v>
      </c>
    </row>
    <row r="4989" spans="2:5" x14ac:dyDescent="0.25">
      <c r="B4989" s="545">
        <v>6049</v>
      </c>
      <c r="C4989" s="545" t="s">
        <v>795</v>
      </c>
      <c r="D4989" s="669" t="s">
        <v>395</v>
      </c>
      <c r="E4989" s="546">
        <v>632.16667299999995</v>
      </c>
    </row>
    <row r="4990" spans="2:5" x14ac:dyDescent="0.25">
      <c r="B4990" s="545">
        <v>6050</v>
      </c>
      <c r="C4990" s="545" t="s">
        <v>4181</v>
      </c>
      <c r="D4990" s="669" t="s">
        <v>395</v>
      </c>
      <c r="E4990" s="546">
        <v>756.06154700000002</v>
      </c>
    </row>
    <row r="4991" spans="2:5" x14ac:dyDescent="0.25">
      <c r="B4991" s="545">
        <v>6051</v>
      </c>
      <c r="C4991" s="545" t="s">
        <v>2725</v>
      </c>
      <c r="D4991" s="669" t="s">
        <v>395</v>
      </c>
      <c r="E4991" s="546">
        <v>677.14000199999998</v>
      </c>
    </row>
    <row r="4992" spans="2:5" x14ac:dyDescent="0.25">
      <c r="B4992" s="545">
        <v>6052</v>
      </c>
      <c r="C4992" s="545" t="s">
        <v>4270</v>
      </c>
      <c r="D4992" s="669" t="s">
        <v>395</v>
      </c>
      <c r="E4992" s="546">
        <v>762.77142300000003</v>
      </c>
    </row>
    <row r="4993" spans="2:5" x14ac:dyDescent="0.25">
      <c r="B4993" s="545">
        <v>6053</v>
      </c>
      <c r="C4993" s="545" t="s">
        <v>3597</v>
      </c>
      <c r="D4993" s="669" t="s">
        <v>395</v>
      </c>
      <c r="E4993" s="546">
        <v>721.11999500000002</v>
      </c>
    </row>
    <row r="4994" spans="2:5" x14ac:dyDescent="0.25">
      <c r="B4994" s="545">
        <v>6054</v>
      </c>
      <c r="C4994" s="545" t="s">
        <v>1882</v>
      </c>
      <c r="D4994" s="669" t="s">
        <v>395</v>
      </c>
      <c r="E4994" s="546">
        <v>639.30000299999995</v>
      </c>
    </row>
    <row r="4995" spans="2:5" x14ac:dyDescent="0.25">
      <c r="B4995" s="545">
        <v>6055</v>
      </c>
      <c r="C4995" s="545" t="s">
        <v>2191</v>
      </c>
      <c r="D4995" s="669" t="s">
        <v>395</v>
      </c>
      <c r="E4995" s="546">
        <v>652.50001999999995</v>
      </c>
    </row>
    <row r="4996" spans="2:5" x14ac:dyDescent="0.25">
      <c r="B4996" s="545">
        <v>6056</v>
      </c>
      <c r="C4996" s="545" t="s">
        <v>4706</v>
      </c>
      <c r="D4996" s="669" t="s">
        <v>395</v>
      </c>
      <c r="E4996" s="546">
        <v>796.46667500000001</v>
      </c>
    </row>
    <row r="4997" spans="2:5" x14ac:dyDescent="0.25">
      <c r="B4997" s="545">
        <v>6057</v>
      </c>
      <c r="C4997" s="545" t="s">
        <v>1701</v>
      </c>
      <c r="D4997" s="669" t="s">
        <v>395</v>
      </c>
      <c r="E4997" s="546">
        <v>731.21999500000004</v>
      </c>
    </row>
    <row r="4998" spans="2:5" x14ac:dyDescent="0.25">
      <c r="B4998" s="545">
        <v>6058</v>
      </c>
      <c r="C4998" s="545" t="s">
        <v>1400</v>
      </c>
      <c r="D4998" s="669" t="s">
        <v>395</v>
      </c>
      <c r="E4998" s="546">
        <v>615.04285500000003</v>
      </c>
    </row>
    <row r="4999" spans="2:5" x14ac:dyDescent="0.25">
      <c r="B4999" s="545">
        <v>6059</v>
      </c>
      <c r="C4999" s="545" t="s">
        <v>3005</v>
      </c>
      <c r="D4999" s="669" t="s">
        <v>395</v>
      </c>
      <c r="E4999" s="546">
        <v>690.86999500000002</v>
      </c>
    </row>
    <row r="5000" spans="2:5" x14ac:dyDescent="0.25">
      <c r="B5000" s="545">
        <v>6060</v>
      </c>
      <c r="C5000" s="545" t="s">
        <v>6530</v>
      </c>
      <c r="D5000" s="669" t="s">
        <v>395</v>
      </c>
      <c r="E5000" s="546">
        <v>689.47142699999995</v>
      </c>
    </row>
    <row r="5001" spans="2:5" x14ac:dyDescent="0.25">
      <c r="B5001" s="545">
        <v>6061</v>
      </c>
      <c r="C5001" s="545" t="s">
        <v>2720</v>
      </c>
      <c r="D5001" s="669" t="s">
        <v>395</v>
      </c>
      <c r="E5001" s="546">
        <v>676.93332899999996</v>
      </c>
    </row>
    <row r="5002" spans="2:5" x14ac:dyDescent="0.25">
      <c r="B5002" s="545">
        <v>6062</v>
      </c>
      <c r="C5002" s="545" t="s">
        <v>4161</v>
      </c>
      <c r="D5002" s="669" t="s">
        <v>395</v>
      </c>
      <c r="E5002" s="546">
        <v>754.77999299999999</v>
      </c>
    </row>
    <row r="5003" spans="2:5" x14ac:dyDescent="0.25">
      <c r="B5003" s="545">
        <v>6063</v>
      </c>
      <c r="C5003" s="545" t="s">
        <v>2139</v>
      </c>
      <c r="D5003" s="669" t="s">
        <v>395</v>
      </c>
      <c r="E5003" s="546">
        <v>650.32500700000003</v>
      </c>
    </row>
    <row r="5004" spans="2:5" x14ac:dyDescent="0.25">
      <c r="B5004" s="545">
        <v>6064</v>
      </c>
      <c r="C5004" s="545" t="s">
        <v>2950</v>
      </c>
      <c r="D5004" s="669" t="s">
        <v>395</v>
      </c>
      <c r="E5004" s="546">
        <v>687.77142800000001</v>
      </c>
    </row>
    <row r="5005" spans="2:5" x14ac:dyDescent="0.25">
      <c r="B5005" s="545">
        <v>6065</v>
      </c>
      <c r="C5005" s="545" t="s">
        <v>3629</v>
      </c>
      <c r="D5005" s="669" t="s">
        <v>395</v>
      </c>
      <c r="E5005" s="546">
        <v>723.55000299999995</v>
      </c>
    </row>
    <row r="5006" spans="2:5" x14ac:dyDescent="0.25">
      <c r="B5006" s="545">
        <v>6066</v>
      </c>
      <c r="C5006" s="545" t="s">
        <v>4708</v>
      </c>
      <c r="D5006" s="669" t="s">
        <v>395</v>
      </c>
      <c r="E5006" s="546">
        <v>796.65384100000006</v>
      </c>
    </row>
    <row r="5007" spans="2:5" x14ac:dyDescent="0.25">
      <c r="B5007" s="545">
        <v>6067</v>
      </c>
      <c r="C5007" s="545" t="s">
        <v>4042</v>
      </c>
      <c r="D5007" s="669" t="s">
        <v>395</v>
      </c>
      <c r="E5007" s="546">
        <v>747.741669</v>
      </c>
    </row>
    <row r="5008" spans="2:5" x14ac:dyDescent="0.25">
      <c r="B5008" s="545">
        <v>6068</v>
      </c>
      <c r="C5008" s="545" t="s">
        <v>700</v>
      </c>
      <c r="D5008" s="669" t="s">
        <v>395</v>
      </c>
      <c r="E5008" s="546">
        <v>716.47499100000005</v>
      </c>
    </row>
    <row r="5009" spans="2:5" x14ac:dyDescent="0.25">
      <c r="B5009" s="545">
        <v>6069</v>
      </c>
      <c r="C5009" s="545" t="s">
        <v>4464</v>
      </c>
      <c r="D5009" s="669" t="s">
        <v>395</v>
      </c>
      <c r="E5009" s="546">
        <v>777.633331</v>
      </c>
    </row>
    <row r="5010" spans="2:5" x14ac:dyDescent="0.25">
      <c r="B5010" s="545">
        <v>6070</v>
      </c>
      <c r="C5010" s="545" t="s">
        <v>1566</v>
      </c>
      <c r="D5010" s="669" t="s">
        <v>395</v>
      </c>
      <c r="E5010" s="546">
        <v>624.48571800000002</v>
      </c>
    </row>
    <row r="5011" spans="2:5" x14ac:dyDescent="0.25">
      <c r="B5011" s="545">
        <v>6071</v>
      </c>
      <c r="C5011" s="545" t="s">
        <v>3210</v>
      </c>
      <c r="D5011" s="669" t="s">
        <v>395</v>
      </c>
      <c r="E5011" s="546">
        <v>701.64999399999999</v>
      </c>
    </row>
    <row r="5012" spans="2:5" x14ac:dyDescent="0.25">
      <c r="B5012" s="545">
        <v>6072</v>
      </c>
      <c r="C5012" s="545" t="s">
        <v>3691</v>
      </c>
      <c r="D5012" s="669" t="s">
        <v>395</v>
      </c>
      <c r="E5012" s="546">
        <v>726.69999499999994</v>
      </c>
    </row>
    <row r="5013" spans="2:5" x14ac:dyDescent="0.25">
      <c r="B5013" s="545">
        <v>6073</v>
      </c>
      <c r="C5013" s="545" t="s">
        <v>2402</v>
      </c>
      <c r="D5013" s="669" t="s">
        <v>395</v>
      </c>
      <c r="E5013" s="546">
        <v>662.41665599999999</v>
      </c>
    </row>
    <row r="5014" spans="2:5" x14ac:dyDescent="0.25">
      <c r="B5014" s="545">
        <v>6074</v>
      </c>
      <c r="C5014" s="545" t="s">
        <v>2929</v>
      </c>
      <c r="D5014" s="669" t="s">
        <v>395</v>
      </c>
      <c r="E5014" s="546">
        <v>687.05454299999997</v>
      </c>
    </row>
    <row r="5015" spans="2:5" x14ac:dyDescent="0.25">
      <c r="B5015" s="545">
        <v>6075</v>
      </c>
      <c r="C5015" s="545" t="s">
        <v>2430</v>
      </c>
      <c r="D5015" s="669" t="s">
        <v>395</v>
      </c>
      <c r="E5015" s="546">
        <v>663.57000100000005</v>
      </c>
    </row>
    <row r="5016" spans="2:5" x14ac:dyDescent="0.25">
      <c r="B5016" s="545">
        <v>6076</v>
      </c>
      <c r="C5016" s="545" t="s">
        <v>1572</v>
      </c>
      <c r="D5016" s="669" t="s">
        <v>395</v>
      </c>
      <c r="E5016" s="546">
        <v>624.80000800000005</v>
      </c>
    </row>
    <row r="5017" spans="2:5" x14ac:dyDescent="0.25">
      <c r="B5017" s="545">
        <v>6077</v>
      </c>
      <c r="C5017" s="545" t="s">
        <v>7317</v>
      </c>
      <c r="D5017" s="669" t="s">
        <v>395</v>
      </c>
      <c r="E5017" s="546">
        <v>783.70001200000002</v>
      </c>
    </row>
    <row r="5018" spans="2:5" x14ac:dyDescent="0.25">
      <c r="B5018" s="545">
        <v>6078</v>
      </c>
      <c r="C5018" s="545" t="s">
        <v>7325</v>
      </c>
      <c r="D5018" s="669" t="s">
        <v>395</v>
      </c>
      <c r="E5018" s="546">
        <v>757.89999799999998</v>
      </c>
    </row>
    <row r="5019" spans="2:5" x14ac:dyDescent="0.25">
      <c r="B5019" s="545">
        <v>6079</v>
      </c>
      <c r="C5019" s="545" t="s">
        <v>1861</v>
      </c>
      <c r="D5019" s="669" t="s">
        <v>395</v>
      </c>
      <c r="E5019" s="546">
        <v>638.41999499999997</v>
      </c>
    </row>
    <row r="5020" spans="2:5" x14ac:dyDescent="0.25">
      <c r="B5020" s="545">
        <v>6080</v>
      </c>
      <c r="C5020" s="545" t="s">
        <v>2648</v>
      </c>
      <c r="D5020" s="669" t="s">
        <v>395</v>
      </c>
      <c r="E5020" s="546">
        <v>673.740002</v>
      </c>
    </row>
    <row r="5021" spans="2:5" x14ac:dyDescent="0.25">
      <c r="B5021" s="545">
        <v>6081</v>
      </c>
      <c r="C5021" s="545" t="s">
        <v>3684</v>
      </c>
      <c r="D5021" s="669" t="s">
        <v>395</v>
      </c>
      <c r="E5021" s="546">
        <v>726.39000199999998</v>
      </c>
    </row>
    <row r="5022" spans="2:5" x14ac:dyDescent="0.25">
      <c r="B5022" s="545">
        <v>6082</v>
      </c>
      <c r="C5022" s="545" t="s">
        <v>3692</v>
      </c>
      <c r="D5022" s="669" t="s">
        <v>395</v>
      </c>
      <c r="E5022" s="546">
        <v>726.74999200000002</v>
      </c>
    </row>
    <row r="5023" spans="2:5" x14ac:dyDescent="0.25">
      <c r="B5023" s="545">
        <v>6083</v>
      </c>
      <c r="C5023" s="545" t="s">
        <v>7349</v>
      </c>
      <c r="D5023" s="669" t="s">
        <v>395</v>
      </c>
      <c r="E5023" s="546">
        <v>623.46666500000003</v>
      </c>
    </row>
    <row r="5024" spans="2:5" x14ac:dyDescent="0.25">
      <c r="B5024" s="545">
        <v>6084</v>
      </c>
      <c r="C5024" s="545" t="s">
        <v>3827</v>
      </c>
      <c r="D5024" s="669" t="s">
        <v>395</v>
      </c>
      <c r="E5024" s="546">
        <v>734.22000100000002</v>
      </c>
    </row>
    <row r="5025" spans="2:5" x14ac:dyDescent="0.25">
      <c r="B5025" s="545">
        <v>6085</v>
      </c>
      <c r="C5025" s="545" t="s">
        <v>1774</v>
      </c>
      <c r="D5025" s="669" t="s">
        <v>395</v>
      </c>
      <c r="E5025" s="546">
        <v>635.17692699999998</v>
      </c>
    </row>
    <row r="5026" spans="2:5" x14ac:dyDescent="0.25">
      <c r="B5026" s="545">
        <v>6086</v>
      </c>
      <c r="C5026" s="545" t="s">
        <v>2662</v>
      </c>
      <c r="D5026" s="669" t="s">
        <v>395</v>
      </c>
      <c r="E5026" s="546">
        <v>674.34001499999999</v>
      </c>
    </row>
    <row r="5027" spans="2:5" x14ac:dyDescent="0.25">
      <c r="B5027" s="545">
        <v>6087</v>
      </c>
      <c r="C5027" s="545" t="s">
        <v>3304</v>
      </c>
      <c r="D5027" s="669" t="s">
        <v>395</v>
      </c>
      <c r="E5027" s="546">
        <v>706.15714800000001</v>
      </c>
    </row>
    <row r="5028" spans="2:5" x14ac:dyDescent="0.25">
      <c r="B5028" s="545">
        <v>6088</v>
      </c>
      <c r="C5028" s="545" t="s">
        <v>4296</v>
      </c>
      <c r="D5028" s="669" t="s">
        <v>395</v>
      </c>
      <c r="E5028" s="546">
        <v>764.2</v>
      </c>
    </row>
    <row r="5029" spans="2:5" x14ac:dyDescent="0.25">
      <c r="B5029" s="545">
        <v>6089</v>
      </c>
      <c r="C5029" s="545" t="s">
        <v>3201</v>
      </c>
      <c r="D5029" s="669" t="s">
        <v>395</v>
      </c>
      <c r="E5029" s="546">
        <v>701.14999399999999</v>
      </c>
    </row>
    <row r="5030" spans="2:5" x14ac:dyDescent="0.25">
      <c r="B5030" s="545">
        <v>6090</v>
      </c>
      <c r="C5030" s="545" t="s">
        <v>2998</v>
      </c>
      <c r="D5030" s="669" t="s">
        <v>395</v>
      </c>
      <c r="E5030" s="546">
        <v>690.62222599999996</v>
      </c>
    </row>
    <row r="5031" spans="2:5" x14ac:dyDescent="0.25">
      <c r="B5031" s="545">
        <v>6091</v>
      </c>
      <c r="C5031" s="545" t="s">
        <v>2167</v>
      </c>
      <c r="D5031" s="669" t="s">
        <v>395</v>
      </c>
      <c r="E5031" s="546">
        <v>651.59999600000003</v>
      </c>
    </row>
    <row r="5032" spans="2:5" x14ac:dyDescent="0.25">
      <c r="B5032" s="545">
        <v>6092</v>
      </c>
      <c r="C5032" s="545" t="s">
        <v>3674</v>
      </c>
      <c r="D5032" s="669" t="s">
        <v>395</v>
      </c>
      <c r="E5032" s="546">
        <v>725.74999500000001</v>
      </c>
    </row>
    <row r="5033" spans="2:5" x14ac:dyDescent="0.25">
      <c r="B5033" s="545">
        <v>6093</v>
      </c>
      <c r="C5033" s="545" t="s">
        <v>3481</v>
      </c>
      <c r="D5033" s="669" t="s">
        <v>395</v>
      </c>
      <c r="E5033" s="546">
        <v>715.03332499999999</v>
      </c>
    </row>
    <row r="5034" spans="2:5" x14ac:dyDescent="0.25">
      <c r="B5034" s="545">
        <v>6094</v>
      </c>
      <c r="C5034" s="545" t="s">
        <v>2727</v>
      </c>
      <c r="D5034" s="669" t="s">
        <v>395</v>
      </c>
      <c r="E5034" s="546">
        <v>677.23750299999995</v>
      </c>
    </row>
    <row r="5035" spans="2:5" x14ac:dyDescent="0.25">
      <c r="B5035" s="545">
        <v>6095</v>
      </c>
      <c r="C5035" s="545" t="s">
        <v>2070</v>
      </c>
      <c r="D5035" s="669" t="s">
        <v>395</v>
      </c>
      <c r="E5035" s="546">
        <v>646.41249800000003</v>
      </c>
    </row>
    <row r="5036" spans="2:5" x14ac:dyDescent="0.25">
      <c r="B5036" s="545">
        <v>6096</v>
      </c>
      <c r="C5036" s="545" t="s">
        <v>1042</v>
      </c>
      <c r="D5036" s="669" t="s">
        <v>395</v>
      </c>
      <c r="E5036" s="546">
        <v>772.84545300000002</v>
      </c>
    </row>
    <row r="5037" spans="2:5" x14ac:dyDescent="0.25">
      <c r="B5037" s="545">
        <v>6097</v>
      </c>
      <c r="C5037" s="545" t="s">
        <v>1794</v>
      </c>
      <c r="D5037" s="669" t="s">
        <v>395</v>
      </c>
      <c r="E5037" s="546">
        <v>635.82000700000003</v>
      </c>
    </row>
    <row r="5038" spans="2:5" x14ac:dyDescent="0.25">
      <c r="B5038" s="545">
        <v>6098</v>
      </c>
      <c r="C5038" s="545" t="s">
        <v>2393</v>
      </c>
      <c r="D5038" s="669" t="s">
        <v>395</v>
      </c>
      <c r="E5038" s="546">
        <v>661.79411800000003</v>
      </c>
    </row>
    <row r="5039" spans="2:5" x14ac:dyDescent="0.25">
      <c r="B5039" s="545">
        <v>6099</v>
      </c>
      <c r="C5039" s="545" t="s">
        <v>1838</v>
      </c>
      <c r="D5039" s="669" t="s">
        <v>395</v>
      </c>
      <c r="E5039" s="546">
        <v>637.26363300000003</v>
      </c>
    </row>
    <row r="5040" spans="2:5" x14ac:dyDescent="0.25">
      <c r="B5040" s="545">
        <v>6100</v>
      </c>
      <c r="C5040" s="545" t="s">
        <v>3544</v>
      </c>
      <c r="D5040" s="669" t="s">
        <v>395</v>
      </c>
      <c r="E5040" s="546">
        <v>718.58333300000004</v>
      </c>
    </row>
    <row r="5041" spans="2:5" x14ac:dyDescent="0.25">
      <c r="B5041" s="545">
        <v>6101</v>
      </c>
      <c r="C5041" s="545" t="s">
        <v>3540</v>
      </c>
      <c r="D5041" s="669" t="s">
        <v>395</v>
      </c>
      <c r="E5041" s="546">
        <v>718.41666699999996</v>
      </c>
    </row>
    <row r="5042" spans="2:5" x14ac:dyDescent="0.25">
      <c r="B5042" s="545">
        <v>6102</v>
      </c>
      <c r="C5042" s="545" t="s">
        <v>4557</v>
      </c>
      <c r="D5042" s="669" t="s">
        <v>395</v>
      </c>
      <c r="E5042" s="546">
        <v>784.48182299999996</v>
      </c>
    </row>
    <row r="5043" spans="2:5" x14ac:dyDescent="0.25">
      <c r="B5043" s="545">
        <v>6103</v>
      </c>
      <c r="C5043" s="545" t="s">
        <v>3796</v>
      </c>
      <c r="D5043" s="669" t="s">
        <v>395</v>
      </c>
      <c r="E5043" s="546">
        <v>732.4</v>
      </c>
    </row>
    <row r="5044" spans="2:5" x14ac:dyDescent="0.25">
      <c r="B5044" s="545">
        <v>6104</v>
      </c>
      <c r="C5044" s="545" t="s">
        <v>4050</v>
      </c>
      <c r="D5044" s="669" t="s">
        <v>395</v>
      </c>
      <c r="E5044" s="546">
        <v>748.14545199999998</v>
      </c>
    </row>
    <row r="5045" spans="2:5" x14ac:dyDescent="0.25">
      <c r="B5045" s="545">
        <v>6105</v>
      </c>
      <c r="C5045" s="545" t="s">
        <v>2867</v>
      </c>
      <c r="D5045" s="669" t="s">
        <v>395</v>
      </c>
      <c r="E5045" s="546">
        <v>684.67500299999995</v>
      </c>
    </row>
    <row r="5046" spans="2:5" x14ac:dyDescent="0.25">
      <c r="B5046" s="545">
        <v>6106</v>
      </c>
      <c r="C5046" s="545" t="s">
        <v>3368</v>
      </c>
      <c r="D5046" s="669" t="s">
        <v>395</v>
      </c>
      <c r="E5046" s="546">
        <v>709.31111299999998</v>
      </c>
    </row>
    <row r="5047" spans="2:5" x14ac:dyDescent="0.25">
      <c r="B5047" s="545">
        <v>6151</v>
      </c>
      <c r="C5047" s="545" t="s">
        <v>3147</v>
      </c>
      <c r="D5047" s="669" t="s">
        <v>399</v>
      </c>
      <c r="E5047" s="546">
        <v>698.64499799999999</v>
      </c>
    </row>
    <row r="5048" spans="2:5" x14ac:dyDescent="0.25">
      <c r="B5048" s="545">
        <v>6152</v>
      </c>
      <c r="C5048" s="545" t="s">
        <v>4556</v>
      </c>
      <c r="D5048" s="669" t="s">
        <v>399</v>
      </c>
      <c r="E5048" s="546">
        <v>784.40476200000001</v>
      </c>
    </row>
    <row r="5049" spans="2:5" x14ac:dyDescent="0.25">
      <c r="B5049" s="545">
        <v>6153</v>
      </c>
      <c r="C5049" s="545" t="s">
        <v>2868</v>
      </c>
      <c r="D5049" s="669" t="s">
        <v>399</v>
      </c>
      <c r="E5049" s="546">
        <v>684.6875</v>
      </c>
    </row>
    <row r="5050" spans="2:5" x14ac:dyDescent="0.25">
      <c r="B5050" s="545">
        <v>6154</v>
      </c>
      <c r="C5050" s="545" t="s">
        <v>2690</v>
      </c>
      <c r="D5050" s="669" t="s">
        <v>399</v>
      </c>
      <c r="E5050" s="546">
        <v>675.45714899999996</v>
      </c>
    </row>
    <row r="5051" spans="2:5" x14ac:dyDescent="0.25">
      <c r="B5051" s="545">
        <v>6155</v>
      </c>
      <c r="C5051" s="545" t="s">
        <v>2447</v>
      </c>
      <c r="D5051" s="669" t="s">
        <v>399</v>
      </c>
      <c r="E5051" s="546">
        <v>704.95713599999999</v>
      </c>
    </row>
    <row r="5052" spans="2:5" x14ac:dyDescent="0.25">
      <c r="B5052" s="545">
        <v>6156</v>
      </c>
      <c r="C5052" s="545" t="s">
        <v>2960</v>
      </c>
      <c r="D5052" s="669" t="s">
        <v>399</v>
      </c>
      <c r="E5052" s="546">
        <v>688.35238200000003</v>
      </c>
    </row>
    <row r="5053" spans="2:5" x14ac:dyDescent="0.25">
      <c r="B5053" s="545">
        <v>6157</v>
      </c>
      <c r="C5053" s="545" t="s">
        <v>2514</v>
      </c>
      <c r="D5053" s="669" t="s">
        <v>399</v>
      </c>
      <c r="E5053" s="546">
        <v>666.52000699999996</v>
      </c>
    </row>
    <row r="5054" spans="2:5" x14ac:dyDescent="0.25">
      <c r="B5054" s="545">
        <v>6158</v>
      </c>
      <c r="C5054" s="545" t="s">
        <v>2476</v>
      </c>
      <c r="D5054" s="669" t="s">
        <v>399</v>
      </c>
      <c r="E5054" s="546">
        <v>709.22352899999998</v>
      </c>
    </row>
    <row r="5055" spans="2:5" x14ac:dyDescent="0.25">
      <c r="B5055" s="545">
        <v>6159</v>
      </c>
      <c r="C5055" s="545" t="s">
        <v>2986</v>
      </c>
      <c r="D5055" s="669" t="s">
        <v>399</v>
      </c>
      <c r="E5055" s="546">
        <v>689.85556399999996</v>
      </c>
    </row>
    <row r="5056" spans="2:5" x14ac:dyDescent="0.25">
      <c r="B5056" s="545">
        <v>6160</v>
      </c>
      <c r="C5056" s="545" t="s">
        <v>3009</v>
      </c>
      <c r="D5056" s="669" t="s">
        <v>399</v>
      </c>
      <c r="E5056" s="546">
        <v>691.21818399999995</v>
      </c>
    </row>
    <row r="5057" spans="2:5" x14ac:dyDescent="0.25">
      <c r="B5057" s="545">
        <v>6161</v>
      </c>
      <c r="C5057" s="545" t="s">
        <v>3219</v>
      </c>
      <c r="D5057" s="669" t="s">
        <v>399</v>
      </c>
      <c r="E5057" s="546">
        <v>702.17778899999996</v>
      </c>
    </row>
    <row r="5058" spans="2:5" x14ac:dyDescent="0.25">
      <c r="B5058" s="545">
        <v>6162</v>
      </c>
      <c r="C5058" s="545" t="s">
        <v>3596</v>
      </c>
      <c r="D5058" s="669" t="s">
        <v>399</v>
      </c>
      <c r="E5058" s="546">
        <v>721.02941499999997</v>
      </c>
    </row>
    <row r="5059" spans="2:5" x14ac:dyDescent="0.25">
      <c r="B5059" s="545">
        <v>6163</v>
      </c>
      <c r="C5059" s="545" t="s">
        <v>3699</v>
      </c>
      <c r="D5059" s="669" t="s">
        <v>399</v>
      </c>
      <c r="E5059" s="546">
        <v>727.10001199999999</v>
      </c>
    </row>
    <row r="5060" spans="2:5" x14ac:dyDescent="0.25">
      <c r="B5060" s="545">
        <v>6164</v>
      </c>
      <c r="C5060" s="545" t="s">
        <v>3484</v>
      </c>
      <c r="D5060" s="669" t="s">
        <v>399</v>
      </c>
      <c r="E5060" s="546">
        <v>715.22500600000001</v>
      </c>
    </row>
    <row r="5061" spans="2:5" x14ac:dyDescent="0.25">
      <c r="B5061" s="545">
        <v>6165</v>
      </c>
      <c r="C5061" s="545" t="s">
        <v>4570</v>
      </c>
      <c r="D5061" s="669" t="s">
        <v>399</v>
      </c>
      <c r="E5061" s="546">
        <v>785.90999799999997</v>
      </c>
    </row>
    <row r="5062" spans="2:5" x14ac:dyDescent="0.25">
      <c r="B5062" s="545">
        <v>6166</v>
      </c>
      <c r="C5062" s="545" t="s">
        <v>4137</v>
      </c>
      <c r="D5062" s="669" t="s">
        <v>399</v>
      </c>
      <c r="E5062" s="546">
        <v>753.18667000000005</v>
      </c>
    </row>
    <row r="5063" spans="2:5" x14ac:dyDescent="0.25">
      <c r="B5063" s="545">
        <v>6167</v>
      </c>
      <c r="C5063" s="545" t="s">
        <v>4206</v>
      </c>
      <c r="D5063" s="669" t="s">
        <v>399</v>
      </c>
      <c r="E5063" s="546">
        <v>757.98999600000002</v>
      </c>
    </row>
    <row r="5064" spans="2:5" x14ac:dyDescent="0.25">
      <c r="B5064" s="545">
        <v>6168</v>
      </c>
      <c r="C5064" s="545" t="s">
        <v>4925</v>
      </c>
      <c r="D5064" s="669" t="s">
        <v>399</v>
      </c>
      <c r="E5064" s="546">
        <v>814.6</v>
      </c>
    </row>
    <row r="5065" spans="2:5" x14ac:dyDescent="0.25">
      <c r="B5065" s="545">
        <v>6169</v>
      </c>
      <c r="C5065" s="545" t="s">
        <v>2384</v>
      </c>
      <c r="D5065" s="669" t="s">
        <v>399</v>
      </c>
      <c r="E5065" s="546">
        <v>751.79999799999996</v>
      </c>
    </row>
    <row r="5066" spans="2:5" x14ac:dyDescent="0.25">
      <c r="B5066" s="545">
        <v>6170</v>
      </c>
      <c r="C5066" s="545" t="s">
        <v>1571</v>
      </c>
      <c r="D5066" s="669" t="s">
        <v>399</v>
      </c>
      <c r="E5066" s="546">
        <v>739.98751100000004</v>
      </c>
    </row>
    <row r="5067" spans="2:5" x14ac:dyDescent="0.25">
      <c r="B5067" s="545">
        <v>6171</v>
      </c>
      <c r="C5067" s="545" t="s">
        <v>3235</v>
      </c>
      <c r="D5067" s="669" t="s">
        <v>399</v>
      </c>
      <c r="E5067" s="546">
        <v>702.733341</v>
      </c>
    </row>
    <row r="5068" spans="2:5" x14ac:dyDescent="0.25">
      <c r="B5068" s="545">
        <v>6172</v>
      </c>
      <c r="C5068" s="545" t="s">
        <v>6996</v>
      </c>
      <c r="D5068" s="669" t="s">
        <v>399</v>
      </c>
      <c r="E5068" s="546">
        <v>706.82631600000002</v>
      </c>
    </row>
    <row r="5069" spans="2:5" x14ac:dyDescent="0.25">
      <c r="B5069" s="545">
        <v>6173</v>
      </c>
      <c r="C5069" s="545" t="s">
        <v>2525</v>
      </c>
      <c r="D5069" s="669" t="s">
        <v>399</v>
      </c>
      <c r="E5069" s="546">
        <v>667.43332899999996</v>
      </c>
    </row>
    <row r="5070" spans="2:5" x14ac:dyDescent="0.25">
      <c r="B5070" s="545">
        <v>6174</v>
      </c>
      <c r="C5070" s="545" t="s">
        <v>3343</v>
      </c>
      <c r="D5070" s="669" t="s">
        <v>399</v>
      </c>
      <c r="E5070" s="546">
        <v>707.85000600000001</v>
      </c>
    </row>
    <row r="5071" spans="2:5" x14ac:dyDescent="0.25">
      <c r="B5071" s="545">
        <v>6175</v>
      </c>
      <c r="C5071" s="545" t="s">
        <v>3334</v>
      </c>
      <c r="D5071" s="669" t="s">
        <v>399</v>
      </c>
      <c r="E5071" s="546">
        <v>707.56001000000003</v>
      </c>
    </row>
    <row r="5072" spans="2:5" x14ac:dyDescent="0.25">
      <c r="B5072" s="545">
        <v>6176</v>
      </c>
      <c r="C5072" s="545" t="s">
        <v>3267</v>
      </c>
      <c r="D5072" s="669" t="s">
        <v>399</v>
      </c>
      <c r="E5072" s="546">
        <v>703.79375100000004</v>
      </c>
    </row>
    <row r="5073" spans="2:5" x14ac:dyDescent="0.25">
      <c r="B5073" s="545">
        <v>6177</v>
      </c>
      <c r="C5073" s="545" t="s">
        <v>3556</v>
      </c>
      <c r="D5073" s="669" t="s">
        <v>399</v>
      </c>
      <c r="E5073" s="546">
        <v>718.96666700000003</v>
      </c>
    </row>
    <row r="5074" spans="2:5" x14ac:dyDescent="0.25">
      <c r="B5074" s="545">
        <v>6178</v>
      </c>
      <c r="C5074" s="545" t="s">
        <v>3921</v>
      </c>
      <c r="D5074" s="669" t="s">
        <v>399</v>
      </c>
      <c r="E5074" s="546">
        <v>740.09599600000001</v>
      </c>
    </row>
    <row r="5075" spans="2:5" x14ac:dyDescent="0.25">
      <c r="B5075" s="545">
        <v>6179</v>
      </c>
      <c r="C5075" s="545" t="s">
        <v>4371</v>
      </c>
      <c r="D5075" s="669" t="s">
        <v>399</v>
      </c>
      <c r="E5075" s="546">
        <v>769.90999799999997</v>
      </c>
    </row>
    <row r="5076" spans="2:5" x14ac:dyDescent="0.25">
      <c r="B5076" s="545">
        <v>6180</v>
      </c>
      <c r="C5076" s="545" t="s">
        <v>2923</v>
      </c>
      <c r="D5076" s="669" t="s">
        <v>399</v>
      </c>
      <c r="E5076" s="546">
        <v>686.87142700000004</v>
      </c>
    </row>
    <row r="5077" spans="2:5" x14ac:dyDescent="0.25">
      <c r="B5077" s="545">
        <v>6181</v>
      </c>
      <c r="C5077" s="545" t="s">
        <v>2302</v>
      </c>
      <c r="D5077" s="669" t="s">
        <v>399</v>
      </c>
      <c r="E5077" s="546">
        <v>720.278953</v>
      </c>
    </row>
    <row r="5078" spans="2:5" x14ac:dyDescent="0.25">
      <c r="B5078" s="545">
        <v>6182</v>
      </c>
      <c r="C5078" s="545" t="s">
        <v>7046</v>
      </c>
      <c r="D5078" s="669" t="s">
        <v>399</v>
      </c>
      <c r="E5078" s="546">
        <v>682.240002</v>
      </c>
    </row>
    <row r="5079" spans="2:5" x14ac:dyDescent="0.25">
      <c r="B5079" s="545">
        <v>6183</v>
      </c>
      <c r="C5079" s="545" t="s">
        <v>3643</v>
      </c>
      <c r="D5079" s="669" t="s">
        <v>399</v>
      </c>
      <c r="E5079" s="546">
        <v>724.15455199999997</v>
      </c>
    </row>
    <row r="5080" spans="2:5" x14ac:dyDescent="0.25">
      <c r="B5080" s="545">
        <v>6184</v>
      </c>
      <c r="C5080" s="545" t="s">
        <v>6530</v>
      </c>
      <c r="D5080" s="669" t="s">
        <v>399</v>
      </c>
      <c r="E5080" s="546">
        <v>709.11364200000003</v>
      </c>
    </row>
    <row r="5081" spans="2:5" x14ac:dyDescent="0.25">
      <c r="B5081" s="545">
        <v>6185</v>
      </c>
      <c r="C5081" s="545" t="s">
        <v>3780</v>
      </c>
      <c r="D5081" s="669" t="s">
        <v>399</v>
      </c>
      <c r="E5081" s="546">
        <v>731.69412399999999</v>
      </c>
    </row>
    <row r="5082" spans="2:5" x14ac:dyDescent="0.25">
      <c r="B5082" s="545">
        <v>6186</v>
      </c>
      <c r="C5082" s="545" t="s">
        <v>2726</v>
      </c>
      <c r="D5082" s="669" t="s">
        <v>399</v>
      </c>
      <c r="E5082" s="546">
        <v>677.17776800000001</v>
      </c>
    </row>
    <row r="5083" spans="2:5" x14ac:dyDescent="0.25">
      <c r="B5083" s="545">
        <v>6187</v>
      </c>
      <c r="C5083" s="545" t="s">
        <v>3631</v>
      </c>
      <c r="D5083" s="669" t="s">
        <v>399</v>
      </c>
      <c r="E5083" s="546">
        <v>723.62778000000003</v>
      </c>
    </row>
    <row r="5084" spans="2:5" x14ac:dyDescent="0.25">
      <c r="B5084" s="545">
        <v>6188</v>
      </c>
      <c r="C5084" s="545" t="s">
        <v>3077</v>
      </c>
      <c r="D5084" s="669" t="s">
        <v>399</v>
      </c>
      <c r="E5084" s="546">
        <v>694.92000700000006</v>
      </c>
    </row>
    <row r="5085" spans="2:5" x14ac:dyDescent="0.25">
      <c r="B5085" s="545">
        <v>6189</v>
      </c>
      <c r="C5085" s="545" t="s">
        <v>3454</v>
      </c>
      <c r="D5085" s="669" t="s">
        <v>399</v>
      </c>
      <c r="E5085" s="546">
        <v>713.45332800000006</v>
      </c>
    </row>
    <row r="5086" spans="2:5" x14ac:dyDescent="0.25">
      <c r="B5086" s="545">
        <v>6190</v>
      </c>
      <c r="C5086" s="545" t="s">
        <v>784</v>
      </c>
      <c r="D5086" s="669" t="s">
        <v>399</v>
      </c>
      <c r="E5086" s="546">
        <v>682.38749700000005</v>
      </c>
    </row>
    <row r="5087" spans="2:5" x14ac:dyDescent="0.25">
      <c r="B5087" s="545">
        <v>6191</v>
      </c>
      <c r="C5087" s="545" t="s">
        <v>7518</v>
      </c>
      <c r="D5087" s="669" t="s">
        <v>399</v>
      </c>
      <c r="E5087" s="546">
        <v>731.96153800000002</v>
      </c>
    </row>
    <row r="5088" spans="2:5" x14ac:dyDescent="0.25">
      <c r="B5088" s="545">
        <v>6192</v>
      </c>
      <c r="C5088" s="545" t="s">
        <v>3214</v>
      </c>
      <c r="D5088" s="669" t="s">
        <v>399</v>
      </c>
      <c r="E5088" s="546">
        <v>701.82500200000004</v>
      </c>
    </row>
    <row r="5089" spans="2:5" x14ac:dyDescent="0.25">
      <c r="B5089" s="545">
        <v>6193</v>
      </c>
      <c r="C5089" s="545" t="s">
        <v>3775</v>
      </c>
      <c r="D5089" s="669" t="s">
        <v>399</v>
      </c>
      <c r="E5089" s="546">
        <v>731.55238299999996</v>
      </c>
    </row>
    <row r="5090" spans="2:5" x14ac:dyDescent="0.25">
      <c r="B5090" s="545">
        <v>6194</v>
      </c>
      <c r="C5090" s="545" t="s">
        <v>3654</v>
      </c>
      <c r="D5090" s="669" t="s">
        <v>399</v>
      </c>
      <c r="E5090" s="546">
        <v>724.46154300000001</v>
      </c>
    </row>
    <row r="5091" spans="2:5" x14ac:dyDescent="0.25">
      <c r="B5091" s="545">
        <v>6195</v>
      </c>
      <c r="C5091" s="545" t="s">
        <v>3739</v>
      </c>
      <c r="D5091" s="669" t="s">
        <v>399</v>
      </c>
      <c r="E5091" s="546">
        <v>770.77307399999995</v>
      </c>
    </row>
    <row r="5092" spans="2:5" x14ac:dyDescent="0.25">
      <c r="B5092" s="545">
        <v>6196</v>
      </c>
      <c r="C5092" s="545" t="s">
        <v>2643</v>
      </c>
      <c r="D5092" s="669" t="s">
        <v>399</v>
      </c>
      <c r="E5092" s="546">
        <v>673.51874499999997</v>
      </c>
    </row>
    <row r="5093" spans="2:5" x14ac:dyDescent="0.25">
      <c r="B5093" s="545">
        <v>6197</v>
      </c>
      <c r="C5093" s="545" t="s">
        <v>6901</v>
      </c>
      <c r="D5093" s="669" t="s">
        <v>399</v>
      </c>
      <c r="E5093" s="546">
        <v>684.741669</v>
      </c>
    </row>
    <row r="5094" spans="2:5" x14ac:dyDescent="0.25">
      <c r="B5094" s="545">
        <v>6198</v>
      </c>
      <c r="C5094" s="545" t="s">
        <v>2215</v>
      </c>
      <c r="D5094" s="669" t="s">
        <v>399</v>
      </c>
      <c r="E5094" s="546">
        <v>653.59999100000005</v>
      </c>
    </row>
    <row r="5095" spans="2:5" x14ac:dyDescent="0.25">
      <c r="B5095" s="545">
        <v>6199</v>
      </c>
      <c r="C5095" s="545" t="s">
        <v>2216</v>
      </c>
      <c r="D5095" s="669" t="s">
        <v>399</v>
      </c>
      <c r="E5095" s="546">
        <v>653.67999299999997</v>
      </c>
    </row>
    <row r="5096" spans="2:5" x14ac:dyDescent="0.25">
      <c r="B5096" s="545">
        <v>6200</v>
      </c>
      <c r="C5096" s="545" t="s">
        <v>2481</v>
      </c>
      <c r="D5096" s="669" t="s">
        <v>399</v>
      </c>
      <c r="E5096" s="546">
        <v>665.069569</v>
      </c>
    </row>
    <row r="5097" spans="2:5" x14ac:dyDescent="0.25">
      <c r="B5097" s="545">
        <v>6201</v>
      </c>
      <c r="C5097" s="545" t="s">
        <v>3811</v>
      </c>
      <c r="D5097" s="669" t="s">
        <v>399</v>
      </c>
      <c r="E5097" s="546">
        <v>733.44999700000005</v>
      </c>
    </row>
    <row r="5098" spans="2:5" x14ac:dyDescent="0.25">
      <c r="B5098" s="545">
        <v>6202</v>
      </c>
      <c r="C5098" s="545" t="s">
        <v>4339</v>
      </c>
      <c r="D5098" s="669" t="s">
        <v>399</v>
      </c>
      <c r="E5098" s="546">
        <v>767.37222299999996</v>
      </c>
    </row>
    <row r="5099" spans="2:5" x14ac:dyDescent="0.25">
      <c r="B5099" s="545">
        <v>6203</v>
      </c>
      <c r="C5099" s="545" t="s">
        <v>4243</v>
      </c>
      <c r="D5099" s="669" t="s">
        <v>399</v>
      </c>
      <c r="E5099" s="546">
        <v>760.49047900000005</v>
      </c>
    </row>
    <row r="5100" spans="2:5" x14ac:dyDescent="0.25">
      <c r="B5100" s="545">
        <v>6204</v>
      </c>
      <c r="C5100" s="545" t="s">
        <v>3558</v>
      </c>
      <c r="D5100" s="669" t="s">
        <v>399</v>
      </c>
      <c r="E5100" s="546">
        <v>719.01665800000001</v>
      </c>
    </row>
    <row r="5101" spans="2:5" x14ac:dyDescent="0.25">
      <c r="B5101" s="545">
        <v>6205</v>
      </c>
      <c r="C5101" s="545" t="s">
        <v>4154</v>
      </c>
      <c r="D5101" s="669" t="s">
        <v>399</v>
      </c>
      <c r="E5101" s="546">
        <v>754.08181500000001</v>
      </c>
    </row>
    <row r="5102" spans="2:5" x14ac:dyDescent="0.25">
      <c r="B5102" s="545">
        <v>6206</v>
      </c>
      <c r="C5102" s="545" t="s">
        <v>3044</v>
      </c>
      <c r="D5102" s="669" t="s">
        <v>399</v>
      </c>
      <c r="E5102" s="546">
        <v>731.64374499999997</v>
      </c>
    </row>
    <row r="5103" spans="2:5" x14ac:dyDescent="0.25">
      <c r="B5103" s="545">
        <v>6207</v>
      </c>
      <c r="C5103" s="545" t="s">
        <v>3524</v>
      </c>
      <c r="D5103" s="669" t="s">
        <v>399</v>
      </c>
      <c r="E5103" s="546">
        <v>717.59997599999997</v>
      </c>
    </row>
    <row r="5104" spans="2:5" x14ac:dyDescent="0.25">
      <c r="B5104" s="545">
        <v>6208</v>
      </c>
      <c r="C5104" s="545" t="s">
        <v>2930</v>
      </c>
      <c r="D5104" s="669" t="s">
        <v>399</v>
      </c>
      <c r="E5104" s="546">
        <v>715.91428900000005</v>
      </c>
    </row>
    <row r="5105" spans="2:5" x14ac:dyDescent="0.25">
      <c r="B5105" s="545">
        <v>6209</v>
      </c>
      <c r="C5105" s="545" t="s">
        <v>3740</v>
      </c>
      <c r="D5105" s="669" t="s">
        <v>399</v>
      </c>
      <c r="E5105" s="546">
        <v>729.16428499999995</v>
      </c>
    </row>
    <row r="5106" spans="2:5" x14ac:dyDescent="0.25">
      <c r="B5106" s="545">
        <v>6210</v>
      </c>
      <c r="C5106" s="545" t="s">
        <v>4092</v>
      </c>
      <c r="D5106" s="669" t="s">
        <v>399</v>
      </c>
      <c r="E5106" s="546">
        <v>750.55001800000002</v>
      </c>
    </row>
    <row r="5107" spans="2:5" x14ac:dyDescent="0.25">
      <c r="B5107" s="545">
        <v>6211</v>
      </c>
      <c r="C5107" s="545" t="s">
        <v>3447</v>
      </c>
      <c r="D5107" s="669" t="s">
        <v>399</v>
      </c>
      <c r="E5107" s="546">
        <v>713.16666699999996</v>
      </c>
    </row>
    <row r="5108" spans="2:5" x14ac:dyDescent="0.25">
      <c r="B5108" s="545">
        <v>6212</v>
      </c>
      <c r="C5108" s="545" t="s">
        <v>4141</v>
      </c>
      <c r="D5108" s="669" t="s">
        <v>399</v>
      </c>
      <c r="E5108" s="546">
        <v>753.57692299999997</v>
      </c>
    </row>
    <row r="5109" spans="2:5" x14ac:dyDescent="0.25">
      <c r="B5109" s="545">
        <v>6213</v>
      </c>
      <c r="C5109" s="545" t="s">
        <v>3794</v>
      </c>
      <c r="D5109" s="669" t="s">
        <v>399</v>
      </c>
      <c r="E5109" s="546">
        <v>732.25</v>
      </c>
    </row>
    <row r="5110" spans="2:5" x14ac:dyDescent="0.25">
      <c r="B5110" s="545">
        <v>6214</v>
      </c>
      <c r="C5110" s="545" t="s">
        <v>3075</v>
      </c>
      <c r="D5110" s="669" t="s">
        <v>399</v>
      </c>
      <c r="E5110" s="546">
        <v>694.75453900000002</v>
      </c>
    </row>
    <row r="5111" spans="2:5" x14ac:dyDescent="0.25">
      <c r="B5111" s="545">
        <v>6215</v>
      </c>
      <c r="C5111" s="545" t="s">
        <v>2498</v>
      </c>
      <c r="D5111" s="669" t="s">
        <v>399</v>
      </c>
      <c r="E5111" s="546">
        <v>672</v>
      </c>
    </row>
    <row r="5112" spans="2:5" x14ac:dyDescent="0.25">
      <c r="B5112" s="545">
        <v>6216</v>
      </c>
      <c r="C5112" s="545" t="s">
        <v>2621</v>
      </c>
      <c r="D5112" s="669" t="s">
        <v>399</v>
      </c>
      <c r="E5112" s="546">
        <v>672.258825</v>
      </c>
    </row>
    <row r="5113" spans="2:5" x14ac:dyDescent="0.25">
      <c r="B5113" s="545">
        <v>6217</v>
      </c>
      <c r="C5113" s="545" t="s">
        <v>2882</v>
      </c>
      <c r="D5113" s="669" t="s">
        <v>399</v>
      </c>
      <c r="E5113" s="546">
        <v>685.38929099999996</v>
      </c>
    </row>
    <row r="5114" spans="2:5" x14ac:dyDescent="0.25">
      <c r="B5114" s="545">
        <v>6251</v>
      </c>
      <c r="C5114" s="545" t="s">
        <v>5676</v>
      </c>
      <c r="D5114" s="669" t="s">
        <v>391</v>
      </c>
      <c r="E5114" s="546">
        <v>932.41250200000002</v>
      </c>
    </row>
    <row r="5115" spans="2:5" x14ac:dyDescent="0.25">
      <c r="B5115" s="545">
        <v>6252</v>
      </c>
      <c r="C5115" s="545" t="s">
        <v>5506</v>
      </c>
      <c r="D5115" s="669" t="s">
        <v>391</v>
      </c>
      <c r="E5115" s="546">
        <v>896.48332400000004</v>
      </c>
    </row>
    <row r="5116" spans="2:5" x14ac:dyDescent="0.25">
      <c r="B5116" s="545">
        <v>6253</v>
      </c>
      <c r="C5116" s="545" t="s">
        <v>3187</v>
      </c>
      <c r="D5116" s="669" t="s">
        <v>391</v>
      </c>
      <c r="E5116" s="546">
        <v>752.69998199999998</v>
      </c>
    </row>
    <row r="5117" spans="2:5" x14ac:dyDescent="0.25">
      <c r="B5117" s="545">
        <v>6254</v>
      </c>
      <c r="C5117" s="545" t="s">
        <v>4833</v>
      </c>
      <c r="D5117" s="669" t="s">
        <v>391</v>
      </c>
      <c r="E5117" s="546">
        <v>806.357891</v>
      </c>
    </row>
    <row r="5118" spans="2:5" x14ac:dyDescent="0.25">
      <c r="B5118" s="545">
        <v>6255</v>
      </c>
      <c r="C5118" s="545" t="s">
        <v>5529</v>
      </c>
      <c r="D5118" s="669" t="s">
        <v>391</v>
      </c>
      <c r="E5118" s="546">
        <v>900.95714499999997</v>
      </c>
    </row>
    <row r="5119" spans="2:5" x14ac:dyDescent="0.25">
      <c r="B5119" s="545">
        <v>6256</v>
      </c>
      <c r="C5119" s="545" t="s">
        <v>2471</v>
      </c>
      <c r="D5119" s="669" t="s">
        <v>391</v>
      </c>
      <c r="E5119" s="546">
        <v>828.32500000000005</v>
      </c>
    </row>
    <row r="5120" spans="2:5" x14ac:dyDescent="0.25">
      <c r="B5120" s="545">
        <v>6257</v>
      </c>
      <c r="C5120" s="545" t="s">
        <v>5487</v>
      </c>
      <c r="D5120" s="669" t="s">
        <v>391</v>
      </c>
      <c r="E5120" s="546">
        <v>893.96499900000003</v>
      </c>
    </row>
    <row r="5121" spans="2:5" x14ac:dyDescent="0.25">
      <c r="B5121" s="545">
        <v>6258</v>
      </c>
      <c r="C5121" s="545" t="s">
        <v>5269</v>
      </c>
      <c r="D5121" s="669" t="s">
        <v>391</v>
      </c>
      <c r="E5121" s="546">
        <v>856.764996</v>
      </c>
    </row>
    <row r="5122" spans="2:5" x14ac:dyDescent="0.25">
      <c r="B5122" s="545">
        <v>6259</v>
      </c>
      <c r="C5122" s="545" t="s">
        <v>4853</v>
      </c>
      <c r="D5122" s="669" t="s">
        <v>391</v>
      </c>
      <c r="E5122" s="546">
        <v>807.57999299999994</v>
      </c>
    </row>
    <row r="5123" spans="2:5" x14ac:dyDescent="0.25">
      <c r="B5123" s="545">
        <v>6260</v>
      </c>
      <c r="C5123" s="545" t="s">
        <v>4235</v>
      </c>
      <c r="D5123" s="669" t="s">
        <v>391</v>
      </c>
      <c r="E5123" s="546">
        <v>760.17498799999998</v>
      </c>
    </row>
    <row r="5124" spans="2:5" x14ac:dyDescent="0.25">
      <c r="B5124" s="545">
        <v>6261</v>
      </c>
      <c r="C5124" s="545" t="s">
        <v>4648</v>
      </c>
      <c r="D5124" s="669" t="s">
        <v>391</v>
      </c>
      <c r="E5124" s="546">
        <v>792.363159</v>
      </c>
    </row>
    <row r="5125" spans="2:5" x14ac:dyDescent="0.25">
      <c r="B5125" s="545">
        <v>6262</v>
      </c>
      <c r="C5125" s="545" t="s">
        <v>4473</v>
      </c>
      <c r="D5125" s="669" t="s">
        <v>391</v>
      </c>
      <c r="E5125" s="546">
        <v>778.22857699999997</v>
      </c>
    </row>
    <row r="5126" spans="2:5" x14ac:dyDescent="0.25">
      <c r="B5126" s="545">
        <v>6263</v>
      </c>
      <c r="C5126" s="545" t="s">
        <v>4133</v>
      </c>
      <c r="D5126" s="669" t="s">
        <v>391</v>
      </c>
      <c r="E5126" s="546">
        <v>752.82273199999997</v>
      </c>
    </row>
    <row r="5127" spans="2:5" x14ac:dyDescent="0.25">
      <c r="B5127" s="545">
        <v>6264</v>
      </c>
      <c r="C5127" s="545" t="s">
        <v>2153</v>
      </c>
      <c r="D5127" s="669" t="s">
        <v>391</v>
      </c>
      <c r="E5127" s="546">
        <v>803.29375100000004</v>
      </c>
    </row>
    <row r="5128" spans="2:5" x14ac:dyDescent="0.25">
      <c r="B5128" s="545">
        <v>6265</v>
      </c>
      <c r="C5128" s="545" t="s">
        <v>4766</v>
      </c>
      <c r="D5128" s="669" t="s">
        <v>391</v>
      </c>
      <c r="E5128" s="546">
        <v>801.49231399999996</v>
      </c>
    </row>
    <row r="5129" spans="2:5" x14ac:dyDescent="0.25">
      <c r="B5129" s="545">
        <v>6266</v>
      </c>
      <c r="C5129" s="545" t="s">
        <v>3547</v>
      </c>
      <c r="D5129" s="669" t="s">
        <v>391</v>
      </c>
      <c r="E5129" s="546">
        <v>718.69999900000005</v>
      </c>
    </row>
    <row r="5130" spans="2:5" x14ac:dyDescent="0.25">
      <c r="B5130" s="545">
        <v>6267</v>
      </c>
      <c r="C5130" s="545" t="s">
        <v>7323</v>
      </c>
      <c r="D5130" s="669" t="s">
        <v>391</v>
      </c>
      <c r="E5130" s="546">
        <v>703.35999800000002</v>
      </c>
    </row>
    <row r="5131" spans="2:5" x14ac:dyDescent="0.25">
      <c r="B5131" s="545">
        <v>6268</v>
      </c>
      <c r="C5131" s="545" t="s">
        <v>3514</v>
      </c>
      <c r="D5131" s="669" t="s">
        <v>391</v>
      </c>
      <c r="E5131" s="546">
        <v>717.10587799999996</v>
      </c>
    </row>
    <row r="5132" spans="2:5" x14ac:dyDescent="0.25">
      <c r="B5132" s="545">
        <v>6269</v>
      </c>
      <c r="C5132" s="545" t="s">
        <v>3718</v>
      </c>
      <c r="D5132" s="669" t="s">
        <v>391</v>
      </c>
      <c r="E5132" s="546">
        <v>728.26841999999999</v>
      </c>
    </row>
    <row r="5133" spans="2:5" x14ac:dyDescent="0.25">
      <c r="B5133" s="545">
        <v>6270</v>
      </c>
      <c r="C5133" s="545" t="s">
        <v>3774</v>
      </c>
      <c r="D5133" s="669" t="s">
        <v>391</v>
      </c>
      <c r="E5133" s="546">
        <v>731.35000600000001</v>
      </c>
    </row>
    <row r="5134" spans="2:5" x14ac:dyDescent="0.25">
      <c r="B5134" s="545">
        <v>6271</v>
      </c>
      <c r="C5134" s="545" t="s">
        <v>4174</v>
      </c>
      <c r="D5134" s="669" t="s">
        <v>391</v>
      </c>
      <c r="E5134" s="546">
        <v>755.62105199999996</v>
      </c>
    </row>
    <row r="5135" spans="2:5" x14ac:dyDescent="0.25">
      <c r="B5135" s="545">
        <v>6272</v>
      </c>
      <c r="C5135" s="545" t="s">
        <v>4412</v>
      </c>
      <c r="D5135" s="669" t="s">
        <v>391</v>
      </c>
      <c r="E5135" s="546">
        <v>773.77083100000004</v>
      </c>
    </row>
    <row r="5136" spans="2:5" x14ac:dyDescent="0.25">
      <c r="B5136" s="545">
        <v>6273</v>
      </c>
      <c r="C5136" s="545" t="s">
        <v>7472</v>
      </c>
      <c r="D5136" s="669" t="s">
        <v>391</v>
      </c>
      <c r="E5136" s="546">
        <v>811.635716</v>
      </c>
    </row>
    <row r="5137" spans="2:5" x14ac:dyDescent="0.25">
      <c r="B5137" s="545">
        <v>6274</v>
      </c>
      <c r="C5137" s="545" t="s">
        <v>4522</v>
      </c>
      <c r="D5137" s="669" t="s">
        <v>391</v>
      </c>
      <c r="E5137" s="546">
        <v>781.05000299999995</v>
      </c>
    </row>
    <row r="5138" spans="2:5" x14ac:dyDescent="0.25">
      <c r="B5138" s="545">
        <v>6275</v>
      </c>
      <c r="C5138" s="545" t="s">
        <v>7084</v>
      </c>
      <c r="D5138" s="669" t="s">
        <v>391</v>
      </c>
      <c r="E5138" s="546">
        <v>781.19999199999995</v>
      </c>
    </row>
    <row r="5139" spans="2:5" x14ac:dyDescent="0.25">
      <c r="B5139" s="545">
        <v>6276</v>
      </c>
      <c r="C5139" s="545" t="s">
        <v>4562</v>
      </c>
      <c r="D5139" s="669" t="s">
        <v>391</v>
      </c>
      <c r="E5139" s="546">
        <v>785.02499399999999</v>
      </c>
    </row>
    <row r="5140" spans="2:5" x14ac:dyDescent="0.25">
      <c r="B5140" s="545">
        <v>6301</v>
      </c>
      <c r="C5140" s="545" t="s">
        <v>6770</v>
      </c>
      <c r="D5140" s="669" t="s">
        <v>391</v>
      </c>
      <c r="E5140" s="546">
        <v>966.03158399999995</v>
      </c>
    </row>
    <row r="5141" spans="2:5" x14ac:dyDescent="0.25">
      <c r="B5141" s="545">
        <v>6302</v>
      </c>
      <c r="C5141" s="545" t="s">
        <v>5830</v>
      </c>
      <c r="D5141" s="669" t="s">
        <v>391</v>
      </c>
      <c r="E5141" s="546">
        <v>975.581818</v>
      </c>
    </row>
    <row r="5142" spans="2:5" x14ac:dyDescent="0.25">
      <c r="B5142" s="545">
        <v>6303</v>
      </c>
      <c r="C5142" s="545" t="s">
        <v>2890</v>
      </c>
      <c r="D5142" s="669" t="s">
        <v>391</v>
      </c>
      <c r="E5142" s="546">
        <v>926.48421099999996</v>
      </c>
    </row>
    <row r="5143" spans="2:5" x14ac:dyDescent="0.25">
      <c r="B5143" s="545">
        <v>6304</v>
      </c>
      <c r="C5143" s="545" t="s">
        <v>5574</v>
      </c>
      <c r="D5143" s="669" t="s">
        <v>391</v>
      </c>
      <c r="E5143" s="546">
        <v>907.37727199999995</v>
      </c>
    </row>
    <row r="5144" spans="2:5" x14ac:dyDescent="0.25">
      <c r="B5144" s="545">
        <v>6305</v>
      </c>
      <c r="C5144" s="545" t="s">
        <v>365</v>
      </c>
      <c r="D5144" s="669" t="s">
        <v>391</v>
      </c>
      <c r="E5144" s="546">
        <v>852.77272700000003</v>
      </c>
    </row>
    <row r="5145" spans="2:5" x14ac:dyDescent="0.25">
      <c r="B5145" s="545">
        <v>6306</v>
      </c>
      <c r="C5145" s="545" t="s">
        <v>5436</v>
      </c>
      <c r="D5145" s="669" t="s">
        <v>391</v>
      </c>
      <c r="E5145" s="546">
        <v>885.06428700000004</v>
      </c>
    </row>
    <row r="5146" spans="2:5" x14ac:dyDescent="0.25">
      <c r="B5146" s="545">
        <v>6307</v>
      </c>
      <c r="C5146" s="545" t="s">
        <v>5242</v>
      </c>
      <c r="D5146" s="669" t="s">
        <v>391</v>
      </c>
      <c r="E5146" s="546">
        <v>852.88888899999995</v>
      </c>
    </row>
    <row r="5147" spans="2:5" x14ac:dyDescent="0.25">
      <c r="B5147" s="545">
        <v>6308</v>
      </c>
      <c r="C5147" s="545" t="s">
        <v>5330</v>
      </c>
      <c r="D5147" s="669" t="s">
        <v>391</v>
      </c>
      <c r="E5147" s="546">
        <v>867.63332800000001</v>
      </c>
    </row>
    <row r="5148" spans="2:5" x14ac:dyDescent="0.25">
      <c r="B5148" s="545">
        <v>6309</v>
      </c>
      <c r="C5148" s="545" t="s">
        <v>5497</v>
      </c>
      <c r="D5148" s="669" t="s">
        <v>391</v>
      </c>
      <c r="E5148" s="546">
        <v>895.31110999999999</v>
      </c>
    </row>
    <row r="5149" spans="2:5" x14ac:dyDescent="0.25">
      <c r="B5149" s="545">
        <v>6310</v>
      </c>
      <c r="C5149" s="545" t="s">
        <v>7344</v>
      </c>
      <c r="D5149" s="669" t="s">
        <v>391</v>
      </c>
      <c r="E5149" s="546">
        <v>928.11999900000001</v>
      </c>
    </row>
    <row r="5150" spans="2:5" x14ac:dyDescent="0.25">
      <c r="B5150" s="545">
        <v>6311</v>
      </c>
      <c r="C5150" s="545" t="s">
        <v>5696</v>
      </c>
      <c r="D5150" s="669" t="s">
        <v>391</v>
      </c>
      <c r="E5150" s="546">
        <v>937.73637299999996</v>
      </c>
    </row>
    <row r="5151" spans="2:5" x14ac:dyDescent="0.25">
      <c r="B5151" s="545">
        <v>6312</v>
      </c>
      <c r="C5151" s="545" t="s">
        <v>5677</v>
      </c>
      <c r="D5151" s="669" t="s">
        <v>391</v>
      </c>
      <c r="E5151" s="546">
        <v>932.53332499999999</v>
      </c>
    </row>
    <row r="5152" spans="2:5" x14ac:dyDescent="0.25">
      <c r="B5152" s="545">
        <v>6313</v>
      </c>
      <c r="C5152" s="545" t="s">
        <v>7345</v>
      </c>
      <c r="D5152" s="669" t="s">
        <v>391</v>
      </c>
      <c r="E5152" s="546">
        <v>891.29999899999996</v>
      </c>
    </row>
    <row r="5153" spans="2:5" x14ac:dyDescent="0.25">
      <c r="B5153" s="545">
        <v>6314</v>
      </c>
      <c r="C5153" s="545" t="s">
        <v>5361</v>
      </c>
      <c r="D5153" s="669" t="s">
        <v>391</v>
      </c>
      <c r="E5153" s="546">
        <v>873.15000399999997</v>
      </c>
    </row>
    <row r="5154" spans="2:5" x14ac:dyDescent="0.25">
      <c r="B5154" s="545">
        <v>6315</v>
      </c>
      <c r="C5154" s="545" t="s">
        <v>5620</v>
      </c>
      <c r="D5154" s="669" t="s">
        <v>391</v>
      </c>
      <c r="E5154" s="546">
        <v>916.28999599999997</v>
      </c>
    </row>
    <row r="5155" spans="2:5" x14ac:dyDescent="0.25">
      <c r="B5155" s="545">
        <v>6316</v>
      </c>
      <c r="C5155" s="545" t="s">
        <v>5897</v>
      </c>
      <c r="D5155" s="669" t="s">
        <v>391</v>
      </c>
      <c r="E5155" s="546">
        <v>997.03889300000003</v>
      </c>
    </row>
    <row r="5156" spans="2:5" x14ac:dyDescent="0.25">
      <c r="B5156" s="545">
        <v>6317</v>
      </c>
      <c r="C5156" s="545" t="s">
        <v>5657</v>
      </c>
      <c r="D5156" s="669" t="s">
        <v>391</v>
      </c>
      <c r="E5156" s="546">
        <v>926.92856300000005</v>
      </c>
    </row>
    <row r="5157" spans="2:5" x14ac:dyDescent="0.25">
      <c r="B5157" s="545">
        <v>6318</v>
      </c>
      <c r="C5157" s="545" t="s">
        <v>5934</v>
      </c>
      <c r="D5157" s="669" t="s">
        <v>391</v>
      </c>
      <c r="E5157" s="546">
        <v>1016.943745</v>
      </c>
    </row>
    <row r="5158" spans="2:5" x14ac:dyDescent="0.25">
      <c r="B5158" s="545">
        <v>6319</v>
      </c>
      <c r="C5158" s="545" t="s">
        <v>5962</v>
      </c>
      <c r="D5158" s="669" t="s">
        <v>391</v>
      </c>
      <c r="E5158" s="546">
        <v>1033.7199949999999</v>
      </c>
    </row>
    <row r="5159" spans="2:5" x14ac:dyDescent="0.25">
      <c r="B5159" s="545">
        <v>6320</v>
      </c>
      <c r="C5159" s="545" t="s">
        <v>5921</v>
      </c>
      <c r="D5159" s="669" t="s">
        <v>391</v>
      </c>
      <c r="E5159" s="546">
        <v>1009.213338</v>
      </c>
    </row>
    <row r="5160" spans="2:5" x14ac:dyDescent="0.25">
      <c r="B5160" s="545">
        <v>6321</v>
      </c>
      <c r="C5160" s="545" t="s">
        <v>5876</v>
      </c>
      <c r="D5160" s="669" t="s">
        <v>391</v>
      </c>
      <c r="E5160" s="546">
        <v>991.41666699999996</v>
      </c>
    </row>
    <row r="5161" spans="2:5" x14ac:dyDescent="0.25">
      <c r="B5161" s="545">
        <v>6322</v>
      </c>
      <c r="C5161" s="545" t="s">
        <v>6514</v>
      </c>
      <c r="D5161" s="669" t="s">
        <v>391</v>
      </c>
      <c r="E5161" s="546">
        <v>1036.5</v>
      </c>
    </row>
    <row r="5162" spans="2:5" x14ac:dyDescent="0.25">
      <c r="B5162" s="545">
        <v>6323</v>
      </c>
      <c r="C5162" s="545" t="s">
        <v>5977</v>
      </c>
      <c r="D5162" s="669" t="s">
        <v>391</v>
      </c>
      <c r="E5162" s="546">
        <v>1037.3500160000001</v>
      </c>
    </row>
    <row r="5163" spans="2:5" x14ac:dyDescent="0.25">
      <c r="B5163" s="545">
        <v>6324</v>
      </c>
      <c r="C5163" s="545" t="s">
        <v>5405</v>
      </c>
      <c r="D5163" s="669" t="s">
        <v>391</v>
      </c>
      <c r="E5163" s="546">
        <v>880.07692799999995</v>
      </c>
    </row>
    <row r="5164" spans="2:5" x14ac:dyDescent="0.25">
      <c r="B5164" s="545">
        <v>6325</v>
      </c>
      <c r="C5164" s="545" t="s">
        <v>1327</v>
      </c>
      <c r="D5164" s="669" t="s">
        <v>391</v>
      </c>
      <c r="E5164" s="546">
        <v>861.79999899999996</v>
      </c>
    </row>
    <row r="5165" spans="2:5" x14ac:dyDescent="0.25">
      <c r="B5165" s="545">
        <v>6326</v>
      </c>
      <c r="C5165" s="545" t="s">
        <v>2546</v>
      </c>
      <c r="D5165" s="669" t="s">
        <v>391</v>
      </c>
      <c r="E5165" s="546">
        <v>851.815383</v>
      </c>
    </row>
    <row r="5166" spans="2:5" x14ac:dyDescent="0.25">
      <c r="B5166" s="545">
        <v>6327</v>
      </c>
      <c r="C5166" s="545" t="s">
        <v>2328</v>
      </c>
      <c r="D5166" s="669" t="s">
        <v>391</v>
      </c>
      <c r="E5166" s="546">
        <v>853.42999299999997</v>
      </c>
    </row>
    <row r="5167" spans="2:5" x14ac:dyDescent="0.25">
      <c r="B5167" s="545">
        <v>6328</v>
      </c>
      <c r="C5167" s="545" t="s">
        <v>6838</v>
      </c>
      <c r="D5167" s="669" t="s">
        <v>391</v>
      </c>
      <c r="E5167" s="546">
        <v>853.45332399999995</v>
      </c>
    </row>
    <row r="5168" spans="2:5" x14ac:dyDescent="0.25">
      <c r="B5168" s="545">
        <v>6329</v>
      </c>
      <c r="C5168" s="545" t="s">
        <v>5252</v>
      </c>
      <c r="D5168" s="669" t="s">
        <v>391</v>
      </c>
      <c r="E5168" s="546">
        <v>853.9375</v>
      </c>
    </row>
    <row r="5169" spans="2:5" x14ac:dyDescent="0.25">
      <c r="B5169" s="545">
        <v>6330</v>
      </c>
      <c r="C5169" s="545" t="s">
        <v>5368</v>
      </c>
      <c r="D5169" s="669" t="s">
        <v>391</v>
      </c>
      <c r="E5169" s="546">
        <v>873.75</v>
      </c>
    </row>
    <row r="5170" spans="2:5" x14ac:dyDescent="0.25">
      <c r="B5170" s="545">
        <v>6331</v>
      </c>
      <c r="C5170" s="545" t="s">
        <v>5331</v>
      </c>
      <c r="D5170" s="669" t="s">
        <v>391</v>
      </c>
      <c r="E5170" s="546">
        <v>867.75834099999997</v>
      </c>
    </row>
    <row r="5171" spans="2:5" x14ac:dyDescent="0.25">
      <c r="B5171" s="545">
        <v>6332</v>
      </c>
      <c r="C5171" s="545" t="s">
        <v>5388</v>
      </c>
      <c r="D5171" s="669" t="s">
        <v>391</v>
      </c>
      <c r="E5171" s="546">
        <v>876.62306999999998</v>
      </c>
    </row>
    <row r="5172" spans="2:5" x14ac:dyDescent="0.25">
      <c r="B5172" s="545">
        <v>6333</v>
      </c>
      <c r="C5172" s="545" t="s">
        <v>5771</v>
      </c>
      <c r="D5172" s="669" t="s">
        <v>391</v>
      </c>
      <c r="E5172" s="546">
        <v>959.06667100000004</v>
      </c>
    </row>
    <row r="5173" spans="2:5" x14ac:dyDescent="0.25">
      <c r="B5173" s="545">
        <v>6334</v>
      </c>
      <c r="C5173" s="545" t="s">
        <v>7282</v>
      </c>
      <c r="D5173" s="669" t="s">
        <v>391</v>
      </c>
      <c r="E5173" s="546">
        <v>1036.3533279999999</v>
      </c>
    </row>
    <row r="5174" spans="2:5" x14ac:dyDescent="0.25">
      <c r="B5174" s="545">
        <v>6335</v>
      </c>
      <c r="C5174" s="545" t="s">
        <v>4754</v>
      </c>
      <c r="D5174" s="669" t="s">
        <v>391</v>
      </c>
      <c r="E5174" s="546">
        <v>986.639996</v>
      </c>
    </row>
    <row r="5175" spans="2:5" x14ac:dyDescent="0.25">
      <c r="B5175" s="545">
        <v>6336</v>
      </c>
      <c r="C5175" s="545" t="s">
        <v>7123</v>
      </c>
      <c r="D5175" s="669" t="s">
        <v>391</v>
      </c>
      <c r="E5175" s="546">
        <v>976.81000100000006</v>
      </c>
    </row>
    <row r="5176" spans="2:5" x14ac:dyDescent="0.25">
      <c r="B5176" s="545">
        <v>6337</v>
      </c>
      <c r="C5176" s="545" t="s">
        <v>5773</v>
      </c>
      <c r="D5176" s="669" t="s">
        <v>391</v>
      </c>
      <c r="E5176" s="546">
        <v>959.83333300000004</v>
      </c>
    </row>
    <row r="5177" spans="2:5" x14ac:dyDescent="0.25">
      <c r="B5177" s="545">
        <v>6338</v>
      </c>
      <c r="C5177" s="545" t="s">
        <v>6081</v>
      </c>
      <c r="D5177" s="669" t="s">
        <v>391</v>
      </c>
      <c r="E5177" s="546">
        <v>1099.080013</v>
      </c>
    </row>
    <row r="5178" spans="2:5" x14ac:dyDescent="0.25">
      <c r="B5178" s="545">
        <v>6339</v>
      </c>
      <c r="C5178" s="545" t="s">
        <v>7196</v>
      </c>
      <c r="D5178" s="669" t="s">
        <v>391</v>
      </c>
      <c r="E5178" s="546">
        <v>1085.3916630000001</v>
      </c>
    </row>
    <row r="5179" spans="2:5" x14ac:dyDescent="0.25">
      <c r="B5179" s="545">
        <v>6340</v>
      </c>
      <c r="C5179" s="545" t="s">
        <v>5601</v>
      </c>
      <c r="D5179" s="669" t="s">
        <v>391</v>
      </c>
      <c r="E5179" s="546">
        <v>1094.2285850000001</v>
      </c>
    </row>
    <row r="5180" spans="2:5" x14ac:dyDescent="0.25">
      <c r="B5180" s="545">
        <v>6341</v>
      </c>
      <c r="C5180" s="545" t="s">
        <v>7169</v>
      </c>
      <c r="D5180" s="669" t="s">
        <v>391</v>
      </c>
      <c r="E5180" s="546">
        <v>1099.2749940000001</v>
      </c>
    </row>
    <row r="5181" spans="2:5" x14ac:dyDescent="0.25">
      <c r="B5181" s="545">
        <v>6342</v>
      </c>
      <c r="C5181" s="545" t="s">
        <v>6085</v>
      </c>
      <c r="D5181" s="669" t="s">
        <v>391</v>
      </c>
      <c r="E5181" s="546">
        <v>1100.9666340000001</v>
      </c>
    </row>
    <row r="5182" spans="2:5" x14ac:dyDescent="0.25">
      <c r="B5182" s="545">
        <v>6343</v>
      </c>
      <c r="C5182" s="545" t="s">
        <v>5956</v>
      </c>
      <c r="D5182" s="669" t="s">
        <v>391</v>
      </c>
      <c r="E5182" s="546">
        <v>1028.8611249999999</v>
      </c>
    </row>
    <row r="5183" spans="2:5" x14ac:dyDescent="0.25">
      <c r="B5183" s="545">
        <v>6344</v>
      </c>
      <c r="C5183" s="545" t="s">
        <v>6054</v>
      </c>
      <c r="D5183" s="669" t="s">
        <v>391</v>
      </c>
      <c r="E5183" s="546">
        <v>1080.8875049999999</v>
      </c>
    </row>
    <row r="5184" spans="2:5" x14ac:dyDescent="0.25">
      <c r="B5184" s="545">
        <v>6345</v>
      </c>
      <c r="C5184" s="545" t="s">
        <v>5976</v>
      </c>
      <c r="D5184" s="669" t="s">
        <v>391</v>
      </c>
      <c r="E5184" s="546">
        <v>1037.0249940000001</v>
      </c>
    </row>
    <row r="5185" spans="2:5" x14ac:dyDescent="0.25">
      <c r="B5185" s="545">
        <v>6346</v>
      </c>
      <c r="C5185" s="545" t="s">
        <v>5684</v>
      </c>
      <c r="D5185" s="669" t="s">
        <v>391</v>
      </c>
      <c r="E5185" s="546">
        <v>934.57857000000001</v>
      </c>
    </row>
    <row r="5186" spans="2:5" x14ac:dyDescent="0.25">
      <c r="B5186" s="545">
        <v>6347</v>
      </c>
      <c r="C5186" s="545" t="s">
        <v>5668</v>
      </c>
      <c r="D5186" s="669" t="s">
        <v>391</v>
      </c>
      <c r="E5186" s="546">
        <v>930.39998800000001</v>
      </c>
    </row>
    <row r="5187" spans="2:5" x14ac:dyDescent="0.25">
      <c r="B5187" s="545">
        <v>6348</v>
      </c>
      <c r="C5187" s="545" t="s">
        <v>4600</v>
      </c>
      <c r="D5187" s="669" t="s">
        <v>391</v>
      </c>
      <c r="E5187" s="546">
        <v>787.86521800000003</v>
      </c>
    </row>
    <row r="5188" spans="2:5" x14ac:dyDescent="0.25">
      <c r="B5188" s="545">
        <v>6349</v>
      </c>
      <c r="C5188" s="545" t="s">
        <v>5026</v>
      </c>
      <c r="D5188" s="669" t="s">
        <v>391</v>
      </c>
      <c r="E5188" s="546">
        <v>825.64666699999998</v>
      </c>
    </row>
    <row r="5189" spans="2:5" x14ac:dyDescent="0.25">
      <c r="B5189" s="545">
        <v>6350</v>
      </c>
      <c r="C5189" s="545" t="s">
        <v>5065</v>
      </c>
      <c r="D5189" s="669" t="s">
        <v>391</v>
      </c>
      <c r="E5189" s="546">
        <v>829.85000600000001</v>
      </c>
    </row>
    <row r="5190" spans="2:5" x14ac:dyDescent="0.25">
      <c r="B5190" s="545">
        <v>6351</v>
      </c>
      <c r="C5190" s="545" t="s">
        <v>5158</v>
      </c>
      <c r="D5190" s="669" t="s">
        <v>391</v>
      </c>
      <c r="E5190" s="546">
        <v>839.5</v>
      </c>
    </row>
    <row r="5191" spans="2:5" x14ac:dyDescent="0.25">
      <c r="B5191" s="545">
        <v>6352</v>
      </c>
      <c r="C5191" s="545" t="s">
        <v>5207</v>
      </c>
      <c r="D5191" s="669" t="s">
        <v>391</v>
      </c>
      <c r="E5191" s="546">
        <v>846.58570199999997</v>
      </c>
    </row>
    <row r="5192" spans="2:5" x14ac:dyDescent="0.25">
      <c r="B5192" s="545">
        <v>6353</v>
      </c>
      <c r="C5192" s="545" t="s">
        <v>391</v>
      </c>
      <c r="D5192" s="669" t="s">
        <v>391</v>
      </c>
      <c r="E5192" s="546">
        <v>809.59997599999997</v>
      </c>
    </row>
    <row r="5193" spans="2:5" x14ac:dyDescent="0.25">
      <c r="B5193" s="545">
        <v>6354</v>
      </c>
      <c r="C5193" s="545" t="s">
        <v>4651</v>
      </c>
      <c r="D5193" s="669" t="s">
        <v>391</v>
      </c>
      <c r="E5193" s="546">
        <v>792.50770499999999</v>
      </c>
    </row>
    <row r="5194" spans="2:5" x14ac:dyDescent="0.25">
      <c r="B5194" s="545">
        <v>6355</v>
      </c>
      <c r="C5194" s="545" t="s">
        <v>5159</v>
      </c>
      <c r="D5194" s="669" t="s">
        <v>391</v>
      </c>
      <c r="E5194" s="546">
        <v>839.5</v>
      </c>
    </row>
    <row r="5195" spans="2:5" x14ac:dyDescent="0.25">
      <c r="B5195" s="545">
        <v>6356</v>
      </c>
      <c r="C5195" s="545" t="s">
        <v>5232</v>
      </c>
      <c r="D5195" s="669" t="s">
        <v>391</v>
      </c>
      <c r="E5195" s="546">
        <v>851.14999399999999</v>
      </c>
    </row>
    <row r="5196" spans="2:5" x14ac:dyDescent="0.25">
      <c r="B5196" s="545">
        <v>6357</v>
      </c>
      <c r="C5196" s="545" t="s">
        <v>4955</v>
      </c>
      <c r="D5196" s="669" t="s">
        <v>391</v>
      </c>
      <c r="E5196" s="546">
        <v>816.81667100000004</v>
      </c>
    </row>
    <row r="5197" spans="2:5" x14ac:dyDescent="0.25">
      <c r="B5197" s="545">
        <v>6358</v>
      </c>
      <c r="C5197" s="545" t="s">
        <v>2639</v>
      </c>
      <c r="D5197" s="669" t="s">
        <v>391</v>
      </c>
      <c r="E5197" s="546">
        <v>824.20000300000004</v>
      </c>
    </row>
    <row r="5198" spans="2:5" x14ac:dyDescent="0.25">
      <c r="B5198" s="545">
        <v>6359</v>
      </c>
      <c r="C5198" s="545" t="s">
        <v>6488</v>
      </c>
      <c r="D5198" s="669" t="s">
        <v>391</v>
      </c>
      <c r="E5198" s="546">
        <v>807.7</v>
      </c>
    </row>
    <row r="5199" spans="2:5" x14ac:dyDescent="0.25">
      <c r="B5199" s="545">
        <v>6360</v>
      </c>
      <c r="C5199" s="545" t="s">
        <v>6535</v>
      </c>
      <c r="D5199" s="669" t="s">
        <v>391</v>
      </c>
      <c r="E5199" s="546">
        <v>783.30000099999995</v>
      </c>
    </row>
    <row r="5200" spans="2:5" x14ac:dyDescent="0.25">
      <c r="B5200" s="545">
        <v>6361</v>
      </c>
      <c r="C5200" s="545" t="s">
        <v>4374</v>
      </c>
      <c r="D5200" s="669" t="s">
        <v>391</v>
      </c>
      <c r="E5200" s="546">
        <v>769.99411899999996</v>
      </c>
    </row>
    <row r="5201" spans="2:5" x14ac:dyDescent="0.25">
      <c r="B5201" s="545">
        <v>6362</v>
      </c>
      <c r="C5201" s="545" t="s">
        <v>4828</v>
      </c>
      <c r="D5201" s="669" t="s">
        <v>391</v>
      </c>
      <c r="E5201" s="546">
        <v>806.01111500000002</v>
      </c>
    </row>
    <row r="5202" spans="2:5" x14ac:dyDescent="0.25">
      <c r="B5202" s="545">
        <v>6363</v>
      </c>
      <c r="C5202" s="545" t="s">
        <v>4964</v>
      </c>
      <c r="D5202" s="669" t="s">
        <v>391</v>
      </c>
      <c r="E5202" s="546">
        <v>818.25262799999996</v>
      </c>
    </row>
    <row r="5203" spans="2:5" x14ac:dyDescent="0.25">
      <c r="B5203" s="545">
        <v>6364</v>
      </c>
      <c r="C5203" s="545" t="s">
        <v>4274</v>
      </c>
      <c r="D5203" s="669" t="s">
        <v>391</v>
      </c>
      <c r="E5203" s="546">
        <v>762.97000100000002</v>
      </c>
    </row>
    <row r="5204" spans="2:5" x14ac:dyDescent="0.25">
      <c r="B5204" s="545">
        <v>6365</v>
      </c>
      <c r="C5204" s="545" t="s">
        <v>4387</v>
      </c>
      <c r="D5204" s="669" t="s">
        <v>391</v>
      </c>
      <c r="E5204" s="546">
        <v>771.24705600000004</v>
      </c>
    </row>
    <row r="5205" spans="2:5" x14ac:dyDescent="0.25">
      <c r="B5205" s="545">
        <v>6366</v>
      </c>
      <c r="C5205" s="545" t="s">
        <v>4411</v>
      </c>
      <c r="D5205" s="669" t="s">
        <v>391</v>
      </c>
      <c r="E5205" s="546">
        <v>773.70908999999995</v>
      </c>
    </row>
    <row r="5206" spans="2:5" x14ac:dyDescent="0.25">
      <c r="B5206" s="545">
        <v>6367</v>
      </c>
      <c r="C5206" s="545" t="s">
        <v>4544</v>
      </c>
      <c r="D5206" s="669" t="s">
        <v>391</v>
      </c>
      <c r="E5206" s="546">
        <v>783.43499499999996</v>
      </c>
    </row>
    <row r="5207" spans="2:5" x14ac:dyDescent="0.25">
      <c r="B5207" s="545">
        <v>6368</v>
      </c>
      <c r="C5207" s="545" t="s">
        <v>4679</v>
      </c>
      <c r="D5207" s="669" t="s">
        <v>391</v>
      </c>
      <c r="E5207" s="546">
        <v>794.30769699999996</v>
      </c>
    </row>
    <row r="5208" spans="2:5" x14ac:dyDescent="0.25">
      <c r="B5208" s="545">
        <v>6369</v>
      </c>
      <c r="C5208" s="545" t="s">
        <v>2190</v>
      </c>
      <c r="D5208" s="669" t="s">
        <v>391</v>
      </c>
      <c r="E5208" s="546">
        <v>776.59411299999999</v>
      </c>
    </row>
    <row r="5209" spans="2:5" x14ac:dyDescent="0.25">
      <c r="B5209" s="545">
        <v>6370</v>
      </c>
      <c r="C5209" s="545" t="s">
        <v>4167</v>
      </c>
      <c r="D5209" s="669" t="s">
        <v>391</v>
      </c>
      <c r="E5209" s="546">
        <v>755.29998799999998</v>
      </c>
    </row>
    <row r="5210" spans="2:5" x14ac:dyDescent="0.25">
      <c r="B5210" s="545">
        <v>6371</v>
      </c>
      <c r="C5210" s="545" t="s">
        <v>3395</v>
      </c>
      <c r="D5210" s="669" t="s">
        <v>391</v>
      </c>
      <c r="E5210" s="546">
        <v>749.589471</v>
      </c>
    </row>
    <row r="5211" spans="2:5" x14ac:dyDescent="0.25">
      <c r="B5211" s="545">
        <v>6372</v>
      </c>
      <c r="C5211" s="545" t="s">
        <v>6469</v>
      </c>
      <c r="D5211" s="669" t="s">
        <v>391</v>
      </c>
      <c r="E5211" s="546">
        <v>731.29998799999998</v>
      </c>
    </row>
    <row r="5212" spans="2:5" x14ac:dyDescent="0.25">
      <c r="B5212" s="545">
        <v>6373</v>
      </c>
      <c r="C5212" s="545" t="s">
        <v>3646</v>
      </c>
      <c r="D5212" s="669" t="s">
        <v>391</v>
      </c>
      <c r="E5212" s="546">
        <v>724.24444600000004</v>
      </c>
    </row>
    <row r="5213" spans="2:5" x14ac:dyDescent="0.25">
      <c r="B5213" s="545">
        <v>6374</v>
      </c>
      <c r="C5213" s="545" t="s">
        <v>4519</v>
      </c>
      <c r="D5213" s="669" t="s">
        <v>391</v>
      </c>
      <c r="E5213" s="546">
        <v>780.87142100000005</v>
      </c>
    </row>
    <row r="5214" spans="2:5" x14ac:dyDescent="0.25">
      <c r="B5214" s="545">
        <v>6375</v>
      </c>
      <c r="C5214" s="545" t="s">
        <v>7047</v>
      </c>
      <c r="D5214" s="669" t="s">
        <v>391</v>
      </c>
      <c r="E5214" s="546">
        <v>761.8</v>
      </c>
    </row>
    <row r="5215" spans="2:5" x14ac:dyDescent="0.25">
      <c r="B5215" s="545">
        <v>6376</v>
      </c>
      <c r="C5215" s="545" t="s">
        <v>3904</v>
      </c>
      <c r="D5215" s="669" t="s">
        <v>391</v>
      </c>
      <c r="E5215" s="546">
        <v>739.36428799999999</v>
      </c>
    </row>
    <row r="5216" spans="2:5" x14ac:dyDescent="0.25">
      <c r="B5216" s="545">
        <v>6377</v>
      </c>
      <c r="C5216" s="545" t="s">
        <v>3943</v>
      </c>
      <c r="D5216" s="669" t="s">
        <v>391</v>
      </c>
      <c r="E5216" s="546">
        <v>741.31999499999995</v>
      </c>
    </row>
    <row r="5217" spans="2:5" x14ac:dyDescent="0.25">
      <c r="B5217" s="545">
        <v>6378</v>
      </c>
      <c r="C5217" s="545" t="s">
        <v>3862</v>
      </c>
      <c r="D5217" s="669" t="s">
        <v>391</v>
      </c>
      <c r="E5217" s="546">
        <v>736.46667500000001</v>
      </c>
    </row>
    <row r="5218" spans="2:5" x14ac:dyDescent="0.25">
      <c r="B5218" s="545">
        <v>6379</v>
      </c>
      <c r="C5218" s="545" t="s">
        <v>4085</v>
      </c>
      <c r="D5218" s="669" t="s">
        <v>391</v>
      </c>
      <c r="E5218" s="546">
        <v>750.26249700000005</v>
      </c>
    </row>
    <row r="5219" spans="2:5" x14ac:dyDescent="0.25">
      <c r="B5219" s="545">
        <v>6380</v>
      </c>
      <c r="C5219" s="545" t="s">
        <v>3741</v>
      </c>
      <c r="D5219" s="669" t="s">
        <v>391</v>
      </c>
      <c r="E5219" s="546">
        <v>729.30001800000002</v>
      </c>
    </row>
    <row r="5220" spans="2:5" x14ac:dyDescent="0.25">
      <c r="B5220" s="545">
        <v>6381</v>
      </c>
      <c r="C5220" s="545" t="s">
        <v>3405</v>
      </c>
      <c r="D5220" s="669" t="s">
        <v>391</v>
      </c>
      <c r="E5220" s="546">
        <v>711.29444699999999</v>
      </c>
    </row>
    <row r="5221" spans="2:5" x14ac:dyDescent="0.25">
      <c r="B5221" s="545">
        <v>6382</v>
      </c>
      <c r="C5221" s="545" t="s">
        <v>7290</v>
      </c>
      <c r="D5221" s="669" t="s">
        <v>391</v>
      </c>
      <c r="E5221" s="546">
        <v>742.45832800000005</v>
      </c>
    </row>
    <row r="5222" spans="2:5" x14ac:dyDescent="0.25">
      <c r="B5222" s="545">
        <v>6383</v>
      </c>
      <c r="C5222" s="545" t="s">
        <v>3761</v>
      </c>
      <c r="D5222" s="669" t="s">
        <v>391</v>
      </c>
      <c r="E5222" s="546">
        <v>730.70001200000002</v>
      </c>
    </row>
    <row r="5223" spans="2:5" x14ac:dyDescent="0.25">
      <c r="B5223" s="545">
        <v>6384</v>
      </c>
      <c r="C5223" s="545" t="s">
        <v>3984</v>
      </c>
      <c r="D5223" s="669" t="s">
        <v>391</v>
      </c>
      <c r="E5223" s="546">
        <v>744.10588900000005</v>
      </c>
    </row>
    <row r="5224" spans="2:5" x14ac:dyDescent="0.25">
      <c r="B5224" s="545">
        <v>6401</v>
      </c>
      <c r="C5224" s="545" t="s">
        <v>4129</v>
      </c>
      <c r="D5224" s="669" t="s">
        <v>397</v>
      </c>
      <c r="E5224" s="546">
        <v>752.42500299999995</v>
      </c>
    </row>
    <row r="5225" spans="2:5" x14ac:dyDescent="0.25">
      <c r="B5225" s="545">
        <v>6402</v>
      </c>
      <c r="C5225" s="545" t="s">
        <v>2554</v>
      </c>
      <c r="D5225" s="669" t="s">
        <v>397</v>
      </c>
      <c r="E5225" s="546">
        <v>668.625</v>
      </c>
    </row>
    <row r="5226" spans="2:5" x14ac:dyDescent="0.25">
      <c r="B5226" s="545">
        <v>6403</v>
      </c>
      <c r="C5226" s="545" t="s">
        <v>4676</v>
      </c>
      <c r="D5226" s="669" t="s">
        <v>397</v>
      </c>
      <c r="E5226" s="546">
        <v>794.24736900000005</v>
      </c>
    </row>
    <row r="5227" spans="2:5" x14ac:dyDescent="0.25">
      <c r="B5227" s="545">
        <v>6404</v>
      </c>
      <c r="C5227" s="545" t="s">
        <v>4176</v>
      </c>
      <c r="D5227" s="669" t="s">
        <v>397</v>
      </c>
      <c r="E5227" s="546">
        <v>768.07391600000005</v>
      </c>
    </row>
    <row r="5228" spans="2:5" x14ac:dyDescent="0.25">
      <c r="B5228" s="545">
        <v>6405</v>
      </c>
      <c r="C5228" s="545" t="s">
        <v>4178</v>
      </c>
      <c r="D5228" s="669" t="s">
        <v>397</v>
      </c>
      <c r="E5228" s="546">
        <v>755.87999300000001</v>
      </c>
    </row>
    <row r="5229" spans="2:5" x14ac:dyDescent="0.25">
      <c r="B5229" s="545">
        <v>6406</v>
      </c>
      <c r="C5229" s="545" t="s">
        <v>4324</v>
      </c>
      <c r="D5229" s="669" t="s">
        <v>397</v>
      </c>
      <c r="E5229" s="546">
        <v>766.71499900000003</v>
      </c>
    </row>
    <row r="5230" spans="2:5" x14ac:dyDescent="0.25">
      <c r="B5230" s="545">
        <v>6407</v>
      </c>
      <c r="C5230" s="545" t="s">
        <v>3542</v>
      </c>
      <c r="D5230" s="669" t="s">
        <v>397</v>
      </c>
      <c r="E5230" s="546">
        <v>718.49999500000001</v>
      </c>
    </row>
    <row r="5231" spans="2:5" x14ac:dyDescent="0.25">
      <c r="B5231" s="545">
        <v>6408</v>
      </c>
      <c r="C5231" s="545" t="s">
        <v>3730</v>
      </c>
      <c r="D5231" s="669" t="s">
        <v>397</v>
      </c>
      <c r="E5231" s="546">
        <v>728.70001200000002</v>
      </c>
    </row>
    <row r="5232" spans="2:5" x14ac:dyDescent="0.25">
      <c r="B5232" s="545">
        <v>6409</v>
      </c>
      <c r="C5232" s="545" t="s">
        <v>3678</v>
      </c>
      <c r="D5232" s="669" t="s">
        <v>397</v>
      </c>
      <c r="E5232" s="546">
        <v>726.01666299999999</v>
      </c>
    </row>
    <row r="5233" spans="2:5" x14ac:dyDescent="0.25">
      <c r="B5233" s="545">
        <v>6410</v>
      </c>
      <c r="C5233" s="545" t="s">
        <v>3947</v>
      </c>
      <c r="D5233" s="669" t="s">
        <v>397</v>
      </c>
      <c r="E5233" s="546">
        <v>741.43333800000005</v>
      </c>
    </row>
    <row r="5234" spans="2:5" x14ac:dyDescent="0.25">
      <c r="B5234" s="545">
        <v>6411</v>
      </c>
      <c r="C5234" s="545" t="s">
        <v>3687</v>
      </c>
      <c r="D5234" s="669" t="s">
        <v>397</v>
      </c>
      <c r="E5234" s="546">
        <v>726.45788900000002</v>
      </c>
    </row>
    <row r="5235" spans="2:5" x14ac:dyDescent="0.25">
      <c r="B5235" s="545">
        <v>6412</v>
      </c>
      <c r="C5235" s="545" t="s">
        <v>2953</v>
      </c>
      <c r="D5235" s="669" t="s">
        <v>397</v>
      </c>
      <c r="E5235" s="546">
        <v>728.61817499999995</v>
      </c>
    </row>
    <row r="5236" spans="2:5" x14ac:dyDescent="0.25">
      <c r="B5236" s="545">
        <v>6413</v>
      </c>
      <c r="C5236" s="545" t="s">
        <v>6761</v>
      </c>
      <c r="D5236" s="669" t="s">
        <v>397</v>
      </c>
      <c r="E5236" s="546">
        <v>735.52500399999997</v>
      </c>
    </row>
    <row r="5237" spans="2:5" x14ac:dyDescent="0.25">
      <c r="B5237" s="545">
        <v>6414</v>
      </c>
      <c r="C5237" s="545" t="s">
        <v>4992</v>
      </c>
      <c r="D5237" s="669" t="s">
        <v>397</v>
      </c>
      <c r="E5237" s="546">
        <v>822.00666100000001</v>
      </c>
    </row>
    <row r="5238" spans="2:5" x14ac:dyDescent="0.25">
      <c r="B5238" s="545">
        <v>6415</v>
      </c>
      <c r="C5238" s="545" t="s">
        <v>4281</v>
      </c>
      <c r="D5238" s="669" t="s">
        <v>397</v>
      </c>
      <c r="E5238" s="546">
        <v>763.46667500000001</v>
      </c>
    </row>
    <row r="5239" spans="2:5" x14ac:dyDescent="0.25">
      <c r="B5239" s="545">
        <v>6416</v>
      </c>
      <c r="C5239" s="545" t="s">
        <v>4758</v>
      </c>
      <c r="D5239" s="669" t="s">
        <v>397</v>
      </c>
      <c r="E5239" s="546">
        <v>800.59375</v>
      </c>
    </row>
    <row r="5240" spans="2:5" x14ac:dyDescent="0.25">
      <c r="B5240" s="545">
        <v>6417</v>
      </c>
      <c r="C5240" s="545" t="s">
        <v>982</v>
      </c>
      <c r="D5240" s="669" t="s">
        <v>397</v>
      </c>
      <c r="E5240" s="546">
        <v>770.82857799999999</v>
      </c>
    </row>
    <row r="5241" spans="2:5" x14ac:dyDescent="0.25">
      <c r="B5241" s="545">
        <v>6418</v>
      </c>
      <c r="C5241" s="545" t="s">
        <v>3088</v>
      </c>
      <c r="D5241" s="669" t="s">
        <v>397</v>
      </c>
      <c r="E5241" s="546">
        <v>695.45556599999998</v>
      </c>
    </row>
    <row r="5242" spans="2:5" x14ac:dyDescent="0.25">
      <c r="B5242" s="545">
        <v>6419</v>
      </c>
      <c r="C5242" s="545" t="s">
        <v>4221</v>
      </c>
      <c r="D5242" s="669" t="s">
        <v>397</v>
      </c>
      <c r="E5242" s="546">
        <v>759.26667099999997</v>
      </c>
    </row>
    <row r="5243" spans="2:5" x14ac:dyDescent="0.25">
      <c r="B5243" s="545">
        <v>6420</v>
      </c>
      <c r="C5243" s="545" t="s">
        <v>4565</v>
      </c>
      <c r="D5243" s="669" t="s">
        <v>397</v>
      </c>
      <c r="E5243" s="546">
        <v>785.24999400000002</v>
      </c>
    </row>
    <row r="5244" spans="2:5" x14ac:dyDescent="0.25">
      <c r="B5244" s="545">
        <v>6421</v>
      </c>
      <c r="C5244" s="545" t="s">
        <v>5100</v>
      </c>
      <c r="D5244" s="669" t="s">
        <v>397</v>
      </c>
      <c r="E5244" s="546">
        <v>833.01819399999999</v>
      </c>
    </row>
    <row r="5245" spans="2:5" x14ac:dyDescent="0.25">
      <c r="B5245" s="545">
        <v>6422</v>
      </c>
      <c r="C5245" s="545" t="s">
        <v>4029</v>
      </c>
      <c r="D5245" s="669" t="s">
        <v>397</v>
      </c>
      <c r="E5245" s="546">
        <v>765.34999600000003</v>
      </c>
    </row>
    <row r="5246" spans="2:5" x14ac:dyDescent="0.25">
      <c r="B5246" s="545">
        <v>6423</v>
      </c>
      <c r="C5246" s="545" t="s">
        <v>4659</v>
      </c>
      <c r="D5246" s="669" t="s">
        <v>397</v>
      </c>
      <c r="E5246" s="546">
        <v>792.840011</v>
      </c>
    </row>
    <row r="5247" spans="2:5" x14ac:dyDescent="0.25">
      <c r="B5247" s="545">
        <v>6424</v>
      </c>
      <c r="C5247" s="545" t="s">
        <v>4425</v>
      </c>
      <c r="D5247" s="669" t="s">
        <v>397</v>
      </c>
      <c r="E5247" s="546">
        <v>774.80624799999998</v>
      </c>
    </row>
    <row r="5248" spans="2:5" x14ac:dyDescent="0.25">
      <c r="B5248" s="545">
        <v>6425</v>
      </c>
      <c r="C5248" s="545" t="s">
        <v>7053</v>
      </c>
      <c r="D5248" s="669" t="s">
        <v>397</v>
      </c>
      <c r="E5248" s="546">
        <v>718.58332800000005</v>
      </c>
    </row>
    <row r="5249" spans="2:5" x14ac:dyDescent="0.25">
      <c r="B5249" s="545">
        <v>6426</v>
      </c>
      <c r="C5249" s="545" t="s">
        <v>4094</v>
      </c>
      <c r="D5249" s="669" t="s">
        <v>397</v>
      </c>
      <c r="E5249" s="546">
        <v>750.56817899999999</v>
      </c>
    </row>
    <row r="5250" spans="2:5" x14ac:dyDescent="0.25">
      <c r="B5250" s="545">
        <v>6427</v>
      </c>
      <c r="C5250" s="545" t="s">
        <v>2546</v>
      </c>
      <c r="D5250" s="669" t="s">
        <v>397</v>
      </c>
      <c r="E5250" s="546">
        <v>747.59000200000003</v>
      </c>
    </row>
    <row r="5251" spans="2:5" x14ac:dyDescent="0.25">
      <c r="B5251" s="545">
        <v>6428</v>
      </c>
      <c r="C5251" s="545" t="s">
        <v>2955</v>
      </c>
      <c r="D5251" s="669" t="s">
        <v>397</v>
      </c>
      <c r="E5251" s="546">
        <v>688.06667100000004</v>
      </c>
    </row>
    <row r="5252" spans="2:5" x14ac:dyDescent="0.25">
      <c r="B5252" s="545">
        <v>6429</v>
      </c>
      <c r="C5252" s="545" t="s">
        <v>4674</v>
      </c>
      <c r="D5252" s="669" t="s">
        <v>397</v>
      </c>
      <c r="E5252" s="546">
        <v>794.19000200000005</v>
      </c>
    </row>
    <row r="5253" spans="2:5" x14ac:dyDescent="0.25">
      <c r="B5253" s="545">
        <v>6430</v>
      </c>
      <c r="C5253" s="545" t="s">
        <v>4922</v>
      </c>
      <c r="D5253" s="669" t="s">
        <v>397</v>
      </c>
      <c r="E5253" s="546">
        <v>814.259998</v>
      </c>
    </row>
    <row r="5254" spans="2:5" x14ac:dyDescent="0.25">
      <c r="B5254" s="545">
        <v>6432</v>
      </c>
      <c r="C5254" s="545" t="s">
        <v>5108</v>
      </c>
      <c r="D5254" s="669" t="s">
        <v>397</v>
      </c>
      <c r="E5254" s="546">
        <v>834.04545499999995</v>
      </c>
    </row>
    <row r="5255" spans="2:5" x14ac:dyDescent="0.25">
      <c r="B5255" s="545">
        <v>6433</v>
      </c>
      <c r="C5255" s="545" t="s">
        <v>1282</v>
      </c>
      <c r="D5255" s="669" t="s">
        <v>397</v>
      </c>
      <c r="E5255" s="546">
        <v>741.99444600000004</v>
      </c>
    </row>
    <row r="5256" spans="2:5" x14ac:dyDescent="0.25">
      <c r="B5256" s="545">
        <v>6434</v>
      </c>
      <c r="C5256" s="545" t="s">
        <v>4183</v>
      </c>
      <c r="D5256" s="669" t="s">
        <v>397</v>
      </c>
      <c r="E5256" s="546">
        <v>756.12857499999996</v>
      </c>
    </row>
    <row r="5257" spans="2:5" x14ac:dyDescent="0.25">
      <c r="B5257" s="545">
        <v>6435</v>
      </c>
      <c r="C5257" s="545" t="s">
        <v>4856</v>
      </c>
      <c r="D5257" s="669" t="s">
        <v>397</v>
      </c>
      <c r="E5257" s="546">
        <v>807.65455199999997</v>
      </c>
    </row>
    <row r="5258" spans="2:5" x14ac:dyDescent="0.25">
      <c r="B5258" s="545">
        <v>6436</v>
      </c>
      <c r="C5258" s="545" t="s">
        <v>4044</v>
      </c>
      <c r="D5258" s="669" t="s">
        <v>397</v>
      </c>
      <c r="E5258" s="546">
        <v>747.79091000000005</v>
      </c>
    </row>
    <row r="5259" spans="2:5" x14ac:dyDescent="0.25">
      <c r="B5259" s="545">
        <v>6437</v>
      </c>
      <c r="C5259" s="545" t="s">
        <v>4437</v>
      </c>
      <c r="D5259" s="669" t="s">
        <v>397</v>
      </c>
      <c r="E5259" s="546">
        <v>775.66923199999997</v>
      </c>
    </row>
    <row r="5260" spans="2:5" x14ac:dyDescent="0.25">
      <c r="B5260" s="545">
        <v>6438</v>
      </c>
      <c r="C5260" s="545" t="s">
        <v>2913</v>
      </c>
      <c r="D5260" s="669" t="s">
        <v>397</v>
      </c>
      <c r="E5260" s="546">
        <v>686.30001200000004</v>
      </c>
    </row>
    <row r="5261" spans="2:5" x14ac:dyDescent="0.25">
      <c r="B5261" s="545">
        <v>6439</v>
      </c>
      <c r="C5261" s="545" t="s">
        <v>5092</v>
      </c>
      <c r="D5261" s="669" t="s">
        <v>397</v>
      </c>
      <c r="E5261" s="546">
        <v>832.24285499999996</v>
      </c>
    </row>
    <row r="5262" spans="2:5" x14ac:dyDescent="0.25">
      <c r="B5262" s="545">
        <v>6440</v>
      </c>
      <c r="C5262" s="545" t="s">
        <v>4236</v>
      </c>
      <c r="D5262" s="669" t="s">
        <v>397</v>
      </c>
      <c r="E5262" s="546">
        <v>760.19999199999995</v>
      </c>
    </row>
    <row r="5263" spans="2:5" x14ac:dyDescent="0.25">
      <c r="B5263" s="545">
        <v>6441</v>
      </c>
      <c r="C5263" s="545" t="s">
        <v>3716</v>
      </c>
      <c r="D5263" s="669" t="s">
        <v>397</v>
      </c>
      <c r="E5263" s="546">
        <v>728.14545799999996</v>
      </c>
    </row>
    <row r="5264" spans="2:5" x14ac:dyDescent="0.25">
      <c r="B5264" s="545">
        <v>6442</v>
      </c>
      <c r="C5264" s="545" t="s">
        <v>4664</v>
      </c>
      <c r="D5264" s="669" t="s">
        <v>397</v>
      </c>
      <c r="E5264" s="546">
        <v>793.23333700000001</v>
      </c>
    </row>
    <row r="5265" spans="2:5" x14ac:dyDescent="0.25">
      <c r="B5265" s="545">
        <v>6443</v>
      </c>
      <c r="C5265" s="545" t="s">
        <v>7224</v>
      </c>
      <c r="D5265" s="669" t="s">
        <v>397</v>
      </c>
      <c r="E5265" s="546">
        <v>702.78334600000005</v>
      </c>
    </row>
    <row r="5266" spans="2:5" x14ac:dyDescent="0.25">
      <c r="B5266" s="545">
        <v>6444</v>
      </c>
      <c r="C5266" s="545" t="s">
        <v>4419</v>
      </c>
      <c r="D5266" s="669" t="s">
        <v>397</v>
      </c>
      <c r="E5266" s="546">
        <v>774.21537899999998</v>
      </c>
    </row>
    <row r="5267" spans="2:5" x14ac:dyDescent="0.25">
      <c r="B5267" s="545">
        <v>6445</v>
      </c>
      <c r="C5267" s="545" t="s">
        <v>1981</v>
      </c>
      <c r="D5267" s="669" t="s">
        <v>397</v>
      </c>
      <c r="E5267" s="546">
        <v>866.01666899999998</v>
      </c>
    </row>
    <row r="5268" spans="2:5" x14ac:dyDescent="0.25">
      <c r="B5268" s="545">
        <v>6446</v>
      </c>
      <c r="C5268" s="545" t="s">
        <v>7254</v>
      </c>
      <c r="D5268" s="669" t="s">
        <v>397</v>
      </c>
      <c r="E5268" s="546">
        <v>766.43846199999996</v>
      </c>
    </row>
    <row r="5269" spans="2:5" x14ac:dyDescent="0.25">
      <c r="B5269" s="545">
        <v>6447</v>
      </c>
      <c r="C5269" s="545" t="s">
        <v>4836</v>
      </c>
      <c r="D5269" s="669" t="s">
        <v>397</v>
      </c>
      <c r="E5269" s="546">
        <v>806.45713999999998</v>
      </c>
    </row>
    <row r="5270" spans="2:5" x14ac:dyDescent="0.25">
      <c r="B5270" s="545">
        <v>6448</v>
      </c>
      <c r="C5270" s="545" t="s">
        <v>4482</v>
      </c>
      <c r="D5270" s="669" t="s">
        <v>397</v>
      </c>
      <c r="E5270" s="546">
        <v>778.66249800000003</v>
      </c>
    </row>
    <row r="5271" spans="2:5" x14ac:dyDescent="0.25">
      <c r="B5271" s="545">
        <v>6449</v>
      </c>
      <c r="C5271" s="545" t="s">
        <v>3942</v>
      </c>
      <c r="D5271" s="669" t="s">
        <v>397</v>
      </c>
      <c r="E5271" s="546">
        <v>741.26666299999999</v>
      </c>
    </row>
    <row r="5272" spans="2:5" x14ac:dyDescent="0.25">
      <c r="B5272" s="545">
        <v>6450</v>
      </c>
      <c r="C5272" s="545" t="s">
        <v>4491</v>
      </c>
      <c r="D5272" s="669" t="s">
        <v>397</v>
      </c>
      <c r="E5272" s="546">
        <v>779.35000600000001</v>
      </c>
    </row>
    <row r="5273" spans="2:5" x14ac:dyDescent="0.25">
      <c r="B5273" s="545">
        <v>6452</v>
      </c>
      <c r="C5273" s="545" t="s">
        <v>6779</v>
      </c>
      <c r="D5273" s="669" t="s">
        <v>397</v>
      </c>
      <c r="E5273" s="546">
        <v>757.34999100000005</v>
      </c>
    </row>
    <row r="5274" spans="2:5" x14ac:dyDescent="0.25">
      <c r="B5274" s="545">
        <v>6454</v>
      </c>
      <c r="C5274" s="545" t="s">
        <v>940</v>
      </c>
      <c r="D5274" s="669" t="s">
        <v>397</v>
      </c>
      <c r="E5274" s="546">
        <v>781.33478300000002</v>
      </c>
    </row>
    <row r="5275" spans="2:5" x14ac:dyDescent="0.25">
      <c r="B5275" s="545">
        <v>6455</v>
      </c>
      <c r="C5275" s="545" t="s">
        <v>4906</v>
      </c>
      <c r="D5275" s="669" t="s">
        <v>397</v>
      </c>
      <c r="E5275" s="546">
        <v>812.74117899999999</v>
      </c>
    </row>
    <row r="5276" spans="2:5" x14ac:dyDescent="0.25">
      <c r="B5276" s="545">
        <v>6456</v>
      </c>
      <c r="C5276" s="545" t="s">
        <v>784</v>
      </c>
      <c r="D5276" s="669" t="s">
        <v>397</v>
      </c>
      <c r="E5276" s="546">
        <v>757.97894899999994</v>
      </c>
    </row>
    <row r="5277" spans="2:5" x14ac:dyDescent="0.25">
      <c r="B5277" s="545">
        <v>6457</v>
      </c>
      <c r="C5277" s="545" t="s">
        <v>5354</v>
      </c>
      <c r="D5277" s="669" t="s">
        <v>397</v>
      </c>
      <c r="E5277" s="546">
        <v>871.10000600000001</v>
      </c>
    </row>
    <row r="5278" spans="2:5" x14ac:dyDescent="0.25">
      <c r="B5278" s="545">
        <v>6458</v>
      </c>
      <c r="C5278" s="545" t="s">
        <v>7225</v>
      </c>
      <c r="D5278" s="669" t="s">
        <v>397</v>
      </c>
      <c r="E5278" s="546">
        <v>708.23333700000001</v>
      </c>
    </row>
    <row r="5279" spans="2:5" x14ac:dyDescent="0.25">
      <c r="B5279" s="545">
        <v>6460</v>
      </c>
      <c r="C5279" s="545" t="s">
        <v>3173</v>
      </c>
      <c r="D5279" s="669" t="s">
        <v>397</v>
      </c>
      <c r="E5279" s="546">
        <v>700.01429399999995</v>
      </c>
    </row>
    <row r="5280" spans="2:5" x14ac:dyDescent="0.25">
      <c r="B5280" s="545">
        <v>6461</v>
      </c>
      <c r="C5280" s="545" t="s">
        <v>2907</v>
      </c>
      <c r="D5280" s="669" t="s">
        <v>397</v>
      </c>
      <c r="E5280" s="546">
        <v>787.73333200000002</v>
      </c>
    </row>
    <row r="5281" spans="2:5" x14ac:dyDescent="0.25">
      <c r="B5281" s="545">
        <v>6462</v>
      </c>
      <c r="C5281" s="545" t="s">
        <v>2971</v>
      </c>
      <c r="D5281" s="669" t="s">
        <v>397</v>
      </c>
      <c r="E5281" s="546">
        <v>688.92221400000005</v>
      </c>
    </row>
    <row r="5282" spans="2:5" x14ac:dyDescent="0.25">
      <c r="B5282" s="545">
        <v>6463</v>
      </c>
      <c r="C5282" s="545" t="s">
        <v>4487</v>
      </c>
      <c r="D5282" s="669" t="s">
        <v>397</v>
      </c>
      <c r="E5282" s="546">
        <v>779.021432</v>
      </c>
    </row>
    <row r="5283" spans="2:5" x14ac:dyDescent="0.25">
      <c r="B5283" s="545">
        <v>6464</v>
      </c>
      <c r="C5283" s="545" t="s">
        <v>3527</v>
      </c>
      <c r="D5283" s="669" t="s">
        <v>397</v>
      </c>
      <c r="E5283" s="546">
        <v>717.66666699999996</v>
      </c>
    </row>
    <row r="5284" spans="2:5" x14ac:dyDescent="0.25">
      <c r="B5284" s="545">
        <v>6465</v>
      </c>
      <c r="C5284" s="545" t="s">
        <v>7437</v>
      </c>
      <c r="D5284" s="669" t="s">
        <v>397</v>
      </c>
      <c r="E5284" s="546">
        <v>756.05555600000002</v>
      </c>
    </row>
    <row r="5285" spans="2:5" x14ac:dyDescent="0.25">
      <c r="B5285" s="545">
        <v>6467</v>
      </c>
      <c r="C5285" s="545" t="s">
        <v>3481</v>
      </c>
      <c r="D5285" s="669" t="s">
        <v>397</v>
      </c>
      <c r="E5285" s="546">
        <v>790.03000499999996</v>
      </c>
    </row>
    <row r="5286" spans="2:5" x14ac:dyDescent="0.25">
      <c r="B5286" s="545">
        <v>6468</v>
      </c>
      <c r="C5286" s="545" t="s">
        <v>4136</v>
      </c>
      <c r="D5286" s="669" t="s">
        <v>397</v>
      </c>
      <c r="E5286" s="546">
        <v>753.01428199999998</v>
      </c>
    </row>
    <row r="5287" spans="2:5" x14ac:dyDescent="0.25">
      <c r="B5287" s="545">
        <v>6469</v>
      </c>
      <c r="C5287" s="545" t="s">
        <v>3537</v>
      </c>
      <c r="D5287" s="669" t="s">
        <v>397</v>
      </c>
      <c r="E5287" s="546">
        <v>718.19999800000005</v>
      </c>
    </row>
    <row r="5288" spans="2:5" x14ac:dyDescent="0.25">
      <c r="B5288" s="545">
        <v>6470</v>
      </c>
      <c r="C5288" s="545" t="s">
        <v>5243</v>
      </c>
      <c r="D5288" s="669" t="s">
        <v>397</v>
      </c>
      <c r="E5288" s="546">
        <v>852.89999399999999</v>
      </c>
    </row>
    <row r="5289" spans="2:5" x14ac:dyDescent="0.25">
      <c r="B5289" s="545">
        <v>6471</v>
      </c>
      <c r="C5289" s="545" t="s">
        <v>4379</v>
      </c>
      <c r="D5289" s="669" t="s">
        <v>397</v>
      </c>
      <c r="E5289" s="546">
        <v>770.48125100000004</v>
      </c>
    </row>
    <row r="5290" spans="2:5" x14ac:dyDescent="0.25">
      <c r="B5290" s="545">
        <v>6472</v>
      </c>
      <c r="C5290" s="545" t="s">
        <v>3457</v>
      </c>
      <c r="D5290" s="669" t="s">
        <v>397</v>
      </c>
      <c r="E5290" s="546">
        <v>713.62352399999997</v>
      </c>
    </row>
    <row r="5291" spans="2:5" x14ac:dyDescent="0.25">
      <c r="B5291" s="545">
        <v>6473</v>
      </c>
      <c r="C5291" s="545" t="s">
        <v>4660</v>
      </c>
      <c r="D5291" s="669" t="s">
        <v>397</v>
      </c>
      <c r="E5291" s="546">
        <v>793.03124600000001</v>
      </c>
    </row>
    <row r="5292" spans="2:5" x14ac:dyDescent="0.25">
      <c r="B5292" s="545">
        <v>6474</v>
      </c>
      <c r="C5292" s="545" t="s">
        <v>3954</v>
      </c>
      <c r="D5292" s="669" t="s">
        <v>397</v>
      </c>
      <c r="E5292" s="546">
        <v>741.92727400000001</v>
      </c>
    </row>
    <row r="5293" spans="2:5" x14ac:dyDescent="0.25">
      <c r="B5293" s="545">
        <v>6475</v>
      </c>
      <c r="C5293" s="545" t="s">
        <v>7551</v>
      </c>
      <c r="D5293" s="669" t="s">
        <v>397</v>
      </c>
      <c r="E5293" s="546">
        <v>736.19444099999998</v>
      </c>
    </row>
    <row r="5294" spans="2:5" x14ac:dyDescent="0.25">
      <c r="B5294" s="545">
        <v>6476</v>
      </c>
      <c r="C5294" s="545" t="s">
        <v>3892</v>
      </c>
      <c r="D5294" s="669" t="s">
        <v>397</v>
      </c>
      <c r="E5294" s="546">
        <v>738.10909200000003</v>
      </c>
    </row>
    <row r="5295" spans="2:5" x14ac:dyDescent="0.25">
      <c r="B5295" s="545">
        <v>6477</v>
      </c>
      <c r="C5295" s="545" t="s">
        <v>4955</v>
      </c>
      <c r="D5295" s="669" t="s">
        <v>397</v>
      </c>
      <c r="E5295" s="546">
        <v>857.72000100000002</v>
      </c>
    </row>
    <row r="5296" spans="2:5" x14ac:dyDescent="0.25">
      <c r="B5296" s="545">
        <v>6479</v>
      </c>
      <c r="C5296" s="545" t="s">
        <v>4625</v>
      </c>
      <c r="D5296" s="669" t="s">
        <v>397</v>
      </c>
      <c r="E5296" s="546">
        <v>790.72726699999998</v>
      </c>
    </row>
    <row r="5297" spans="2:5" x14ac:dyDescent="0.25">
      <c r="B5297" s="545">
        <v>6480</v>
      </c>
      <c r="C5297" s="545" t="s">
        <v>3061</v>
      </c>
      <c r="D5297" s="669" t="s">
        <v>397</v>
      </c>
      <c r="E5297" s="546">
        <v>770.442858</v>
      </c>
    </row>
    <row r="5298" spans="2:5" x14ac:dyDescent="0.25">
      <c r="B5298" s="545">
        <v>6481</v>
      </c>
      <c r="C5298" s="545" t="s">
        <v>4967</v>
      </c>
      <c r="D5298" s="669" t="s">
        <v>397</v>
      </c>
      <c r="E5298" s="546">
        <v>818.79998799999998</v>
      </c>
    </row>
    <row r="5299" spans="2:5" x14ac:dyDescent="0.25">
      <c r="B5299" s="545">
        <v>6482</v>
      </c>
      <c r="C5299" s="545" t="s">
        <v>1204</v>
      </c>
      <c r="D5299" s="669" t="s">
        <v>397</v>
      </c>
      <c r="E5299" s="546">
        <v>728.48462400000005</v>
      </c>
    </row>
    <row r="5300" spans="2:5" x14ac:dyDescent="0.25">
      <c r="B5300" s="545">
        <v>6483</v>
      </c>
      <c r="C5300" s="545" t="s">
        <v>3138</v>
      </c>
      <c r="D5300" s="669" t="s">
        <v>397</v>
      </c>
      <c r="E5300" s="546">
        <v>875.50908900000002</v>
      </c>
    </row>
    <row r="5301" spans="2:5" x14ac:dyDescent="0.25">
      <c r="B5301" s="545">
        <v>6484</v>
      </c>
      <c r="C5301" s="545" t="s">
        <v>3735</v>
      </c>
      <c r="D5301" s="669" t="s">
        <v>397</v>
      </c>
      <c r="E5301" s="546">
        <v>729.02000099999998</v>
      </c>
    </row>
    <row r="5302" spans="2:5" x14ac:dyDescent="0.25">
      <c r="B5302" s="545">
        <v>6485</v>
      </c>
      <c r="C5302" s="545" t="s">
        <v>4580</v>
      </c>
      <c r="D5302" s="669" t="s">
        <v>397</v>
      </c>
      <c r="E5302" s="546">
        <v>786.49999500000001</v>
      </c>
    </row>
    <row r="5303" spans="2:5" x14ac:dyDescent="0.25">
      <c r="B5303" s="545">
        <v>6486</v>
      </c>
      <c r="C5303" s="545" t="s">
        <v>7023</v>
      </c>
      <c r="D5303" s="669" t="s">
        <v>397</v>
      </c>
      <c r="E5303" s="546">
        <v>828.07727299999999</v>
      </c>
    </row>
    <row r="5304" spans="2:5" x14ac:dyDescent="0.25">
      <c r="B5304" s="545">
        <v>6487</v>
      </c>
      <c r="C5304" s="545" t="s">
        <v>4290</v>
      </c>
      <c r="D5304" s="669" t="s">
        <v>397</v>
      </c>
      <c r="E5304" s="546">
        <v>763.72726999999998</v>
      </c>
    </row>
    <row r="5305" spans="2:5" x14ac:dyDescent="0.25">
      <c r="B5305" s="545">
        <v>6488</v>
      </c>
      <c r="C5305" s="545" t="s">
        <v>4857</v>
      </c>
      <c r="D5305" s="669" t="s">
        <v>397</v>
      </c>
      <c r="E5305" s="546">
        <v>807.70001200000002</v>
      </c>
    </row>
    <row r="5306" spans="2:5" x14ac:dyDescent="0.25">
      <c r="B5306" s="545">
        <v>6489</v>
      </c>
      <c r="C5306" s="545" t="s">
        <v>7432</v>
      </c>
      <c r="D5306" s="669" t="s">
        <v>397</v>
      </c>
      <c r="E5306" s="546">
        <v>794.82856100000004</v>
      </c>
    </row>
    <row r="5307" spans="2:5" x14ac:dyDescent="0.25">
      <c r="B5307" s="545">
        <v>6490</v>
      </c>
      <c r="C5307" s="545" t="s">
        <v>4150</v>
      </c>
      <c r="D5307" s="669" t="s">
        <v>397</v>
      </c>
      <c r="E5307" s="546">
        <v>754</v>
      </c>
    </row>
    <row r="5308" spans="2:5" x14ac:dyDescent="0.25">
      <c r="B5308" s="545">
        <v>6491</v>
      </c>
      <c r="C5308" s="545" t="s">
        <v>3477</v>
      </c>
      <c r="D5308" s="669" t="s">
        <v>397</v>
      </c>
      <c r="E5308" s="546">
        <v>714.73333700000001</v>
      </c>
    </row>
    <row r="5309" spans="2:5" x14ac:dyDescent="0.25">
      <c r="B5309" s="545">
        <v>6492</v>
      </c>
      <c r="C5309" s="545" t="s">
        <v>1571</v>
      </c>
      <c r="D5309" s="669" t="s">
        <v>397</v>
      </c>
      <c r="E5309" s="546">
        <v>772.74166400000001</v>
      </c>
    </row>
    <row r="5310" spans="2:5" x14ac:dyDescent="0.25">
      <c r="B5310" s="545">
        <v>6501</v>
      </c>
      <c r="C5310" s="545" t="s">
        <v>5193</v>
      </c>
      <c r="D5310" s="669" t="s">
        <v>397</v>
      </c>
      <c r="E5310" s="546">
        <v>844.76250100000004</v>
      </c>
    </row>
    <row r="5311" spans="2:5" x14ac:dyDescent="0.25">
      <c r="B5311" s="545">
        <v>6502</v>
      </c>
      <c r="C5311" s="545" t="s">
        <v>2769</v>
      </c>
      <c r="D5311" s="669" t="s">
        <v>397</v>
      </c>
      <c r="E5311" s="546">
        <v>881.63500099999999</v>
      </c>
    </row>
    <row r="5312" spans="2:5" x14ac:dyDescent="0.25">
      <c r="B5312" s="545">
        <v>6503</v>
      </c>
      <c r="C5312" s="545" t="s">
        <v>5612</v>
      </c>
      <c r="D5312" s="669" t="s">
        <v>397</v>
      </c>
      <c r="E5312" s="546">
        <v>914.64999399999999</v>
      </c>
    </row>
    <row r="5313" spans="2:5" x14ac:dyDescent="0.25">
      <c r="B5313" s="545">
        <v>6504</v>
      </c>
      <c r="C5313" s="545" t="s">
        <v>7295</v>
      </c>
      <c r="D5313" s="669" t="s">
        <v>397</v>
      </c>
      <c r="E5313" s="546">
        <v>893.77777800000001</v>
      </c>
    </row>
    <row r="5314" spans="2:5" x14ac:dyDescent="0.25">
      <c r="B5314" s="545">
        <v>6505</v>
      </c>
      <c r="C5314" s="545" t="s">
        <v>5637</v>
      </c>
      <c r="D5314" s="669" t="s">
        <v>397</v>
      </c>
      <c r="E5314" s="546">
        <v>920.62500799999998</v>
      </c>
    </row>
    <row r="5315" spans="2:5" x14ac:dyDescent="0.25">
      <c r="B5315" s="545">
        <v>6506</v>
      </c>
      <c r="C5315" s="545" t="s">
        <v>5486</v>
      </c>
      <c r="D5315" s="669" t="s">
        <v>397</v>
      </c>
      <c r="E5315" s="546">
        <v>893.78333499999997</v>
      </c>
    </row>
    <row r="5316" spans="2:5" x14ac:dyDescent="0.25">
      <c r="B5316" s="545">
        <v>6507</v>
      </c>
      <c r="C5316" s="545" t="s">
        <v>5499</v>
      </c>
      <c r="D5316" s="669" t="s">
        <v>397</v>
      </c>
      <c r="E5316" s="546">
        <v>895.89091399999995</v>
      </c>
    </row>
    <row r="5317" spans="2:5" x14ac:dyDescent="0.25">
      <c r="B5317" s="545">
        <v>6508</v>
      </c>
      <c r="C5317" s="545" t="s">
        <v>5544</v>
      </c>
      <c r="D5317" s="669" t="s">
        <v>397</v>
      </c>
      <c r="E5317" s="546">
        <v>902.64545799999996</v>
      </c>
    </row>
    <row r="5318" spans="2:5" x14ac:dyDescent="0.25">
      <c r="B5318" s="545">
        <v>6509</v>
      </c>
      <c r="C5318" s="545" t="s">
        <v>5519</v>
      </c>
      <c r="D5318" s="669" t="s">
        <v>397</v>
      </c>
      <c r="E5318" s="546">
        <v>898.54444699999999</v>
      </c>
    </row>
    <row r="5319" spans="2:5" x14ac:dyDescent="0.25">
      <c r="B5319" s="545">
        <v>6510</v>
      </c>
      <c r="C5319" s="545" t="s">
        <v>5493</v>
      </c>
      <c r="D5319" s="669" t="s">
        <v>397</v>
      </c>
      <c r="E5319" s="546">
        <v>894.39999399999999</v>
      </c>
    </row>
    <row r="5320" spans="2:5" x14ac:dyDescent="0.25">
      <c r="B5320" s="545">
        <v>6511</v>
      </c>
      <c r="C5320" s="545" t="s">
        <v>5433</v>
      </c>
      <c r="D5320" s="669" t="s">
        <v>397</v>
      </c>
      <c r="E5320" s="546">
        <v>884.59999900000003</v>
      </c>
    </row>
    <row r="5321" spans="2:5" x14ac:dyDescent="0.25">
      <c r="B5321" s="545">
        <v>6512</v>
      </c>
      <c r="C5321" s="545" t="s">
        <v>5282</v>
      </c>
      <c r="D5321" s="669" t="s">
        <v>397</v>
      </c>
      <c r="E5321" s="546">
        <v>858.46499900000003</v>
      </c>
    </row>
    <row r="5322" spans="2:5" x14ac:dyDescent="0.25">
      <c r="B5322" s="545">
        <v>6513</v>
      </c>
      <c r="C5322" s="545" t="s">
        <v>7222</v>
      </c>
      <c r="D5322" s="669" t="s">
        <v>397</v>
      </c>
      <c r="E5322" s="546">
        <v>817.70555300000001</v>
      </c>
    </row>
    <row r="5323" spans="2:5" x14ac:dyDescent="0.25">
      <c r="B5323" s="545">
        <v>6514</v>
      </c>
      <c r="C5323" s="545" t="s">
        <v>4834</v>
      </c>
      <c r="D5323" s="669" t="s">
        <v>397</v>
      </c>
      <c r="E5323" s="546">
        <v>806.38888499999996</v>
      </c>
    </row>
    <row r="5324" spans="2:5" x14ac:dyDescent="0.25">
      <c r="B5324" s="545">
        <v>6515</v>
      </c>
      <c r="C5324" s="545" t="s">
        <v>5590</v>
      </c>
      <c r="D5324" s="669" t="s">
        <v>397</v>
      </c>
      <c r="E5324" s="546">
        <v>909.87777400000004</v>
      </c>
    </row>
    <row r="5325" spans="2:5" x14ac:dyDescent="0.25">
      <c r="B5325" s="545">
        <v>6516</v>
      </c>
      <c r="C5325" s="545" t="s">
        <v>5479</v>
      </c>
      <c r="D5325" s="669" t="s">
        <v>397</v>
      </c>
      <c r="E5325" s="546">
        <v>893.20000300000004</v>
      </c>
    </row>
    <row r="5326" spans="2:5" x14ac:dyDescent="0.25">
      <c r="B5326" s="545">
        <v>6517</v>
      </c>
      <c r="C5326" s="545" t="s">
        <v>5365</v>
      </c>
      <c r="D5326" s="669" t="s">
        <v>397</v>
      </c>
      <c r="E5326" s="546">
        <v>873.53999599999997</v>
      </c>
    </row>
    <row r="5327" spans="2:5" x14ac:dyDescent="0.25">
      <c r="B5327" s="545">
        <v>6518</v>
      </c>
      <c r="C5327" s="545" t="s">
        <v>883</v>
      </c>
      <c r="D5327" s="669" t="s">
        <v>397</v>
      </c>
      <c r="E5327" s="546">
        <v>856.02000299999997</v>
      </c>
    </row>
    <row r="5328" spans="2:5" x14ac:dyDescent="0.25">
      <c r="B5328" s="545">
        <v>6519</v>
      </c>
      <c r="C5328" s="545" t="s">
        <v>5212</v>
      </c>
      <c r="D5328" s="669" t="s">
        <v>397</v>
      </c>
      <c r="E5328" s="546">
        <v>847.04167199999995</v>
      </c>
    </row>
    <row r="5329" spans="2:5" x14ac:dyDescent="0.25">
      <c r="B5329" s="545">
        <v>6520</v>
      </c>
      <c r="C5329" s="545" t="s">
        <v>5008</v>
      </c>
      <c r="D5329" s="669" t="s">
        <v>397</v>
      </c>
      <c r="E5329" s="546">
        <v>823.76666999999998</v>
      </c>
    </row>
    <row r="5330" spans="2:5" x14ac:dyDescent="0.25">
      <c r="B5330" s="545">
        <v>6521</v>
      </c>
      <c r="C5330" s="545" t="s">
        <v>4916</v>
      </c>
      <c r="D5330" s="669" t="s">
        <v>391</v>
      </c>
      <c r="E5330" s="546">
        <v>813.88750500000003</v>
      </c>
    </row>
    <row r="5331" spans="2:5" x14ac:dyDescent="0.25">
      <c r="B5331" s="545">
        <v>6522</v>
      </c>
      <c r="C5331" s="545" t="s">
        <v>7036</v>
      </c>
      <c r="D5331" s="669" t="s">
        <v>391</v>
      </c>
      <c r="E5331" s="546">
        <v>837.79998799999998</v>
      </c>
    </row>
    <row r="5332" spans="2:5" x14ac:dyDescent="0.25">
      <c r="B5332" s="545">
        <v>6523</v>
      </c>
      <c r="C5332" s="545" t="s">
        <v>5073</v>
      </c>
      <c r="D5332" s="669" t="s">
        <v>391</v>
      </c>
      <c r="E5332" s="546">
        <v>830.82777199999998</v>
      </c>
    </row>
    <row r="5333" spans="2:5" x14ac:dyDescent="0.25">
      <c r="B5333" s="545">
        <v>6524</v>
      </c>
      <c r="C5333" s="545" t="s">
        <v>2655</v>
      </c>
      <c r="D5333" s="669" t="s">
        <v>391</v>
      </c>
      <c r="E5333" s="546">
        <v>748.588888</v>
      </c>
    </row>
    <row r="5334" spans="2:5" x14ac:dyDescent="0.25">
      <c r="B5334" s="545">
        <v>6525</v>
      </c>
      <c r="C5334" s="545" t="s">
        <v>7579</v>
      </c>
      <c r="D5334" s="669" t="s">
        <v>391</v>
      </c>
      <c r="E5334" s="546">
        <v>739.95881599999996</v>
      </c>
    </row>
    <row r="5335" spans="2:5" x14ac:dyDescent="0.25">
      <c r="B5335" s="545">
        <v>6526</v>
      </c>
      <c r="C5335" s="545" t="s">
        <v>4106</v>
      </c>
      <c r="D5335" s="669" t="s">
        <v>391</v>
      </c>
      <c r="E5335" s="546">
        <v>751.09999600000003</v>
      </c>
    </row>
    <row r="5336" spans="2:5" x14ac:dyDescent="0.25">
      <c r="B5336" s="545">
        <v>6527</v>
      </c>
      <c r="C5336" s="545" t="s">
        <v>6509</v>
      </c>
      <c r="D5336" s="669" t="s">
        <v>391</v>
      </c>
      <c r="E5336" s="546">
        <v>715.5</v>
      </c>
    </row>
    <row r="5337" spans="2:5" x14ac:dyDescent="0.25">
      <c r="B5337" s="545">
        <v>6528</v>
      </c>
      <c r="C5337" s="545" t="s">
        <v>4368</v>
      </c>
      <c r="D5337" s="669" t="s">
        <v>391</v>
      </c>
      <c r="E5337" s="546">
        <v>769.63478199999997</v>
      </c>
    </row>
    <row r="5338" spans="2:5" x14ac:dyDescent="0.25">
      <c r="B5338" s="545">
        <v>6529</v>
      </c>
      <c r="C5338" s="545" t="s">
        <v>7111</v>
      </c>
      <c r="D5338" s="669" t="s">
        <v>391</v>
      </c>
      <c r="E5338" s="546">
        <v>753.76250100000004</v>
      </c>
    </row>
    <row r="5339" spans="2:5" x14ac:dyDescent="0.25">
      <c r="B5339" s="545">
        <v>6530</v>
      </c>
      <c r="C5339" s="545" t="s">
        <v>3957</v>
      </c>
      <c r="D5339" s="669" t="s">
        <v>391</v>
      </c>
      <c r="E5339" s="546">
        <v>742.22941300000002</v>
      </c>
    </row>
    <row r="5340" spans="2:5" x14ac:dyDescent="0.25">
      <c r="B5340" s="545">
        <v>6531</v>
      </c>
      <c r="C5340" s="545" t="s">
        <v>3545</v>
      </c>
      <c r="D5340" s="669" t="s">
        <v>391</v>
      </c>
      <c r="E5340" s="546">
        <v>718.61249499999997</v>
      </c>
    </row>
    <row r="5341" spans="2:5" x14ac:dyDescent="0.25">
      <c r="B5341" s="545">
        <v>6532</v>
      </c>
      <c r="C5341" s="545" t="s">
        <v>3009</v>
      </c>
      <c r="D5341" s="669" t="s">
        <v>391</v>
      </c>
      <c r="E5341" s="546">
        <v>714.15625</v>
      </c>
    </row>
    <row r="5342" spans="2:5" x14ac:dyDescent="0.25">
      <c r="B5342" s="545">
        <v>6533</v>
      </c>
      <c r="C5342" s="545" t="s">
        <v>3799</v>
      </c>
      <c r="D5342" s="669" t="s">
        <v>391</v>
      </c>
      <c r="E5342" s="546">
        <v>732.57894699999997</v>
      </c>
    </row>
    <row r="5343" spans="2:5" x14ac:dyDescent="0.25">
      <c r="B5343" s="545">
        <v>6534</v>
      </c>
      <c r="C5343" s="545" t="s">
        <v>3819</v>
      </c>
      <c r="D5343" s="669" t="s">
        <v>391</v>
      </c>
      <c r="E5343" s="546">
        <v>733.89090799999997</v>
      </c>
    </row>
    <row r="5344" spans="2:5" x14ac:dyDescent="0.25">
      <c r="B5344" s="545">
        <v>6535</v>
      </c>
      <c r="C5344" s="545" t="s">
        <v>7621</v>
      </c>
      <c r="D5344" s="669" t="s">
        <v>391</v>
      </c>
      <c r="E5344" s="546">
        <v>724.14999399999999</v>
      </c>
    </row>
    <row r="5345" spans="2:5" x14ac:dyDescent="0.25">
      <c r="B5345" s="545">
        <v>6536</v>
      </c>
      <c r="C5345" s="545" t="s">
        <v>3809</v>
      </c>
      <c r="D5345" s="669" t="s">
        <v>391</v>
      </c>
      <c r="E5345" s="546">
        <v>733.37857499999996</v>
      </c>
    </row>
    <row r="5346" spans="2:5" x14ac:dyDescent="0.25">
      <c r="B5346" s="545">
        <v>6537</v>
      </c>
      <c r="C5346" s="545" t="s">
        <v>3764</v>
      </c>
      <c r="D5346" s="669" t="s">
        <v>391</v>
      </c>
      <c r="E5346" s="546">
        <v>730.85385799999995</v>
      </c>
    </row>
    <row r="5347" spans="2:5" x14ac:dyDescent="0.25">
      <c r="B5347" s="545">
        <v>6551</v>
      </c>
      <c r="C5347" s="545" t="s">
        <v>4337</v>
      </c>
      <c r="D5347" s="669" t="s">
        <v>390</v>
      </c>
      <c r="E5347" s="546">
        <v>767.28750600000001</v>
      </c>
    </row>
    <row r="5348" spans="2:5" x14ac:dyDescent="0.25">
      <c r="B5348" s="545">
        <v>6552</v>
      </c>
      <c r="C5348" s="545" t="s">
        <v>4019</v>
      </c>
      <c r="D5348" s="669" t="s">
        <v>390</v>
      </c>
      <c r="E5348" s="546">
        <v>746.27222400000005</v>
      </c>
    </row>
    <row r="5349" spans="2:5" x14ac:dyDescent="0.25">
      <c r="B5349" s="545">
        <v>6553</v>
      </c>
      <c r="C5349" s="545" t="s">
        <v>4128</v>
      </c>
      <c r="D5349" s="669" t="s">
        <v>390</v>
      </c>
      <c r="E5349" s="546">
        <v>752.41999499999997</v>
      </c>
    </row>
    <row r="5350" spans="2:5" x14ac:dyDescent="0.25">
      <c r="B5350" s="545">
        <v>6554</v>
      </c>
      <c r="C5350" s="545" t="s">
        <v>4021</v>
      </c>
      <c r="D5350" s="669" t="s">
        <v>390</v>
      </c>
      <c r="E5350" s="546">
        <v>746.52500199999997</v>
      </c>
    </row>
    <row r="5351" spans="2:5" x14ac:dyDescent="0.25">
      <c r="B5351" s="545">
        <v>6555</v>
      </c>
      <c r="C5351" s="545" t="s">
        <v>3949</v>
      </c>
      <c r="D5351" s="669" t="s">
        <v>390</v>
      </c>
      <c r="E5351" s="546">
        <v>741.53125</v>
      </c>
    </row>
    <row r="5352" spans="2:5" x14ac:dyDescent="0.25">
      <c r="B5352" s="545">
        <v>6556</v>
      </c>
      <c r="C5352" s="545" t="s">
        <v>4101</v>
      </c>
      <c r="D5352" s="669" t="s">
        <v>390</v>
      </c>
      <c r="E5352" s="546">
        <v>750.98181699999998</v>
      </c>
    </row>
    <row r="5353" spans="2:5" x14ac:dyDescent="0.25">
      <c r="B5353" s="545">
        <v>6557</v>
      </c>
      <c r="C5353" s="545" t="s">
        <v>3543</v>
      </c>
      <c r="D5353" s="669" t="s">
        <v>390</v>
      </c>
      <c r="E5353" s="546">
        <v>718.561106</v>
      </c>
    </row>
    <row r="5354" spans="2:5" x14ac:dyDescent="0.25">
      <c r="B5354" s="545">
        <v>6558</v>
      </c>
      <c r="C5354" s="545" t="s">
        <v>3380</v>
      </c>
      <c r="D5354" s="669" t="s">
        <v>390</v>
      </c>
      <c r="E5354" s="546">
        <v>709.85333300000002</v>
      </c>
    </row>
    <row r="5355" spans="2:5" x14ac:dyDescent="0.25">
      <c r="B5355" s="545">
        <v>6559</v>
      </c>
      <c r="C5355" s="545" t="s">
        <v>3732</v>
      </c>
      <c r="D5355" s="669" t="s">
        <v>390</v>
      </c>
      <c r="E5355" s="546">
        <v>728.77500899999995</v>
      </c>
    </row>
    <row r="5356" spans="2:5" x14ac:dyDescent="0.25">
      <c r="B5356" s="545">
        <v>6560</v>
      </c>
      <c r="C5356" s="545" t="s">
        <v>3710</v>
      </c>
      <c r="D5356" s="669" t="s">
        <v>390</v>
      </c>
      <c r="E5356" s="546">
        <v>727.67777799999999</v>
      </c>
    </row>
    <row r="5357" spans="2:5" x14ac:dyDescent="0.25">
      <c r="B5357" s="545">
        <v>6561</v>
      </c>
      <c r="C5357" s="545" t="s">
        <v>3995</v>
      </c>
      <c r="D5357" s="669" t="s">
        <v>390</v>
      </c>
      <c r="E5357" s="546">
        <v>744.52499399999999</v>
      </c>
    </row>
    <row r="5358" spans="2:5" x14ac:dyDescent="0.25">
      <c r="B5358" s="545">
        <v>6562</v>
      </c>
      <c r="C5358" s="545" t="s">
        <v>4166</v>
      </c>
      <c r="D5358" s="669" t="s">
        <v>390</v>
      </c>
      <c r="E5358" s="546">
        <v>755.28571399999998</v>
      </c>
    </row>
    <row r="5359" spans="2:5" x14ac:dyDescent="0.25">
      <c r="B5359" s="545">
        <v>6563</v>
      </c>
      <c r="C5359" s="545" t="s">
        <v>3801</v>
      </c>
      <c r="D5359" s="669" t="s">
        <v>390</v>
      </c>
      <c r="E5359" s="546">
        <v>733.06470400000001</v>
      </c>
    </row>
    <row r="5360" spans="2:5" x14ac:dyDescent="0.25">
      <c r="B5360" s="545">
        <v>6564</v>
      </c>
      <c r="C5360" s="545" t="s">
        <v>4325</v>
      </c>
      <c r="D5360" s="669" t="s">
        <v>390</v>
      </c>
      <c r="E5360" s="546">
        <v>766.822225</v>
      </c>
    </row>
    <row r="5361" spans="2:5" x14ac:dyDescent="0.25">
      <c r="B5361" s="545">
        <v>6565</v>
      </c>
      <c r="C5361" s="545" t="s">
        <v>4073</v>
      </c>
      <c r="D5361" s="669" t="s">
        <v>390</v>
      </c>
      <c r="E5361" s="546">
        <v>749.57691799999998</v>
      </c>
    </row>
    <row r="5362" spans="2:5" x14ac:dyDescent="0.25">
      <c r="B5362" s="545">
        <v>6566</v>
      </c>
      <c r="C5362" s="545" t="s">
        <v>3449</v>
      </c>
      <c r="D5362" s="669" t="s">
        <v>390</v>
      </c>
      <c r="E5362" s="546">
        <v>713.24736900000005</v>
      </c>
    </row>
    <row r="5363" spans="2:5" x14ac:dyDescent="0.25">
      <c r="B5363" s="545">
        <v>6567</v>
      </c>
      <c r="C5363" s="545" t="s">
        <v>3673</v>
      </c>
      <c r="D5363" s="669" t="s">
        <v>390</v>
      </c>
      <c r="E5363" s="546">
        <v>725.74737200000004</v>
      </c>
    </row>
    <row r="5364" spans="2:5" x14ac:dyDescent="0.25">
      <c r="B5364" s="545">
        <v>6568</v>
      </c>
      <c r="C5364" s="545" t="s">
        <v>7539</v>
      </c>
      <c r="D5364" s="669" t="s">
        <v>390</v>
      </c>
      <c r="E5364" s="546">
        <v>722.41999499999997</v>
      </c>
    </row>
    <row r="5365" spans="2:5" x14ac:dyDescent="0.25">
      <c r="B5365" s="545">
        <v>6569</v>
      </c>
      <c r="C5365" s="545" t="s">
        <v>4056</v>
      </c>
      <c r="D5365" s="669" t="s">
        <v>390</v>
      </c>
      <c r="E5365" s="546">
        <v>748.663635</v>
      </c>
    </row>
    <row r="5366" spans="2:5" x14ac:dyDescent="0.25">
      <c r="B5366" s="545">
        <v>6570</v>
      </c>
      <c r="C5366" s="545" t="s">
        <v>3633</v>
      </c>
      <c r="D5366" s="669" t="s">
        <v>390</v>
      </c>
      <c r="E5366" s="546">
        <v>723.67999299999997</v>
      </c>
    </row>
    <row r="5367" spans="2:5" x14ac:dyDescent="0.25">
      <c r="B5367" s="545">
        <v>6571</v>
      </c>
      <c r="C5367" s="545" t="s">
        <v>4041</v>
      </c>
      <c r="D5367" s="669" t="s">
        <v>390</v>
      </c>
      <c r="E5367" s="546">
        <v>747.42856300000005</v>
      </c>
    </row>
    <row r="5368" spans="2:5" x14ac:dyDescent="0.25">
      <c r="B5368" s="545">
        <v>6572</v>
      </c>
      <c r="C5368" s="545" t="s">
        <v>3404</v>
      </c>
      <c r="D5368" s="669" t="s">
        <v>390</v>
      </c>
      <c r="E5368" s="546">
        <v>711.25000299999999</v>
      </c>
    </row>
    <row r="5369" spans="2:5" x14ac:dyDescent="0.25">
      <c r="B5369" s="545">
        <v>6573</v>
      </c>
      <c r="C5369" s="545" t="s">
        <v>3473</v>
      </c>
      <c r="D5369" s="669" t="s">
        <v>390</v>
      </c>
      <c r="E5369" s="546">
        <v>714.46667500000001</v>
      </c>
    </row>
    <row r="5370" spans="2:5" x14ac:dyDescent="0.25">
      <c r="B5370" s="545">
        <v>6574</v>
      </c>
      <c r="C5370" s="545" t="s">
        <v>3095</v>
      </c>
      <c r="D5370" s="669" t="s">
        <v>390</v>
      </c>
      <c r="E5370" s="546">
        <v>695.65999799999997</v>
      </c>
    </row>
    <row r="5371" spans="2:5" x14ac:dyDescent="0.25">
      <c r="B5371" s="545">
        <v>6575</v>
      </c>
      <c r="C5371" s="545" t="s">
        <v>3352</v>
      </c>
      <c r="D5371" s="669" t="s">
        <v>390</v>
      </c>
      <c r="E5371" s="546">
        <v>708.69166600000005</v>
      </c>
    </row>
    <row r="5372" spans="2:5" x14ac:dyDescent="0.25">
      <c r="B5372" s="545">
        <v>6576</v>
      </c>
      <c r="C5372" s="545" t="s">
        <v>3822</v>
      </c>
      <c r="D5372" s="669" t="s">
        <v>390</v>
      </c>
      <c r="E5372" s="546">
        <v>733.97999300000004</v>
      </c>
    </row>
    <row r="5373" spans="2:5" x14ac:dyDescent="0.25">
      <c r="B5373" s="545">
        <v>6577</v>
      </c>
      <c r="C5373" s="545" t="s">
        <v>3759</v>
      </c>
      <c r="D5373" s="669" t="s">
        <v>390</v>
      </c>
      <c r="E5373" s="546">
        <v>730.56427900000006</v>
      </c>
    </row>
    <row r="5374" spans="2:5" x14ac:dyDescent="0.25">
      <c r="B5374" s="545">
        <v>6578</v>
      </c>
      <c r="C5374" s="545" t="s">
        <v>3624</v>
      </c>
      <c r="D5374" s="669" t="s">
        <v>390</v>
      </c>
      <c r="E5374" s="546">
        <v>723.31818699999997</v>
      </c>
    </row>
    <row r="5375" spans="2:5" x14ac:dyDescent="0.25">
      <c r="B5375" s="545">
        <v>6579</v>
      </c>
      <c r="C5375" s="545" t="s">
        <v>4279</v>
      </c>
      <c r="D5375" s="669" t="s">
        <v>390</v>
      </c>
      <c r="E5375" s="546">
        <v>763.44445099999996</v>
      </c>
    </row>
    <row r="5376" spans="2:5" x14ac:dyDescent="0.25">
      <c r="B5376" s="545">
        <v>6580</v>
      </c>
      <c r="C5376" s="545" t="s">
        <v>7157</v>
      </c>
      <c r="D5376" s="669" t="s">
        <v>390</v>
      </c>
      <c r="E5376" s="546">
        <v>759.26999499999999</v>
      </c>
    </row>
    <row r="5377" spans="2:5" x14ac:dyDescent="0.25">
      <c r="B5377" s="545">
        <v>6581</v>
      </c>
      <c r="C5377" s="545" t="s">
        <v>7280</v>
      </c>
      <c r="D5377" s="669" t="s">
        <v>390</v>
      </c>
      <c r="E5377" s="546">
        <v>730.259998</v>
      </c>
    </row>
    <row r="5378" spans="2:5" x14ac:dyDescent="0.25">
      <c r="B5378" s="545">
        <v>6582</v>
      </c>
      <c r="C5378" s="545" t="s">
        <v>4145</v>
      </c>
      <c r="D5378" s="669" t="s">
        <v>390</v>
      </c>
      <c r="E5378" s="546">
        <v>753.65000599999996</v>
      </c>
    </row>
    <row r="5379" spans="2:5" x14ac:dyDescent="0.25">
      <c r="B5379" s="545">
        <v>6583</v>
      </c>
      <c r="C5379" s="545" t="s">
        <v>4022</v>
      </c>
      <c r="D5379" s="669" t="s">
        <v>390</v>
      </c>
      <c r="E5379" s="546">
        <v>746.58749799999998</v>
      </c>
    </row>
    <row r="5380" spans="2:5" x14ac:dyDescent="0.25">
      <c r="B5380" s="545">
        <v>6584</v>
      </c>
      <c r="C5380" s="545" t="s">
        <v>3618</v>
      </c>
      <c r="D5380" s="669" t="s">
        <v>390</v>
      </c>
      <c r="E5380" s="546">
        <v>722.88181899999995</v>
      </c>
    </row>
    <row r="5381" spans="2:5" x14ac:dyDescent="0.25">
      <c r="B5381" s="545">
        <v>6585</v>
      </c>
      <c r="C5381" s="545" t="s">
        <v>3463</v>
      </c>
      <c r="D5381" s="669" t="s">
        <v>390</v>
      </c>
      <c r="E5381" s="546">
        <v>714.03332499999999</v>
      </c>
    </row>
    <row r="5382" spans="2:5" x14ac:dyDescent="0.25">
      <c r="B5382" s="545">
        <v>6586</v>
      </c>
      <c r="C5382" s="545" t="s">
        <v>3722</v>
      </c>
      <c r="D5382" s="669" t="s">
        <v>390</v>
      </c>
      <c r="E5382" s="546">
        <v>728.38888899999995</v>
      </c>
    </row>
    <row r="5383" spans="2:5" x14ac:dyDescent="0.25">
      <c r="B5383" s="545">
        <v>6587</v>
      </c>
      <c r="C5383" s="545" t="s">
        <v>3950</v>
      </c>
      <c r="D5383" s="669" t="s">
        <v>390</v>
      </c>
      <c r="E5383" s="546">
        <v>741.54782799999998</v>
      </c>
    </row>
    <row r="5384" spans="2:5" x14ac:dyDescent="0.25">
      <c r="B5384" s="545">
        <v>6588</v>
      </c>
      <c r="C5384" s="545" t="s">
        <v>3254</v>
      </c>
      <c r="D5384" s="669" t="s">
        <v>390</v>
      </c>
      <c r="E5384" s="546">
        <v>703.421426</v>
      </c>
    </row>
    <row r="5385" spans="2:5" x14ac:dyDescent="0.25">
      <c r="B5385" s="545">
        <v>6589</v>
      </c>
      <c r="C5385" s="545" t="s">
        <v>3492</v>
      </c>
      <c r="D5385" s="669" t="s">
        <v>390</v>
      </c>
      <c r="E5385" s="546">
        <v>715.65000399999997</v>
      </c>
    </row>
    <row r="5386" spans="2:5" x14ac:dyDescent="0.25">
      <c r="B5386" s="545">
        <v>6590</v>
      </c>
      <c r="C5386" s="545" t="s">
        <v>3074</v>
      </c>
      <c r="D5386" s="669" t="s">
        <v>390</v>
      </c>
      <c r="E5386" s="546">
        <v>694.64999899999998</v>
      </c>
    </row>
    <row r="5387" spans="2:5" x14ac:dyDescent="0.25">
      <c r="B5387" s="545">
        <v>6591</v>
      </c>
      <c r="C5387" s="545" t="s">
        <v>3073</v>
      </c>
      <c r="D5387" s="669" t="s">
        <v>390</v>
      </c>
      <c r="E5387" s="546">
        <v>694.62306599999999</v>
      </c>
    </row>
    <row r="5388" spans="2:5" x14ac:dyDescent="0.25">
      <c r="B5388" s="545">
        <v>6592</v>
      </c>
      <c r="C5388" s="545" t="s">
        <v>1044</v>
      </c>
      <c r="D5388" s="669" t="s">
        <v>390</v>
      </c>
      <c r="E5388" s="546">
        <v>693.94999900000005</v>
      </c>
    </row>
    <row r="5389" spans="2:5" x14ac:dyDescent="0.25">
      <c r="B5389" s="545">
        <v>6593</v>
      </c>
      <c r="C5389" s="545" t="s">
        <v>2752</v>
      </c>
      <c r="D5389" s="669" t="s">
        <v>390</v>
      </c>
      <c r="E5389" s="546">
        <v>678.44166600000005</v>
      </c>
    </row>
    <row r="5390" spans="2:5" x14ac:dyDescent="0.25">
      <c r="B5390" s="545">
        <v>6594</v>
      </c>
      <c r="C5390" s="545" t="s">
        <v>2664</v>
      </c>
      <c r="D5390" s="669" t="s">
        <v>390</v>
      </c>
      <c r="E5390" s="546">
        <v>674.39000199999998</v>
      </c>
    </row>
    <row r="5391" spans="2:5" x14ac:dyDescent="0.25">
      <c r="B5391" s="545">
        <v>6595</v>
      </c>
      <c r="C5391" s="545" t="s">
        <v>3649</v>
      </c>
      <c r="D5391" s="669" t="s">
        <v>390</v>
      </c>
      <c r="E5391" s="546">
        <v>724.39999799999998</v>
      </c>
    </row>
    <row r="5392" spans="2:5" x14ac:dyDescent="0.25">
      <c r="B5392" s="545">
        <v>6596</v>
      </c>
      <c r="C5392" s="545" t="s">
        <v>2712</v>
      </c>
      <c r="D5392" s="669" t="s">
        <v>390</v>
      </c>
      <c r="E5392" s="546">
        <v>676.40001400000006</v>
      </c>
    </row>
    <row r="5393" spans="2:5" x14ac:dyDescent="0.25">
      <c r="B5393" s="545">
        <v>6597</v>
      </c>
      <c r="C5393" s="545" t="s">
        <v>6845</v>
      </c>
      <c r="D5393" s="669" t="s">
        <v>390</v>
      </c>
      <c r="E5393" s="546">
        <v>676.67143899999996</v>
      </c>
    </row>
    <row r="5394" spans="2:5" x14ac:dyDescent="0.25">
      <c r="B5394" s="545">
        <v>6598</v>
      </c>
      <c r="C5394" s="545" t="s">
        <v>7273</v>
      </c>
      <c r="D5394" s="669" t="s">
        <v>390</v>
      </c>
      <c r="E5394" s="546">
        <v>733.85383999999999</v>
      </c>
    </row>
    <row r="5395" spans="2:5" x14ac:dyDescent="0.25">
      <c r="B5395" s="545">
        <v>6599</v>
      </c>
      <c r="C5395" s="545" t="s">
        <v>3293</v>
      </c>
      <c r="D5395" s="669" t="s">
        <v>390</v>
      </c>
      <c r="E5395" s="546">
        <v>705.38334099999997</v>
      </c>
    </row>
    <row r="5396" spans="2:5" x14ac:dyDescent="0.25">
      <c r="B5396" s="545">
        <v>6600</v>
      </c>
      <c r="C5396" s="545" t="s">
        <v>3930</v>
      </c>
      <c r="D5396" s="669" t="s">
        <v>390</v>
      </c>
      <c r="E5396" s="546">
        <v>740.5</v>
      </c>
    </row>
    <row r="5397" spans="2:5" x14ac:dyDescent="0.25">
      <c r="B5397" s="545">
        <v>6601</v>
      </c>
      <c r="C5397" s="545" t="s">
        <v>3395</v>
      </c>
      <c r="D5397" s="669" t="s">
        <v>390</v>
      </c>
      <c r="E5397" s="546">
        <v>710.71999500000004</v>
      </c>
    </row>
    <row r="5398" spans="2:5" x14ac:dyDescent="0.25">
      <c r="B5398" s="545">
        <v>6602</v>
      </c>
      <c r="C5398" s="545" t="s">
        <v>7614</v>
      </c>
      <c r="D5398" s="669" t="s">
        <v>390</v>
      </c>
      <c r="E5398" s="546">
        <v>688.31999499999995</v>
      </c>
    </row>
    <row r="5399" spans="2:5" x14ac:dyDescent="0.25">
      <c r="B5399" s="545">
        <v>6603</v>
      </c>
      <c r="C5399" s="545" t="s">
        <v>3240</v>
      </c>
      <c r="D5399" s="669" t="s">
        <v>390</v>
      </c>
      <c r="E5399" s="546">
        <v>703.04167199999995</v>
      </c>
    </row>
    <row r="5400" spans="2:5" x14ac:dyDescent="0.25">
      <c r="B5400" s="545">
        <v>6604</v>
      </c>
      <c r="C5400" s="545" t="s">
        <v>7046</v>
      </c>
      <c r="D5400" s="669" t="s">
        <v>390</v>
      </c>
      <c r="E5400" s="546">
        <v>750.71250899999995</v>
      </c>
    </row>
    <row r="5401" spans="2:5" x14ac:dyDescent="0.25">
      <c r="B5401" s="545">
        <v>6605</v>
      </c>
      <c r="C5401" s="545" t="s">
        <v>2083</v>
      </c>
      <c r="D5401" s="669" t="s">
        <v>390</v>
      </c>
      <c r="E5401" s="546">
        <v>729.57333200000005</v>
      </c>
    </row>
    <row r="5402" spans="2:5" x14ac:dyDescent="0.25">
      <c r="B5402" s="545">
        <v>6606</v>
      </c>
      <c r="C5402" s="545" t="s">
        <v>4089</v>
      </c>
      <c r="D5402" s="669" t="s">
        <v>390</v>
      </c>
      <c r="E5402" s="546">
        <v>750.46666800000003</v>
      </c>
    </row>
    <row r="5403" spans="2:5" x14ac:dyDescent="0.25">
      <c r="B5403" s="545">
        <v>6607</v>
      </c>
      <c r="C5403" s="545" t="s">
        <v>3715</v>
      </c>
      <c r="D5403" s="669" t="s">
        <v>390</v>
      </c>
      <c r="E5403" s="546">
        <v>728.11538900000005</v>
      </c>
    </row>
    <row r="5404" spans="2:5" x14ac:dyDescent="0.25">
      <c r="B5404" s="545">
        <v>6608</v>
      </c>
      <c r="C5404" s="545" t="s">
        <v>3977</v>
      </c>
      <c r="D5404" s="669" t="s">
        <v>390</v>
      </c>
      <c r="E5404" s="546">
        <v>743.75</v>
      </c>
    </row>
    <row r="5405" spans="2:5" x14ac:dyDescent="0.25">
      <c r="B5405" s="545">
        <v>6609</v>
      </c>
      <c r="C5405" s="545" t="s">
        <v>3928</v>
      </c>
      <c r="D5405" s="669" t="s">
        <v>390</v>
      </c>
      <c r="E5405" s="546">
        <v>740.37999300000001</v>
      </c>
    </row>
    <row r="5406" spans="2:5" x14ac:dyDescent="0.25">
      <c r="B5406" s="545">
        <v>6610</v>
      </c>
      <c r="C5406" s="545" t="s">
        <v>6949</v>
      </c>
      <c r="D5406" s="669" t="s">
        <v>390</v>
      </c>
      <c r="E5406" s="546">
        <v>684.14001499999995</v>
      </c>
    </row>
    <row r="5407" spans="2:5" x14ac:dyDescent="0.25">
      <c r="B5407" s="545">
        <v>6611</v>
      </c>
      <c r="C5407" s="545" t="s">
        <v>1266</v>
      </c>
      <c r="D5407" s="669" t="s">
        <v>390</v>
      </c>
      <c r="E5407" s="546">
        <v>717.67142999999999</v>
      </c>
    </row>
    <row r="5408" spans="2:5" x14ac:dyDescent="0.25">
      <c r="B5408" s="545">
        <v>6612</v>
      </c>
      <c r="C5408" s="545" t="s">
        <v>2356</v>
      </c>
      <c r="D5408" s="669" t="s">
        <v>390</v>
      </c>
      <c r="E5408" s="546">
        <v>660.15833499999997</v>
      </c>
    </row>
    <row r="5409" spans="2:5" x14ac:dyDescent="0.25">
      <c r="B5409" s="545">
        <v>6613</v>
      </c>
      <c r="C5409" s="545" t="s">
        <v>3806</v>
      </c>
      <c r="D5409" s="669" t="s">
        <v>390</v>
      </c>
      <c r="E5409" s="546">
        <v>733.228568</v>
      </c>
    </row>
    <row r="5410" spans="2:5" x14ac:dyDescent="0.25">
      <c r="B5410" s="545">
        <v>6614</v>
      </c>
      <c r="C5410" s="545" t="s">
        <v>3700</v>
      </c>
      <c r="D5410" s="669" t="s">
        <v>390</v>
      </c>
      <c r="E5410" s="546">
        <v>727.13749700000005</v>
      </c>
    </row>
    <row r="5411" spans="2:5" x14ac:dyDescent="0.25">
      <c r="B5411" s="545">
        <v>6615</v>
      </c>
      <c r="C5411" s="545" t="s">
        <v>2920</v>
      </c>
      <c r="D5411" s="669" t="s">
        <v>390</v>
      </c>
      <c r="E5411" s="546">
        <v>713.54544899999996</v>
      </c>
    </row>
    <row r="5412" spans="2:5" x14ac:dyDescent="0.25">
      <c r="B5412" s="545">
        <v>6616</v>
      </c>
      <c r="C5412" s="545" t="s">
        <v>7223</v>
      </c>
      <c r="D5412" s="669" t="s">
        <v>390</v>
      </c>
      <c r="E5412" s="546">
        <v>694.88000099999999</v>
      </c>
    </row>
    <row r="5413" spans="2:5" x14ac:dyDescent="0.25">
      <c r="B5413" s="545">
        <v>6617</v>
      </c>
      <c r="C5413" s="545" t="s">
        <v>390</v>
      </c>
      <c r="D5413" s="669" t="s">
        <v>390</v>
      </c>
      <c r="E5413" s="546">
        <v>708.48461899999995</v>
      </c>
    </row>
    <row r="5414" spans="2:5" x14ac:dyDescent="0.25">
      <c r="B5414" s="545">
        <v>6618</v>
      </c>
      <c r="C5414" s="545" t="s">
        <v>4638</v>
      </c>
      <c r="D5414" s="669" t="s">
        <v>390</v>
      </c>
      <c r="E5414" s="546">
        <v>791.44999700000005</v>
      </c>
    </row>
    <row r="5415" spans="2:5" x14ac:dyDescent="0.25">
      <c r="B5415" s="545">
        <v>6619</v>
      </c>
      <c r="C5415" s="545" t="s">
        <v>4589</v>
      </c>
      <c r="D5415" s="669" t="s">
        <v>390</v>
      </c>
      <c r="E5415" s="546">
        <v>786.89998400000002</v>
      </c>
    </row>
    <row r="5416" spans="2:5" x14ac:dyDescent="0.25">
      <c r="B5416" s="545">
        <v>6620</v>
      </c>
      <c r="C5416" s="545" t="s">
        <v>7439</v>
      </c>
      <c r="D5416" s="669" t="s">
        <v>390</v>
      </c>
      <c r="E5416" s="546">
        <v>762.600009</v>
      </c>
    </row>
    <row r="5417" spans="2:5" x14ac:dyDescent="0.25">
      <c r="B5417" s="545">
        <v>6621</v>
      </c>
      <c r="C5417" s="545" t="s">
        <v>4162</v>
      </c>
      <c r="D5417" s="669" t="s">
        <v>390</v>
      </c>
      <c r="E5417" s="546">
        <v>754.899991</v>
      </c>
    </row>
    <row r="5418" spans="2:5" x14ac:dyDescent="0.25">
      <c r="B5418" s="545">
        <v>6622</v>
      </c>
      <c r="C5418" s="545" t="s">
        <v>4454</v>
      </c>
      <c r="D5418" s="669" t="s">
        <v>390</v>
      </c>
      <c r="E5418" s="546">
        <v>777.16666699999996</v>
      </c>
    </row>
    <row r="5419" spans="2:5" x14ac:dyDescent="0.25">
      <c r="B5419" s="545">
        <v>6623</v>
      </c>
      <c r="C5419" s="545" t="s">
        <v>4844</v>
      </c>
      <c r="D5419" s="669" t="s">
        <v>390</v>
      </c>
      <c r="E5419" s="546">
        <v>806.83749399999999</v>
      </c>
    </row>
    <row r="5420" spans="2:5" x14ac:dyDescent="0.25">
      <c r="B5420" s="545">
        <v>6624</v>
      </c>
      <c r="C5420" s="545" t="s">
        <v>4715</v>
      </c>
      <c r="D5420" s="669" t="s">
        <v>390</v>
      </c>
      <c r="E5420" s="546">
        <v>797.42666799999995</v>
      </c>
    </row>
    <row r="5421" spans="2:5" x14ac:dyDescent="0.25">
      <c r="B5421" s="545">
        <v>6625</v>
      </c>
      <c r="C5421" s="545" t="s">
        <v>4604</v>
      </c>
      <c r="D5421" s="669" t="s">
        <v>390</v>
      </c>
      <c r="E5421" s="546">
        <v>788.14736800000003</v>
      </c>
    </row>
    <row r="5422" spans="2:5" x14ac:dyDescent="0.25">
      <c r="B5422" s="545">
        <v>6626</v>
      </c>
      <c r="C5422" s="545" t="s">
        <v>6634</v>
      </c>
      <c r="D5422" s="669" t="s">
        <v>390</v>
      </c>
      <c r="E5422" s="546">
        <v>756.39999799999998</v>
      </c>
    </row>
    <row r="5423" spans="2:5" x14ac:dyDescent="0.25">
      <c r="B5423" s="545">
        <v>6627</v>
      </c>
      <c r="C5423" s="545" t="s">
        <v>4222</v>
      </c>
      <c r="D5423" s="669" t="s">
        <v>390</v>
      </c>
      <c r="E5423" s="546">
        <v>759.27499599999999</v>
      </c>
    </row>
    <row r="5424" spans="2:5" x14ac:dyDescent="0.25">
      <c r="B5424" s="545">
        <v>6628</v>
      </c>
      <c r="C5424" s="545" t="s">
        <v>4333</v>
      </c>
      <c r="D5424" s="669" t="s">
        <v>390</v>
      </c>
      <c r="E5424" s="546">
        <v>767.16999499999997</v>
      </c>
    </row>
    <row r="5425" spans="2:5" x14ac:dyDescent="0.25">
      <c r="B5425" s="545">
        <v>6629</v>
      </c>
      <c r="C5425" s="545" t="s">
        <v>4193</v>
      </c>
      <c r="D5425" s="669" t="s">
        <v>390</v>
      </c>
      <c r="E5425" s="546">
        <v>756.97500600000001</v>
      </c>
    </row>
    <row r="5426" spans="2:5" x14ac:dyDescent="0.25">
      <c r="B5426" s="545">
        <v>6630</v>
      </c>
      <c r="C5426" s="545" t="s">
        <v>4442</v>
      </c>
      <c r="D5426" s="669" t="s">
        <v>390</v>
      </c>
      <c r="E5426" s="546">
        <v>776.31817599999999</v>
      </c>
    </row>
    <row r="5427" spans="2:5" x14ac:dyDescent="0.25">
      <c r="B5427" s="545">
        <v>6631</v>
      </c>
      <c r="C5427" s="545" t="s">
        <v>4583</v>
      </c>
      <c r="D5427" s="669" t="s">
        <v>390</v>
      </c>
      <c r="E5427" s="546">
        <v>786.67500299999995</v>
      </c>
    </row>
    <row r="5428" spans="2:5" x14ac:dyDescent="0.25">
      <c r="B5428" s="545">
        <v>6632</v>
      </c>
      <c r="C5428" s="545" t="s">
        <v>2572</v>
      </c>
      <c r="D5428" s="669" t="s">
        <v>390</v>
      </c>
      <c r="E5428" s="546">
        <v>807.71176000000003</v>
      </c>
    </row>
    <row r="5429" spans="2:5" x14ac:dyDescent="0.25">
      <c r="B5429" s="545">
        <v>6633</v>
      </c>
      <c r="C5429" s="545" t="s">
        <v>4748</v>
      </c>
      <c r="D5429" s="669" t="s">
        <v>390</v>
      </c>
      <c r="E5429" s="546">
        <v>799.740002</v>
      </c>
    </row>
    <row r="5430" spans="2:5" x14ac:dyDescent="0.25">
      <c r="B5430" s="545">
        <v>6634</v>
      </c>
      <c r="C5430" s="545" t="s">
        <v>5030</v>
      </c>
      <c r="D5430" s="669" t="s">
        <v>390</v>
      </c>
      <c r="E5430" s="546">
        <v>826</v>
      </c>
    </row>
    <row r="5431" spans="2:5" x14ac:dyDescent="0.25">
      <c r="B5431" s="545">
        <v>6635</v>
      </c>
      <c r="C5431" s="545" t="s">
        <v>2645</v>
      </c>
      <c r="D5431" s="669" t="s">
        <v>390</v>
      </c>
      <c r="E5431" s="546">
        <v>673.64000199999998</v>
      </c>
    </row>
    <row r="5432" spans="2:5" x14ac:dyDescent="0.25">
      <c r="B5432" s="545">
        <v>6636</v>
      </c>
      <c r="C5432" s="545" t="s">
        <v>2638</v>
      </c>
      <c r="D5432" s="669" t="s">
        <v>390</v>
      </c>
      <c r="E5432" s="546">
        <v>673.40002400000003</v>
      </c>
    </row>
    <row r="5433" spans="2:5" x14ac:dyDescent="0.25">
      <c r="B5433" s="545">
        <v>6637</v>
      </c>
      <c r="C5433" s="545" t="s">
        <v>2851</v>
      </c>
      <c r="D5433" s="669" t="s">
        <v>390</v>
      </c>
      <c r="E5433" s="546">
        <v>683.97999300000004</v>
      </c>
    </row>
    <row r="5434" spans="2:5" x14ac:dyDescent="0.25">
      <c r="B5434" s="545">
        <v>6638</v>
      </c>
      <c r="C5434" s="545" t="s">
        <v>4146</v>
      </c>
      <c r="D5434" s="669" t="s">
        <v>390</v>
      </c>
      <c r="E5434" s="546">
        <v>753.71428600000002</v>
      </c>
    </row>
    <row r="5435" spans="2:5" x14ac:dyDescent="0.25">
      <c r="B5435" s="545">
        <v>6639</v>
      </c>
      <c r="C5435" s="545" t="s">
        <v>3958</v>
      </c>
      <c r="D5435" s="669" t="s">
        <v>390</v>
      </c>
      <c r="E5435" s="546">
        <v>742.35000600000001</v>
      </c>
    </row>
    <row r="5436" spans="2:5" x14ac:dyDescent="0.25">
      <c r="B5436" s="545">
        <v>6640</v>
      </c>
      <c r="C5436" s="545" t="s">
        <v>4187</v>
      </c>
      <c r="D5436" s="669" t="s">
        <v>390</v>
      </c>
      <c r="E5436" s="546">
        <v>756.44166600000005</v>
      </c>
    </row>
    <row r="5437" spans="2:5" x14ac:dyDescent="0.25">
      <c r="B5437" s="545">
        <v>6641</v>
      </c>
      <c r="C5437" s="545" t="s">
        <v>4789</v>
      </c>
      <c r="D5437" s="669" t="s">
        <v>390</v>
      </c>
      <c r="E5437" s="546">
        <v>802.64615600000002</v>
      </c>
    </row>
    <row r="5438" spans="2:5" x14ac:dyDescent="0.25">
      <c r="B5438" s="545">
        <v>6642</v>
      </c>
      <c r="C5438" s="545" t="s">
        <v>2328</v>
      </c>
      <c r="D5438" s="669" t="s">
        <v>390</v>
      </c>
      <c r="E5438" s="546">
        <v>781.28183300000001</v>
      </c>
    </row>
    <row r="5439" spans="2:5" x14ac:dyDescent="0.25">
      <c r="B5439" s="545">
        <v>6643</v>
      </c>
      <c r="C5439" s="545" t="s">
        <v>3445</v>
      </c>
      <c r="D5439" s="669" t="s">
        <v>390</v>
      </c>
      <c r="E5439" s="546">
        <v>777.80909299999996</v>
      </c>
    </row>
    <row r="5440" spans="2:5" x14ac:dyDescent="0.25">
      <c r="B5440" s="545">
        <v>6644</v>
      </c>
      <c r="C5440" s="545" t="s">
        <v>7224</v>
      </c>
      <c r="D5440" s="669" t="s">
        <v>390</v>
      </c>
      <c r="E5440" s="546">
        <v>783.35554999999999</v>
      </c>
    </row>
    <row r="5441" spans="2:5" x14ac:dyDescent="0.25">
      <c r="B5441" s="545">
        <v>6645</v>
      </c>
      <c r="C5441" s="545" t="s">
        <v>4588</v>
      </c>
      <c r="D5441" s="669" t="s">
        <v>390</v>
      </c>
      <c r="E5441" s="546">
        <v>786.88888899999995</v>
      </c>
    </row>
    <row r="5442" spans="2:5" x14ac:dyDescent="0.25">
      <c r="B5442" s="545">
        <v>6646</v>
      </c>
      <c r="C5442" s="545" t="s">
        <v>6829</v>
      </c>
      <c r="D5442" s="669" t="s">
        <v>390</v>
      </c>
      <c r="E5442" s="546">
        <v>798.13750500000003</v>
      </c>
    </row>
    <row r="5443" spans="2:5" x14ac:dyDescent="0.25">
      <c r="B5443" s="545">
        <v>6647</v>
      </c>
      <c r="C5443" s="545" t="s">
        <v>4864</v>
      </c>
      <c r="D5443" s="669" t="s">
        <v>390</v>
      </c>
      <c r="E5443" s="546">
        <v>808.56924200000003</v>
      </c>
    </row>
    <row r="5444" spans="2:5" x14ac:dyDescent="0.25">
      <c r="B5444" s="545">
        <v>6648</v>
      </c>
      <c r="C5444" s="545" t="s">
        <v>4791</v>
      </c>
      <c r="D5444" s="669" t="s">
        <v>390</v>
      </c>
      <c r="E5444" s="546">
        <v>802.83749399999999</v>
      </c>
    </row>
    <row r="5445" spans="2:5" x14ac:dyDescent="0.25">
      <c r="B5445" s="545">
        <v>6649</v>
      </c>
      <c r="C5445" s="545" t="s">
        <v>4684</v>
      </c>
      <c r="D5445" s="669" t="s">
        <v>390</v>
      </c>
      <c r="E5445" s="546">
        <v>794.59997599999997</v>
      </c>
    </row>
    <row r="5446" spans="2:5" x14ac:dyDescent="0.25">
      <c r="B5446" s="545">
        <v>6650</v>
      </c>
      <c r="C5446" s="545" t="s">
        <v>4576</v>
      </c>
      <c r="D5446" s="669" t="s">
        <v>390</v>
      </c>
      <c r="E5446" s="546">
        <v>786.31111699999997</v>
      </c>
    </row>
    <row r="5447" spans="2:5" x14ac:dyDescent="0.25">
      <c r="B5447" s="545">
        <v>6651</v>
      </c>
      <c r="C5447" s="545" t="s">
        <v>4637</v>
      </c>
      <c r="D5447" s="669" t="s">
        <v>390</v>
      </c>
      <c r="E5447" s="546">
        <v>791.389996</v>
      </c>
    </row>
    <row r="5448" spans="2:5" x14ac:dyDescent="0.25">
      <c r="B5448" s="545">
        <v>6652</v>
      </c>
      <c r="C5448" s="545" t="s">
        <v>4593</v>
      </c>
      <c r="D5448" s="669" t="s">
        <v>390</v>
      </c>
      <c r="E5448" s="546">
        <v>787.48461899999995</v>
      </c>
    </row>
    <row r="5449" spans="2:5" x14ac:dyDescent="0.25">
      <c r="B5449" s="545">
        <v>6653</v>
      </c>
      <c r="C5449" s="545" t="s">
        <v>4678</v>
      </c>
      <c r="D5449" s="669" t="s">
        <v>390</v>
      </c>
      <c r="E5449" s="546">
        <v>794.29999499999997</v>
      </c>
    </row>
    <row r="5450" spans="2:5" x14ac:dyDescent="0.25">
      <c r="B5450" s="545">
        <v>6654</v>
      </c>
      <c r="C5450" s="545" t="s">
        <v>4555</v>
      </c>
      <c r="D5450" s="669" t="s">
        <v>390</v>
      </c>
      <c r="E5450" s="546">
        <v>784.246667</v>
      </c>
    </row>
    <row r="5451" spans="2:5" x14ac:dyDescent="0.25">
      <c r="B5451" s="545">
        <v>6655</v>
      </c>
      <c r="C5451" s="545" t="s">
        <v>4463</v>
      </c>
      <c r="D5451" s="669" t="s">
        <v>390</v>
      </c>
      <c r="E5451" s="546">
        <v>777.58823900000004</v>
      </c>
    </row>
    <row r="5452" spans="2:5" x14ac:dyDescent="0.25">
      <c r="B5452" s="545">
        <v>6656</v>
      </c>
      <c r="C5452" s="545" t="s">
        <v>4293</v>
      </c>
      <c r="D5452" s="669" t="s">
        <v>390</v>
      </c>
      <c r="E5452" s="546">
        <v>764.06667100000004</v>
      </c>
    </row>
    <row r="5453" spans="2:5" x14ac:dyDescent="0.25">
      <c r="B5453" s="545">
        <v>6657</v>
      </c>
      <c r="C5453" s="545" t="s">
        <v>1433</v>
      </c>
      <c r="D5453" s="669" t="s">
        <v>390</v>
      </c>
      <c r="E5453" s="546">
        <v>788.79523600000005</v>
      </c>
    </row>
    <row r="5454" spans="2:5" x14ac:dyDescent="0.25">
      <c r="B5454" s="545">
        <v>6658</v>
      </c>
      <c r="C5454" s="545" t="s">
        <v>1283</v>
      </c>
      <c r="D5454" s="669" t="s">
        <v>390</v>
      </c>
      <c r="E5454" s="546">
        <v>781.99090000000001</v>
      </c>
    </row>
    <row r="5455" spans="2:5" x14ac:dyDescent="0.25">
      <c r="B5455" s="545">
        <v>6659</v>
      </c>
      <c r="C5455" s="545" t="s">
        <v>4391</v>
      </c>
      <c r="D5455" s="669" t="s">
        <v>390</v>
      </c>
      <c r="E5455" s="546">
        <v>771.41999499999997</v>
      </c>
    </row>
    <row r="5456" spans="2:5" x14ac:dyDescent="0.25">
      <c r="B5456" s="545">
        <v>6660</v>
      </c>
      <c r="C5456" s="545" t="s">
        <v>3993</v>
      </c>
      <c r="D5456" s="669" t="s">
        <v>390</v>
      </c>
      <c r="E5456" s="546">
        <v>744.43332899999996</v>
      </c>
    </row>
    <row r="5457" spans="2:5" x14ac:dyDescent="0.25">
      <c r="B5457" s="545">
        <v>6661</v>
      </c>
      <c r="C5457" s="545" t="s">
        <v>4471</v>
      </c>
      <c r="D5457" s="669" t="s">
        <v>390</v>
      </c>
      <c r="E5457" s="546">
        <v>778.14546299999995</v>
      </c>
    </row>
    <row r="5458" spans="2:5" x14ac:dyDescent="0.25">
      <c r="B5458" s="545">
        <v>6662</v>
      </c>
      <c r="C5458" s="545" t="s">
        <v>4275</v>
      </c>
      <c r="D5458" s="669" t="s">
        <v>390</v>
      </c>
      <c r="E5458" s="546">
        <v>763.26363900000001</v>
      </c>
    </row>
    <row r="5459" spans="2:5" x14ac:dyDescent="0.25">
      <c r="B5459" s="545">
        <v>6663</v>
      </c>
      <c r="C5459" s="545" t="s">
        <v>4387</v>
      </c>
      <c r="D5459" s="669" t="s">
        <v>390</v>
      </c>
      <c r="E5459" s="546">
        <v>777.99999300000002</v>
      </c>
    </row>
    <row r="5460" spans="2:5" x14ac:dyDescent="0.25">
      <c r="B5460" s="545">
        <v>6664</v>
      </c>
      <c r="C5460" s="545" t="s">
        <v>4636</v>
      </c>
      <c r="D5460" s="669" t="s">
        <v>390</v>
      </c>
      <c r="E5460" s="546">
        <v>791.35555999999997</v>
      </c>
    </row>
    <row r="5461" spans="2:5" x14ac:dyDescent="0.25">
      <c r="B5461" s="545">
        <v>6665</v>
      </c>
      <c r="C5461" s="545" t="s">
        <v>1579</v>
      </c>
      <c r="D5461" s="669" t="s">
        <v>390</v>
      </c>
      <c r="E5461" s="546">
        <v>789.62499500000001</v>
      </c>
    </row>
    <row r="5462" spans="2:5" x14ac:dyDescent="0.25">
      <c r="B5462" s="545">
        <v>6666</v>
      </c>
      <c r="C5462" s="545" t="s">
        <v>4691</v>
      </c>
      <c r="D5462" s="669" t="s">
        <v>390</v>
      </c>
      <c r="E5462" s="546">
        <v>795.20001200000002</v>
      </c>
    </row>
    <row r="5463" spans="2:5" x14ac:dyDescent="0.25">
      <c r="B5463" s="545">
        <v>6667</v>
      </c>
      <c r="C5463" s="545" t="s">
        <v>7394</v>
      </c>
      <c r="D5463" s="669" t="s">
        <v>390</v>
      </c>
      <c r="E5463" s="546">
        <v>794.46250199999997</v>
      </c>
    </row>
    <row r="5464" spans="2:5" x14ac:dyDescent="0.25">
      <c r="B5464" s="545">
        <v>6668</v>
      </c>
      <c r="C5464" s="545" t="s">
        <v>4672</v>
      </c>
      <c r="D5464" s="669" t="s">
        <v>390</v>
      </c>
      <c r="E5464" s="546">
        <v>793.87500399999999</v>
      </c>
    </row>
    <row r="5465" spans="2:5" x14ac:dyDescent="0.25">
      <c r="B5465" s="545">
        <v>6669</v>
      </c>
      <c r="C5465" s="545" t="s">
        <v>4561</v>
      </c>
      <c r="D5465" s="669" t="s">
        <v>390</v>
      </c>
      <c r="E5465" s="546">
        <v>784.96666500000003</v>
      </c>
    </row>
    <row r="5466" spans="2:5" x14ac:dyDescent="0.25">
      <c r="B5466" s="545">
        <v>6670</v>
      </c>
      <c r="C5466" s="545" t="s">
        <v>6982</v>
      </c>
      <c r="D5466" s="669" t="s">
        <v>390</v>
      </c>
      <c r="E5466" s="546">
        <v>779.70001200000002</v>
      </c>
    </row>
    <row r="5467" spans="2:5" x14ac:dyDescent="0.25">
      <c r="B5467" s="545">
        <v>6671</v>
      </c>
      <c r="C5467" s="545" t="s">
        <v>4867</v>
      </c>
      <c r="D5467" s="669" t="s">
        <v>390</v>
      </c>
      <c r="E5467" s="546">
        <v>808.68889000000001</v>
      </c>
    </row>
    <row r="5468" spans="2:5" x14ac:dyDescent="0.25">
      <c r="B5468" s="545">
        <v>6672</v>
      </c>
      <c r="C5468" s="545" t="s">
        <v>4551</v>
      </c>
      <c r="D5468" s="669" t="s">
        <v>390</v>
      </c>
      <c r="E5468" s="546">
        <v>784.02777800000001</v>
      </c>
    </row>
    <row r="5469" spans="2:5" x14ac:dyDescent="0.25">
      <c r="B5469" s="545">
        <v>6673</v>
      </c>
      <c r="C5469" s="545" t="s">
        <v>4263</v>
      </c>
      <c r="D5469" s="669" t="s">
        <v>390</v>
      </c>
      <c r="E5469" s="546">
        <v>762.04444699999999</v>
      </c>
    </row>
    <row r="5470" spans="2:5" x14ac:dyDescent="0.25">
      <c r="B5470" s="545">
        <v>6674</v>
      </c>
      <c r="C5470" s="545" t="s">
        <v>4489</v>
      </c>
      <c r="D5470" s="669" t="s">
        <v>390</v>
      </c>
      <c r="E5470" s="546">
        <v>779.116669</v>
      </c>
    </row>
    <row r="5471" spans="2:5" x14ac:dyDescent="0.25">
      <c r="B5471" s="545">
        <v>6675</v>
      </c>
      <c r="C5471" s="545" t="s">
        <v>4475</v>
      </c>
      <c r="D5471" s="669" t="s">
        <v>390</v>
      </c>
      <c r="E5471" s="546">
        <v>778.46667500000001</v>
      </c>
    </row>
    <row r="5472" spans="2:5" x14ac:dyDescent="0.25">
      <c r="B5472" s="545">
        <v>6676</v>
      </c>
      <c r="C5472" s="545" t="s">
        <v>4621</v>
      </c>
      <c r="D5472" s="669" t="s">
        <v>390</v>
      </c>
      <c r="E5472" s="546">
        <v>789.77333599999997</v>
      </c>
    </row>
    <row r="5473" spans="2:5" x14ac:dyDescent="0.25">
      <c r="B5473" s="545">
        <v>6677</v>
      </c>
      <c r="C5473" s="545" t="s">
        <v>4254</v>
      </c>
      <c r="D5473" s="669" t="s">
        <v>390</v>
      </c>
      <c r="E5473" s="546">
        <v>761.19999700000005</v>
      </c>
    </row>
    <row r="5474" spans="2:5" x14ac:dyDescent="0.25">
      <c r="B5474" s="545">
        <v>6678</v>
      </c>
      <c r="C5474" s="545" t="s">
        <v>4352</v>
      </c>
      <c r="D5474" s="669" t="s">
        <v>390</v>
      </c>
      <c r="E5474" s="546">
        <v>768.29999499999997</v>
      </c>
    </row>
    <row r="5475" spans="2:5" x14ac:dyDescent="0.25">
      <c r="B5475" s="545">
        <v>6701</v>
      </c>
      <c r="C5475" s="545" t="s">
        <v>3670</v>
      </c>
      <c r="D5475" s="669" t="s">
        <v>460</v>
      </c>
      <c r="E5475" s="546">
        <v>725.480951</v>
      </c>
    </row>
    <row r="5476" spans="2:5" x14ac:dyDescent="0.25">
      <c r="B5476" s="545">
        <v>6702</v>
      </c>
      <c r="C5476" s="545" t="s">
        <v>4031</v>
      </c>
      <c r="D5476" s="669" t="s">
        <v>460</v>
      </c>
      <c r="E5476" s="546">
        <v>746.911112</v>
      </c>
    </row>
    <row r="5477" spans="2:5" x14ac:dyDescent="0.25">
      <c r="B5477" s="545">
        <v>6703</v>
      </c>
      <c r="C5477" s="545" t="s">
        <v>3717</v>
      </c>
      <c r="D5477" s="669" t="s">
        <v>460</v>
      </c>
      <c r="E5477" s="546">
        <v>728.16666699999996</v>
      </c>
    </row>
    <row r="5478" spans="2:5" x14ac:dyDescent="0.25">
      <c r="B5478" s="545">
        <v>6704</v>
      </c>
      <c r="C5478" s="545" t="s">
        <v>963</v>
      </c>
      <c r="D5478" s="669" t="s">
        <v>460</v>
      </c>
      <c r="E5478" s="546">
        <v>701.94286199999999</v>
      </c>
    </row>
    <row r="5479" spans="2:5" x14ac:dyDescent="0.25">
      <c r="B5479" s="545">
        <v>6705</v>
      </c>
      <c r="C5479" s="545" t="s">
        <v>3455</v>
      </c>
      <c r="D5479" s="669" t="s">
        <v>460</v>
      </c>
      <c r="E5479" s="546">
        <v>713.46665399999995</v>
      </c>
    </row>
    <row r="5480" spans="2:5" x14ac:dyDescent="0.25">
      <c r="B5480" s="545">
        <v>6706</v>
      </c>
      <c r="C5480" s="545" t="s">
        <v>2781</v>
      </c>
      <c r="D5480" s="669" t="s">
        <v>460</v>
      </c>
      <c r="E5480" s="546">
        <v>679.759998</v>
      </c>
    </row>
    <row r="5481" spans="2:5" x14ac:dyDescent="0.25">
      <c r="B5481" s="545">
        <v>6707</v>
      </c>
      <c r="C5481" s="545" t="s">
        <v>2803</v>
      </c>
      <c r="D5481" s="669" t="s">
        <v>460</v>
      </c>
      <c r="E5481" s="546">
        <v>681.21667100000002</v>
      </c>
    </row>
    <row r="5482" spans="2:5" x14ac:dyDescent="0.25">
      <c r="B5482" s="545">
        <v>6708</v>
      </c>
      <c r="C5482" s="545" t="s">
        <v>1680</v>
      </c>
      <c r="D5482" s="669" t="s">
        <v>460</v>
      </c>
      <c r="E5482" s="546">
        <v>631.15000899999995</v>
      </c>
    </row>
    <row r="5483" spans="2:5" x14ac:dyDescent="0.25">
      <c r="B5483" s="545">
        <v>6709</v>
      </c>
      <c r="C5483" s="545" t="s">
        <v>2671</v>
      </c>
      <c r="D5483" s="669" t="s">
        <v>460</v>
      </c>
      <c r="E5483" s="546">
        <v>674.59999100000005</v>
      </c>
    </row>
    <row r="5484" spans="2:5" x14ac:dyDescent="0.25">
      <c r="B5484" s="545">
        <v>6710</v>
      </c>
      <c r="C5484" s="545" t="s">
        <v>2426</v>
      </c>
      <c r="D5484" s="669" t="s">
        <v>460</v>
      </c>
      <c r="E5484" s="546">
        <v>663.54998799999998</v>
      </c>
    </row>
    <row r="5485" spans="2:5" x14ac:dyDescent="0.25">
      <c r="B5485" s="545">
        <v>6711</v>
      </c>
      <c r="C5485" s="545" t="s">
        <v>2696</v>
      </c>
      <c r="D5485" s="669" t="s">
        <v>460</v>
      </c>
      <c r="E5485" s="546">
        <v>675.68572099999994</v>
      </c>
    </row>
    <row r="5486" spans="2:5" x14ac:dyDescent="0.25">
      <c r="B5486" s="545">
        <v>6712</v>
      </c>
      <c r="C5486" s="545" t="s">
        <v>2510</v>
      </c>
      <c r="D5486" s="669" t="s">
        <v>460</v>
      </c>
      <c r="E5486" s="546">
        <v>666.24444600000004</v>
      </c>
    </row>
    <row r="5487" spans="2:5" x14ac:dyDescent="0.25">
      <c r="B5487" s="545">
        <v>6713</v>
      </c>
      <c r="C5487" s="545" t="s">
        <v>1435</v>
      </c>
      <c r="D5487" s="669" t="s">
        <v>460</v>
      </c>
      <c r="E5487" s="546">
        <v>699.18000500000005</v>
      </c>
    </row>
    <row r="5488" spans="2:5" x14ac:dyDescent="0.25">
      <c r="B5488" s="545">
        <v>6714</v>
      </c>
      <c r="C5488" s="545" t="s">
        <v>2764</v>
      </c>
      <c r="D5488" s="669" t="s">
        <v>460</v>
      </c>
      <c r="E5488" s="546">
        <v>678.95001200000002</v>
      </c>
    </row>
    <row r="5489" spans="2:5" x14ac:dyDescent="0.25">
      <c r="B5489" s="545">
        <v>6715</v>
      </c>
      <c r="C5489" s="545" t="s">
        <v>1896</v>
      </c>
      <c r="D5489" s="669" t="s">
        <v>460</v>
      </c>
      <c r="E5489" s="546">
        <v>639.66665599999999</v>
      </c>
    </row>
    <row r="5490" spans="2:5" x14ac:dyDescent="0.25">
      <c r="B5490" s="545">
        <v>6716</v>
      </c>
      <c r="C5490" s="545" t="s">
        <v>1997</v>
      </c>
      <c r="D5490" s="669" t="s">
        <v>460</v>
      </c>
      <c r="E5490" s="546">
        <v>643.21667000000002</v>
      </c>
    </row>
    <row r="5491" spans="2:5" x14ac:dyDescent="0.25">
      <c r="B5491" s="545">
        <v>6717</v>
      </c>
      <c r="C5491" s="545" t="s">
        <v>1446</v>
      </c>
      <c r="D5491" s="669" t="s">
        <v>460</v>
      </c>
      <c r="E5491" s="546">
        <v>617.44999199999995</v>
      </c>
    </row>
    <row r="5492" spans="2:5" x14ac:dyDescent="0.25">
      <c r="B5492" s="545">
        <v>6718</v>
      </c>
      <c r="C5492" s="545" t="s">
        <v>1391</v>
      </c>
      <c r="D5492" s="669" t="s">
        <v>460</v>
      </c>
      <c r="E5492" s="546">
        <v>622.95999800000004</v>
      </c>
    </row>
    <row r="5493" spans="2:5" x14ac:dyDescent="0.25">
      <c r="B5493" s="545">
        <v>6719</v>
      </c>
      <c r="C5493" s="545" t="s">
        <v>2039</v>
      </c>
      <c r="D5493" s="669" t="s">
        <v>460</v>
      </c>
      <c r="E5493" s="546">
        <v>644.70832800000005</v>
      </c>
    </row>
    <row r="5494" spans="2:5" x14ac:dyDescent="0.25">
      <c r="B5494" s="545">
        <v>6720</v>
      </c>
      <c r="C5494" s="545" t="s">
        <v>2579</v>
      </c>
      <c r="D5494" s="669" t="s">
        <v>460</v>
      </c>
      <c r="E5494" s="546">
        <v>669.58000500000003</v>
      </c>
    </row>
    <row r="5495" spans="2:5" x14ac:dyDescent="0.25">
      <c r="B5495" s="545">
        <v>6721</v>
      </c>
      <c r="C5495" s="545" t="s">
        <v>1951</v>
      </c>
      <c r="D5495" s="669" t="s">
        <v>460</v>
      </c>
      <c r="E5495" s="546">
        <v>641.77692100000002</v>
      </c>
    </row>
    <row r="5496" spans="2:5" x14ac:dyDescent="0.25">
      <c r="B5496" s="545">
        <v>6722</v>
      </c>
      <c r="C5496" s="545" t="s">
        <v>1259</v>
      </c>
      <c r="D5496" s="669" t="s">
        <v>460</v>
      </c>
      <c r="E5496" s="546">
        <v>607.14284799999996</v>
      </c>
    </row>
    <row r="5497" spans="2:5" x14ac:dyDescent="0.25">
      <c r="B5497" s="545">
        <v>6723</v>
      </c>
      <c r="C5497" s="545" t="s">
        <v>7464</v>
      </c>
      <c r="D5497" s="669" t="s">
        <v>460</v>
      </c>
      <c r="E5497" s="546">
        <v>603.91428900000005</v>
      </c>
    </row>
    <row r="5498" spans="2:5" x14ac:dyDescent="0.25">
      <c r="B5498" s="545">
        <v>6724</v>
      </c>
      <c r="C5498" s="545" t="s">
        <v>986</v>
      </c>
      <c r="D5498" s="669" t="s">
        <v>460</v>
      </c>
      <c r="E5498" s="546">
        <v>609.37500799999998</v>
      </c>
    </row>
    <row r="5499" spans="2:5" x14ac:dyDescent="0.25">
      <c r="B5499" s="545">
        <v>6725</v>
      </c>
      <c r="C5499" s="545" t="s">
        <v>3151</v>
      </c>
      <c r="D5499" s="669" t="s">
        <v>460</v>
      </c>
      <c r="E5499" s="546">
        <v>698.93332899999996</v>
      </c>
    </row>
    <row r="5500" spans="2:5" x14ac:dyDescent="0.25">
      <c r="B5500" s="545">
        <v>6726</v>
      </c>
      <c r="C5500" s="545" t="s">
        <v>2618</v>
      </c>
      <c r="D5500" s="669" t="s">
        <v>460</v>
      </c>
      <c r="E5500" s="546">
        <v>672.05556200000001</v>
      </c>
    </row>
    <row r="5501" spans="2:5" x14ac:dyDescent="0.25">
      <c r="B5501" s="545">
        <v>6727</v>
      </c>
      <c r="C5501" s="545" t="s">
        <v>2386</v>
      </c>
      <c r="D5501" s="669" t="s">
        <v>460</v>
      </c>
      <c r="E5501" s="546">
        <v>661.41427999999996</v>
      </c>
    </row>
    <row r="5502" spans="2:5" x14ac:dyDescent="0.25">
      <c r="B5502" s="545">
        <v>6728</v>
      </c>
      <c r="C5502" s="545" t="s">
        <v>1881</v>
      </c>
      <c r="D5502" s="669" t="s">
        <v>460</v>
      </c>
      <c r="E5502" s="546">
        <v>639.28571399999998</v>
      </c>
    </row>
    <row r="5503" spans="2:5" x14ac:dyDescent="0.25">
      <c r="B5503" s="545">
        <v>6729</v>
      </c>
      <c r="C5503" s="545" t="s">
        <v>2197</v>
      </c>
      <c r="D5503" s="669" t="s">
        <v>460</v>
      </c>
      <c r="E5503" s="546">
        <v>652.73332700000003</v>
      </c>
    </row>
    <row r="5504" spans="2:5" x14ac:dyDescent="0.25">
      <c r="B5504" s="545">
        <v>6730</v>
      </c>
      <c r="C5504" s="545" t="s">
        <v>1703</v>
      </c>
      <c r="D5504" s="669" t="s">
        <v>460</v>
      </c>
      <c r="E5504" s="546">
        <v>632.41999499999997</v>
      </c>
    </row>
    <row r="5505" spans="2:5" x14ac:dyDescent="0.25">
      <c r="B5505" s="545">
        <v>6731</v>
      </c>
      <c r="C5505" s="545" t="s">
        <v>1604</v>
      </c>
      <c r="D5505" s="669" t="s">
        <v>460</v>
      </c>
      <c r="E5505" s="546">
        <v>626.67500299999995</v>
      </c>
    </row>
    <row r="5506" spans="2:5" x14ac:dyDescent="0.25">
      <c r="B5506" s="545">
        <v>6732</v>
      </c>
      <c r="C5506" s="545" t="s">
        <v>1469</v>
      </c>
      <c r="D5506" s="669" t="s">
        <v>460</v>
      </c>
      <c r="E5506" s="546">
        <v>618.74284999999998</v>
      </c>
    </row>
    <row r="5507" spans="2:5" x14ac:dyDescent="0.25">
      <c r="B5507" s="545">
        <v>6733</v>
      </c>
      <c r="C5507" s="545" t="s">
        <v>6689</v>
      </c>
      <c r="D5507" s="669" t="s">
        <v>460</v>
      </c>
      <c r="E5507" s="546">
        <v>615.26667299999997</v>
      </c>
    </row>
    <row r="5508" spans="2:5" x14ac:dyDescent="0.25">
      <c r="B5508" s="545">
        <v>6734</v>
      </c>
      <c r="C5508" s="545" t="s">
        <v>7309</v>
      </c>
      <c r="D5508" s="669" t="s">
        <v>460</v>
      </c>
      <c r="E5508" s="546">
        <v>608.88000499999998</v>
      </c>
    </row>
    <row r="5509" spans="2:5" x14ac:dyDescent="0.25">
      <c r="B5509" s="545">
        <v>6735</v>
      </c>
      <c r="C5509" s="545" t="s">
        <v>7140</v>
      </c>
      <c r="D5509" s="669" t="s">
        <v>460</v>
      </c>
      <c r="E5509" s="546">
        <v>609.97999900000002</v>
      </c>
    </row>
    <row r="5510" spans="2:5" x14ac:dyDescent="0.25">
      <c r="B5510" s="545">
        <v>6736</v>
      </c>
      <c r="C5510" s="545" t="s">
        <v>1366</v>
      </c>
      <c r="D5510" s="669" t="s">
        <v>460</v>
      </c>
      <c r="E5510" s="546">
        <v>613.62000699999999</v>
      </c>
    </row>
    <row r="5511" spans="2:5" x14ac:dyDescent="0.25">
      <c r="B5511" s="545">
        <v>6737</v>
      </c>
      <c r="C5511" s="545" t="s">
        <v>6539</v>
      </c>
      <c r="D5511" s="669" t="s">
        <v>460</v>
      </c>
      <c r="E5511" s="546">
        <v>608.16923199999997</v>
      </c>
    </row>
    <row r="5512" spans="2:5" x14ac:dyDescent="0.25">
      <c r="B5512" s="545">
        <v>6738</v>
      </c>
      <c r="C5512" s="545" t="s">
        <v>7234</v>
      </c>
      <c r="D5512" s="669" t="s">
        <v>460</v>
      </c>
      <c r="E5512" s="546">
        <v>624.17999299999997</v>
      </c>
    </row>
    <row r="5513" spans="2:5" x14ac:dyDescent="0.25">
      <c r="B5513" s="545">
        <v>6739</v>
      </c>
      <c r="C5513" s="545" t="s">
        <v>1564</v>
      </c>
      <c r="D5513" s="669" t="s">
        <v>460</v>
      </c>
      <c r="E5513" s="546">
        <v>624.39998400000002</v>
      </c>
    </row>
    <row r="5514" spans="2:5" x14ac:dyDescent="0.25">
      <c r="B5514" s="545">
        <v>6740</v>
      </c>
      <c r="C5514" s="545" t="s">
        <v>2161</v>
      </c>
      <c r="D5514" s="669" t="s">
        <v>460</v>
      </c>
      <c r="E5514" s="546">
        <v>651.32499700000005</v>
      </c>
    </row>
    <row r="5515" spans="2:5" x14ac:dyDescent="0.25">
      <c r="B5515" s="545">
        <v>6741</v>
      </c>
      <c r="C5515" s="545" t="s">
        <v>1959</v>
      </c>
      <c r="D5515" s="669" t="s">
        <v>460</v>
      </c>
      <c r="E5515" s="546">
        <v>642.04998799999998</v>
      </c>
    </row>
    <row r="5516" spans="2:5" x14ac:dyDescent="0.25">
      <c r="B5516" s="545">
        <v>6742</v>
      </c>
      <c r="C5516" s="545" t="s">
        <v>1529</v>
      </c>
      <c r="D5516" s="669" t="s">
        <v>460</v>
      </c>
      <c r="E5516" s="546">
        <v>621.94286199999999</v>
      </c>
    </row>
    <row r="5517" spans="2:5" x14ac:dyDescent="0.25">
      <c r="B5517" s="545">
        <v>6743</v>
      </c>
      <c r="C5517" s="545" t="s">
        <v>7427</v>
      </c>
      <c r="D5517" s="669" t="s">
        <v>460</v>
      </c>
      <c r="E5517" s="546">
        <v>648.259998</v>
      </c>
    </row>
    <row r="5518" spans="2:5" x14ac:dyDescent="0.25">
      <c r="B5518" s="545">
        <v>6744</v>
      </c>
      <c r="C5518" s="545" t="s">
        <v>1081</v>
      </c>
      <c r="D5518" s="669" t="s">
        <v>460</v>
      </c>
      <c r="E5518" s="546">
        <v>596.20000200000004</v>
      </c>
    </row>
    <row r="5519" spans="2:5" x14ac:dyDescent="0.25">
      <c r="B5519" s="545">
        <v>6745</v>
      </c>
      <c r="C5519" s="545" t="s">
        <v>1163</v>
      </c>
      <c r="D5519" s="669" t="s">
        <v>460</v>
      </c>
      <c r="E5519" s="546">
        <v>601.89999699999998</v>
      </c>
    </row>
    <row r="5520" spans="2:5" x14ac:dyDescent="0.25">
      <c r="B5520" s="545">
        <v>6746</v>
      </c>
      <c r="C5520" s="545" t="s">
        <v>1253</v>
      </c>
      <c r="D5520" s="669" t="s">
        <v>460</v>
      </c>
      <c r="E5520" s="546">
        <v>606.66666699999996</v>
      </c>
    </row>
    <row r="5521" spans="2:5" x14ac:dyDescent="0.25">
      <c r="B5521" s="545">
        <v>6747</v>
      </c>
      <c r="C5521" s="545" t="s">
        <v>1297</v>
      </c>
      <c r="D5521" s="669" t="s">
        <v>460</v>
      </c>
      <c r="E5521" s="546">
        <v>609.44667600000002</v>
      </c>
    </row>
    <row r="5522" spans="2:5" x14ac:dyDescent="0.25">
      <c r="B5522" s="545">
        <v>6748</v>
      </c>
      <c r="C5522" s="545" t="s">
        <v>1499</v>
      </c>
      <c r="D5522" s="669" t="s">
        <v>460</v>
      </c>
      <c r="E5522" s="546">
        <v>620.15001700000005</v>
      </c>
    </row>
    <row r="5523" spans="2:5" x14ac:dyDescent="0.25">
      <c r="B5523" s="545">
        <v>6749</v>
      </c>
      <c r="C5523" s="545" t="s">
        <v>1205</v>
      </c>
      <c r="D5523" s="669" t="s">
        <v>460</v>
      </c>
      <c r="E5523" s="546">
        <v>604.03998999999999</v>
      </c>
    </row>
    <row r="5524" spans="2:5" x14ac:dyDescent="0.25">
      <c r="B5524" s="545">
        <v>6750</v>
      </c>
      <c r="C5524" s="545" t="s">
        <v>7610</v>
      </c>
      <c r="D5524" s="669" t="s">
        <v>460</v>
      </c>
      <c r="E5524" s="546">
        <v>602.84999100000005</v>
      </c>
    </row>
    <row r="5525" spans="2:5" x14ac:dyDescent="0.25">
      <c r="B5525" s="545">
        <v>6751</v>
      </c>
      <c r="C5525" s="545" t="s">
        <v>6608</v>
      </c>
      <c r="D5525" s="669" t="s">
        <v>460</v>
      </c>
      <c r="E5525" s="546">
        <v>592.79999999999995</v>
      </c>
    </row>
    <row r="5526" spans="2:5" x14ac:dyDescent="0.25">
      <c r="B5526" s="545">
        <v>6752</v>
      </c>
      <c r="C5526" s="545" t="s">
        <v>1457</v>
      </c>
      <c r="D5526" s="669" t="s">
        <v>460</v>
      </c>
      <c r="E5526" s="546">
        <v>618.17500299999995</v>
      </c>
    </row>
    <row r="5527" spans="2:5" x14ac:dyDescent="0.25">
      <c r="B5527" s="545">
        <v>6753</v>
      </c>
      <c r="C5527" s="545" t="s">
        <v>3275</v>
      </c>
      <c r="D5527" s="669" t="s">
        <v>460</v>
      </c>
      <c r="E5527" s="546">
        <v>704.33750899999995</v>
      </c>
    </row>
    <row r="5528" spans="2:5" x14ac:dyDescent="0.25">
      <c r="B5528" s="545">
        <v>6754</v>
      </c>
      <c r="C5528" s="545" t="s">
        <v>7039</v>
      </c>
      <c r="D5528" s="669" t="s">
        <v>460</v>
      </c>
      <c r="E5528" s="546">
        <v>658.23332700000003</v>
      </c>
    </row>
    <row r="5529" spans="2:5" x14ac:dyDescent="0.25">
      <c r="B5529" s="545">
        <v>6755</v>
      </c>
      <c r="C5529" s="545" t="s">
        <v>3724</v>
      </c>
      <c r="D5529" s="669" t="s">
        <v>460</v>
      </c>
      <c r="E5529" s="546">
        <v>728.45001200000002</v>
      </c>
    </row>
    <row r="5530" spans="2:5" x14ac:dyDescent="0.25">
      <c r="B5530" s="545">
        <v>6756</v>
      </c>
      <c r="C5530" s="545" t="s">
        <v>1952</v>
      </c>
      <c r="D5530" s="669" t="s">
        <v>460</v>
      </c>
      <c r="E5530" s="546">
        <v>641.80001800000002</v>
      </c>
    </row>
    <row r="5531" spans="2:5" x14ac:dyDescent="0.25">
      <c r="B5531" s="545">
        <v>6757</v>
      </c>
      <c r="C5531" s="545" t="s">
        <v>1744</v>
      </c>
      <c r="D5531" s="669" t="s">
        <v>460</v>
      </c>
      <c r="E5531" s="546">
        <v>633.87778000000003</v>
      </c>
    </row>
    <row r="5532" spans="2:5" x14ac:dyDescent="0.25">
      <c r="B5532" s="545">
        <v>6758</v>
      </c>
      <c r="C5532" s="545" t="s">
        <v>6506</v>
      </c>
      <c r="D5532" s="669" t="s">
        <v>460</v>
      </c>
      <c r="E5532" s="546">
        <v>639.22000700000001</v>
      </c>
    </row>
    <row r="5533" spans="2:5" x14ac:dyDescent="0.25">
      <c r="B5533" s="545">
        <v>6759</v>
      </c>
      <c r="C5533" s="545" t="s">
        <v>2095</v>
      </c>
      <c r="D5533" s="669" t="s">
        <v>460</v>
      </c>
      <c r="E5533" s="546">
        <v>648.01110200000005</v>
      </c>
    </row>
    <row r="5534" spans="2:5" x14ac:dyDescent="0.25">
      <c r="B5534" s="545">
        <v>6760</v>
      </c>
      <c r="C5534" s="545" t="s">
        <v>2051</v>
      </c>
      <c r="D5534" s="669" t="s">
        <v>460</v>
      </c>
      <c r="E5534" s="546">
        <v>645.51250500000003</v>
      </c>
    </row>
    <row r="5535" spans="2:5" x14ac:dyDescent="0.25">
      <c r="B5535" s="545">
        <v>6761</v>
      </c>
      <c r="C5535" s="545" t="s">
        <v>3213</v>
      </c>
      <c r="D5535" s="669" t="s">
        <v>460</v>
      </c>
      <c r="E5535" s="546">
        <v>701.771432</v>
      </c>
    </row>
    <row r="5536" spans="2:5" x14ac:dyDescent="0.25">
      <c r="B5536" s="545">
        <v>6762</v>
      </c>
      <c r="C5536" s="545" t="s">
        <v>2363</v>
      </c>
      <c r="D5536" s="669" t="s">
        <v>460</v>
      </c>
      <c r="E5536" s="546">
        <v>660.35554999999999</v>
      </c>
    </row>
    <row r="5537" spans="2:5" x14ac:dyDescent="0.25">
      <c r="B5537" s="545">
        <v>6763</v>
      </c>
      <c r="C5537" s="545" t="s">
        <v>3560</v>
      </c>
      <c r="D5537" s="669" t="s">
        <v>460</v>
      </c>
      <c r="E5537" s="546">
        <v>719.16153699999995</v>
      </c>
    </row>
    <row r="5538" spans="2:5" x14ac:dyDescent="0.25">
      <c r="B5538" s="545">
        <v>6764</v>
      </c>
      <c r="C5538" s="545" t="s">
        <v>2447</v>
      </c>
      <c r="D5538" s="669" t="s">
        <v>460</v>
      </c>
      <c r="E5538" s="546">
        <v>691.5</v>
      </c>
    </row>
    <row r="5539" spans="2:5" x14ac:dyDescent="0.25">
      <c r="B5539" s="545">
        <v>6765</v>
      </c>
      <c r="C5539" s="545" t="s">
        <v>3131</v>
      </c>
      <c r="D5539" s="669" t="s">
        <v>460</v>
      </c>
      <c r="E5539" s="546">
        <v>697.64444300000002</v>
      </c>
    </row>
    <row r="5540" spans="2:5" x14ac:dyDescent="0.25">
      <c r="B5540" s="545">
        <v>6766</v>
      </c>
      <c r="C5540" s="545" t="s">
        <v>2951</v>
      </c>
      <c r="D5540" s="669" t="s">
        <v>460</v>
      </c>
      <c r="E5540" s="546">
        <v>687.84999800000003</v>
      </c>
    </row>
    <row r="5541" spans="2:5" x14ac:dyDescent="0.25">
      <c r="B5541" s="545">
        <v>6767</v>
      </c>
      <c r="C5541" s="545" t="s">
        <v>2790</v>
      </c>
      <c r="D5541" s="669" t="s">
        <v>460</v>
      </c>
      <c r="E5541" s="546">
        <v>680.30001800000002</v>
      </c>
    </row>
    <row r="5542" spans="2:5" x14ac:dyDescent="0.25">
      <c r="B5542" s="545">
        <v>6768</v>
      </c>
      <c r="C5542" s="545" t="s">
        <v>7167</v>
      </c>
      <c r="D5542" s="669" t="s">
        <v>460</v>
      </c>
      <c r="E5542" s="546">
        <v>693.17273499999999</v>
      </c>
    </row>
    <row r="5543" spans="2:5" x14ac:dyDescent="0.25">
      <c r="B5543" s="545">
        <v>6769</v>
      </c>
      <c r="C5543" s="545" t="s">
        <v>2602</v>
      </c>
      <c r="D5543" s="669" t="s">
        <v>460</v>
      </c>
      <c r="E5543" s="546">
        <v>670.80000800000005</v>
      </c>
    </row>
    <row r="5544" spans="2:5" x14ac:dyDescent="0.25">
      <c r="B5544" s="545">
        <v>6770</v>
      </c>
      <c r="C5544" s="545" t="s">
        <v>3006</v>
      </c>
      <c r="D5544" s="669" t="s">
        <v>460</v>
      </c>
      <c r="E5544" s="546">
        <v>690.98001699999998</v>
      </c>
    </row>
    <row r="5545" spans="2:5" x14ac:dyDescent="0.25">
      <c r="B5545" s="545">
        <v>6771</v>
      </c>
      <c r="C5545" s="545" t="s">
        <v>2970</v>
      </c>
      <c r="D5545" s="669" t="s">
        <v>460</v>
      </c>
      <c r="E5545" s="546">
        <v>688.92000700000006</v>
      </c>
    </row>
    <row r="5546" spans="2:5" x14ac:dyDescent="0.25">
      <c r="B5546" s="545">
        <v>6772</v>
      </c>
      <c r="C5546" s="545" t="s">
        <v>2086</v>
      </c>
      <c r="D5546" s="669" t="s">
        <v>460</v>
      </c>
      <c r="E5546" s="546">
        <v>688.06666099999995</v>
      </c>
    </row>
    <row r="5547" spans="2:5" x14ac:dyDescent="0.25">
      <c r="B5547" s="545">
        <v>6773</v>
      </c>
      <c r="C5547" s="545" t="s">
        <v>1610</v>
      </c>
      <c r="D5547" s="669" t="s">
        <v>460</v>
      </c>
      <c r="E5547" s="546">
        <v>627.08749399999999</v>
      </c>
    </row>
    <row r="5548" spans="2:5" x14ac:dyDescent="0.25">
      <c r="B5548" s="545">
        <v>6774</v>
      </c>
      <c r="C5548" s="545" t="s">
        <v>2272</v>
      </c>
      <c r="D5548" s="669" t="s">
        <v>460</v>
      </c>
      <c r="E5548" s="546">
        <v>656.18695100000002</v>
      </c>
    </row>
    <row r="5549" spans="2:5" x14ac:dyDescent="0.25">
      <c r="B5549" s="545">
        <v>6775</v>
      </c>
      <c r="C5549" s="545" t="s">
        <v>2295</v>
      </c>
      <c r="D5549" s="669" t="s">
        <v>460</v>
      </c>
      <c r="E5549" s="546">
        <v>657.08889399999998</v>
      </c>
    </row>
    <row r="5550" spans="2:5" x14ac:dyDescent="0.25">
      <c r="B5550" s="545">
        <v>6776</v>
      </c>
      <c r="C5550" s="545" t="s">
        <v>1687</v>
      </c>
      <c r="D5550" s="669" t="s">
        <v>460</v>
      </c>
      <c r="E5550" s="546">
        <v>631.65454699999998</v>
      </c>
    </row>
    <row r="5551" spans="2:5" x14ac:dyDescent="0.25">
      <c r="B5551" s="545">
        <v>6801</v>
      </c>
      <c r="C5551" s="545" t="s">
        <v>2937</v>
      </c>
      <c r="D5551" s="669" t="s">
        <v>451</v>
      </c>
      <c r="E5551" s="546">
        <v>687.37999300000001</v>
      </c>
    </row>
    <row r="5552" spans="2:5" x14ac:dyDescent="0.25">
      <c r="B5552" s="545">
        <v>6802</v>
      </c>
      <c r="C5552" s="545" t="s">
        <v>2732</v>
      </c>
      <c r="D5552" s="669" t="s">
        <v>451</v>
      </c>
      <c r="E5552" s="546">
        <v>677.35000600000001</v>
      </c>
    </row>
    <row r="5553" spans="2:5" x14ac:dyDescent="0.25">
      <c r="B5553" s="545">
        <v>6803</v>
      </c>
      <c r="C5553" s="545" t="s">
        <v>2394</v>
      </c>
      <c r="D5553" s="669" t="s">
        <v>451</v>
      </c>
      <c r="E5553" s="546">
        <v>661.83333300000004</v>
      </c>
    </row>
    <row r="5554" spans="2:5" x14ac:dyDescent="0.25">
      <c r="B5554" s="545">
        <v>6804</v>
      </c>
      <c r="C5554" s="545" t="s">
        <v>2404</v>
      </c>
      <c r="D5554" s="669" t="s">
        <v>451</v>
      </c>
      <c r="E5554" s="546">
        <v>662.5</v>
      </c>
    </row>
    <row r="5555" spans="2:5" x14ac:dyDescent="0.25">
      <c r="B5555" s="545">
        <v>6805</v>
      </c>
      <c r="C5555" s="545" t="s">
        <v>6809</v>
      </c>
      <c r="D5555" s="669" t="s">
        <v>451</v>
      </c>
      <c r="E5555" s="546">
        <v>633.60001599999998</v>
      </c>
    </row>
    <row r="5556" spans="2:5" x14ac:dyDescent="0.25">
      <c r="B5556" s="545">
        <v>6806</v>
      </c>
      <c r="C5556" s="545" t="s">
        <v>2250</v>
      </c>
      <c r="D5556" s="669" t="s">
        <v>451</v>
      </c>
      <c r="E5556" s="546">
        <v>655.24001499999997</v>
      </c>
    </row>
    <row r="5557" spans="2:5" x14ac:dyDescent="0.25">
      <c r="B5557" s="545">
        <v>6807</v>
      </c>
      <c r="C5557" s="545" t="s">
        <v>1883</v>
      </c>
      <c r="D5557" s="669" t="s">
        <v>451</v>
      </c>
      <c r="E5557" s="546">
        <v>639.33333300000004</v>
      </c>
    </row>
    <row r="5558" spans="2:5" x14ac:dyDescent="0.25">
      <c r="B5558" s="545">
        <v>6808</v>
      </c>
      <c r="C5558" s="545" t="s">
        <v>2918</v>
      </c>
      <c r="D5558" s="669" t="s">
        <v>451</v>
      </c>
      <c r="E5558" s="546">
        <v>686.5</v>
      </c>
    </row>
    <row r="5559" spans="2:5" x14ac:dyDescent="0.25">
      <c r="B5559" s="545">
        <v>6809</v>
      </c>
      <c r="C5559" s="545" t="s">
        <v>2761</v>
      </c>
      <c r="D5559" s="669" t="s">
        <v>451</v>
      </c>
      <c r="E5559" s="546">
        <v>678.79998799999998</v>
      </c>
    </row>
    <row r="5560" spans="2:5" x14ac:dyDescent="0.25">
      <c r="B5560" s="545">
        <v>6810</v>
      </c>
      <c r="C5560" s="545" t="s">
        <v>3307</v>
      </c>
      <c r="D5560" s="669" t="s">
        <v>451</v>
      </c>
      <c r="E5560" s="546">
        <v>706.30000800000005</v>
      </c>
    </row>
    <row r="5561" spans="2:5" x14ac:dyDescent="0.25">
      <c r="B5561" s="545">
        <v>6811</v>
      </c>
      <c r="C5561" s="545" t="s">
        <v>3105</v>
      </c>
      <c r="D5561" s="669" t="s">
        <v>451</v>
      </c>
      <c r="E5561" s="546">
        <v>696.56667100000004</v>
      </c>
    </row>
    <row r="5562" spans="2:5" x14ac:dyDescent="0.25">
      <c r="B5562" s="545">
        <v>6812</v>
      </c>
      <c r="C5562" s="545" t="s">
        <v>2539</v>
      </c>
      <c r="D5562" s="669" t="s">
        <v>451</v>
      </c>
      <c r="E5562" s="546">
        <v>668.12498500000004</v>
      </c>
    </row>
    <row r="5563" spans="2:5" x14ac:dyDescent="0.25">
      <c r="B5563" s="545">
        <v>6813</v>
      </c>
      <c r="C5563" s="545" t="s">
        <v>1791</v>
      </c>
      <c r="D5563" s="669" t="s">
        <v>451</v>
      </c>
      <c r="E5563" s="546">
        <v>635.76666299999999</v>
      </c>
    </row>
    <row r="5564" spans="2:5" x14ac:dyDescent="0.25">
      <c r="B5564" s="545">
        <v>6814</v>
      </c>
      <c r="C5564" s="545" t="s">
        <v>1857</v>
      </c>
      <c r="D5564" s="669" t="s">
        <v>451</v>
      </c>
      <c r="E5564" s="546">
        <v>638.21999500000004</v>
      </c>
    </row>
    <row r="5565" spans="2:5" x14ac:dyDescent="0.25">
      <c r="B5565" s="545">
        <v>6815</v>
      </c>
      <c r="C5565" s="545" t="s">
        <v>1441</v>
      </c>
      <c r="D5565" s="669" t="s">
        <v>451</v>
      </c>
      <c r="E5565" s="546">
        <v>617.28572299999996</v>
      </c>
    </row>
    <row r="5566" spans="2:5" x14ac:dyDescent="0.25">
      <c r="B5566" s="545">
        <v>6816</v>
      </c>
      <c r="C5566" s="545" t="s">
        <v>2694</v>
      </c>
      <c r="D5566" s="669" t="s">
        <v>451</v>
      </c>
      <c r="E5566" s="546">
        <v>675.54285500000003</v>
      </c>
    </row>
    <row r="5567" spans="2:5" x14ac:dyDescent="0.25">
      <c r="B5567" s="545">
        <v>6817</v>
      </c>
      <c r="C5567" s="545" t="s">
        <v>1188</v>
      </c>
      <c r="D5567" s="669" t="s">
        <v>451</v>
      </c>
      <c r="E5567" s="546">
        <v>603.29998799999998</v>
      </c>
    </row>
    <row r="5568" spans="2:5" x14ac:dyDescent="0.25">
      <c r="B5568" s="545">
        <v>6818</v>
      </c>
      <c r="C5568" s="545" t="s">
        <v>1132</v>
      </c>
      <c r="D5568" s="669" t="s">
        <v>451</v>
      </c>
      <c r="E5568" s="546">
        <v>599.58000500000003</v>
      </c>
    </row>
    <row r="5569" spans="2:5" x14ac:dyDescent="0.25">
      <c r="B5569" s="545">
        <v>6819</v>
      </c>
      <c r="C5569" s="545" t="s">
        <v>2823</v>
      </c>
      <c r="D5569" s="669" t="s">
        <v>451</v>
      </c>
      <c r="E5569" s="546">
        <v>682.27000699999996</v>
      </c>
    </row>
    <row r="5570" spans="2:5" x14ac:dyDescent="0.25">
      <c r="B5570" s="545">
        <v>6820</v>
      </c>
      <c r="C5570" s="545" t="s">
        <v>2485</v>
      </c>
      <c r="D5570" s="669" t="s">
        <v>451</v>
      </c>
      <c r="E5570" s="546">
        <v>665.20000100000004</v>
      </c>
    </row>
    <row r="5571" spans="2:5" x14ac:dyDescent="0.25">
      <c r="B5571" s="545">
        <v>6821</v>
      </c>
      <c r="C5571" s="545" t="s">
        <v>1659</v>
      </c>
      <c r="D5571" s="669" t="s">
        <v>451</v>
      </c>
      <c r="E5571" s="546">
        <v>630.06667100000004</v>
      </c>
    </row>
    <row r="5572" spans="2:5" x14ac:dyDescent="0.25">
      <c r="B5572" s="545">
        <v>6822</v>
      </c>
      <c r="C5572" s="545" t="s">
        <v>2367</v>
      </c>
      <c r="D5572" s="669" t="s">
        <v>451</v>
      </c>
      <c r="E5572" s="546">
        <v>660.47499100000005</v>
      </c>
    </row>
    <row r="5573" spans="2:5" x14ac:dyDescent="0.25">
      <c r="B5573" s="545">
        <v>6823</v>
      </c>
      <c r="C5573" s="545" t="s">
        <v>2412</v>
      </c>
      <c r="D5573" s="669" t="s">
        <v>451</v>
      </c>
      <c r="E5573" s="546">
        <v>662.95000200000004</v>
      </c>
    </row>
    <row r="5574" spans="2:5" x14ac:dyDescent="0.25">
      <c r="B5574" s="545">
        <v>6824</v>
      </c>
      <c r="C5574" s="545" t="s">
        <v>6627</v>
      </c>
      <c r="D5574" s="669" t="s">
        <v>451</v>
      </c>
      <c r="E5574" s="546">
        <v>666.20555999999999</v>
      </c>
    </row>
    <row r="5575" spans="2:5" x14ac:dyDescent="0.25">
      <c r="B5575" s="545">
        <v>6825</v>
      </c>
      <c r="C5575" s="545" t="s">
        <v>2491</v>
      </c>
      <c r="D5575" s="669" t="s">
        <v>451</v>
      </c>
      <c r="E5575" s="546">
        <v>665.40000899999995</v>
      </c>
    </row>
    <row r="5576" spans="2:5" x14ac:dyDescent="0.25">
      <c r="B5576" s="545">
        <v>6826</v>
      </c>
      <c r="C5576" s="545" t="s">
        <v>1631</v>
      </c>
      <c r="D5576" s="669" t="s">
        <v>451</v>
      </c>
      <c r="E5576" s="546">
        <v>628.05715499999997</v>
      </c>
    </row>
    <row r="5577" spans="2:5" x14ac:dyDescent="0.25">
      <c r="B5577" s="545">
        <v>6827</v>
      </c>
      <c r="C5577" s="545" t="s">
        <v>2490</v>
      </c>
      <c r="D5577" s="669" t="s">
        <v>451</v>
      </c>
      <c r="E5577" s="546">
        <v>665.38749700000005</v>
      </c>
    </row>
    <row r="5578" spans="2:5" x14ac:dyDescent="0.25">
      <c r="B5578" s="545">
        <v>6828</v>
      </c>
      <c r="C5578" s="545" t="s">
        <v>2448</v>
      </c>
      <c r="D5578" s="669" t="s">
        <v>451</v>
      </c>
      <c r="E5578" s="546">
        <v>664.092309</v>
      </c>
    </row>
    <row r="5579" spans="2:5" x14ac:dyDescent="0.25">
      <c r="B5579" s="545">
        <v>6829</v>
      </c>
      <c r="C5579" s="545" t="s">
        <v>2090</v>
      </c>
      <c r="D5579" s="669" t="s">
        <v>451</v>
      </c>
      <c r="E5579" s="546">
        <v>647.836365</v>
      </c>
    </row>
    <row r="5580" spans="2:5" x14ac:dyDescent="0.25">
      <c r="B5580" s="545">
        <v>6830</v>
      </c>
      <c r="C5580" s="545" t="s">
        <v>2171</v>
      </c>
      <c r="D5580" s="669" t="s">
        <v>451</v>
      </c>
      <c r="E5580" s="546">
        <v>651.861535</v>
      </c>
    </row>
    <row r="5581" spans="2:5" x14ac:dyDescent="0.25">
      <c r="B5581" s="545">
        <v>6831</v>
      </c>
      <c r="C5581" s="545" t="s">
        <v>2962</v>
      </c>
      <c r="D5581" s="669" t="s">
        <v>451</v>
      </c>
      <c r="E5581" s="546">
        <v>688.385716</v>
      </c>
    </row>
    <row r="5582" spans="2:5" x14ac:dyDescent="0.25">
      <c r="B5582" s="545">
        <v>6832</v>
      </c>
      <c r="C5582" s="545" t="s">
        <v>2630</v>
      </c>
      <c r="D5582" s="669" t="s">
        <v>451</v>
      </c>
      <c r="E5582" s="546">
        <v>672.97999900000002</v>
      </c>
    </row>
    <row r="5583" spans="2:5" x14ac:dyDescent="0.25">
      <c r="B5583" s="545">
        <v>6833</v>
      </c>
      <c r="C5583" s="545" t="s">
        <v>7195</v>
      </c>
      <c r="D5583" s="669" t="s">
        <v>451</v>
      </c>
      <c r="E5583" s="546">
        <v>666.629999</v>
      </c>
    </row>
    <row r="5584" spans="2:5" x14ac:dyDescent="0.25">
      <c r="B5584" s="545">
        <v>6834</v>
      </c>
      <c r="C5584" s="545" t="s">
        <v>7631</v>
      </c>
      <c r="D5584" s="669" t="s">
        <v>451</v>
      </c>
      <c r="E5584" s="546">
        <v>731.16428499999995</v>
      </c>
    </row>
    <row r="5585" spans="2:5" x14ac:dyDescent="0.25">
      <c r="B5585" s="545">
        <v>6835</v>
      </c>
      <c r="C5585" s="545" t="s">
        <v>3773</v>
      </c>
      <c r="D5585" s="669" t="s">
        <v>451</v>
      </c>
      <c r="E5585" s="546">
        <v>731.322225</v>
      </c>
    </row>
    <row r="5586" spans="2:5" x14ac:dyDescent="0.25">
      <c r="B5586" s="545">
        <v>6836</v>
      </c>
      <c r="C5586" s="545" t="s">
        <v>3094</v>
      </c>
      <c r="D5586" s="669" t="s">
        <v>451</v>
      </c>
      <c r="E5586" s="546">
        <v>695.625</v>
      </c>
    </row>
    <row r="5587" spans="2:5" x14ac:dyDescent="0.25">
      <c r="B5587" s="545">
        <v>6837</v>
      </c>
      <c r="C5587" s="545" t="s">
        <v>3080</v>
      </c>
      <c r="D5587" s="669" t="s">
        <v>451</v>
      </c>
      <c r="E5587" s="546">
        <v>695.16666699999996</v>
      </c>
    </row>
    <row r="5588" spans="2:5" x14ac:dyDescent="0.25">
      <c r="B5588" s="545">
        <v>6838</v>
      </c>
      <c r="C5588" s="545" t="s">
        <v>2601</v>
      </c>
      <c r="D5588" s="669" t="s">
        <v>451</v>
      </c>
      <c r="E5588" s="546">
        <v>670.76249700000005</v>
      </c>
    </row>
    <row r="5589" spans="2:5" x14ac:dyDescent="0.25">
      <c r="B5589" s="545">
        <v>6839</v>
      </c>
      <c r="C5589" s="545" t="s">
        <v>2822</v>
      </c>
      <c r="D5589" s="669" t="s">
        <v>451</v>
      </c>
      <c r="E5589" s="546">
        <v>682.24285899999995</v>
      </c>
    </row>
    <row r="5590" spans="2:5" x14ac:dyDescent="0.25">
      <c r="B5590" s="545">
        <v>6840</v>
      </c>
      <c r="C5590" s="545" t="s">
        <v>2675</v>
      </c>
      <c r="D5590" s="669" t="s">
        <v>451</v>
      </c>
      <c r="E5590" s="546">
        <v>674.85999800000002</v>
      </c>
    </row>
    <row r="5591" spans="2:5" x14ac:dyDescent="0.25">
      <c r="B5591" s="545">
        <v>6841</v>
      </c>
      <c r="C5591" s="545" t="s">
        <v>2746</v>
      </c>
      <c r="D5591" s="669" t="s">
        <v>451</v>
      </c>
      <c r="E5591" s="546">
        <v>678.05001100000004</v>
      </c>
    </row>
    <row r="5592" spans="2:5" x14ac:dyDescent="0.25">
      <c r="B5592" s="545">
        <v>6842</v>
      </c>
      <c r="C5592" s="545" t="s">
        <v>2283</v>
      </c>
      <c r="D5592" s="669" t="s">
        <v>451</v>
      </c>
      <c r="E5592" s="546">
        <v>656.51000399999998</v>
      </c>
    </row>
    <row r="5593" spans="2:5" x14ac:dyDescent="0.25">
      <c r="B5593" s="545">
        <v>6843</v>
      </c>
      <c r="C5593" s="545" t="s">
        <v>2613</v>
      </c>
      <c r="D5593" s="669" t="s">
        <v>451</v>
      </c>
      <c r="E5593" s="546">
        <v>671.5</v>
      </c>
    </row>
    <row r="5594" spans="2:5" x14ac:dyDescent="0.25">
      <c r="B5594" s="545">
        <v>6844</v>
      </c>
      <c r="C5594" s="545" t="s">
        <v>6552</v>
      </c>
      <c r="D5594" s="669" t="s">
        <v>451</v>
      </c>
      <c r="E5594" s="546">
        <v>650.911112</v>
      </c>
    </row>
    <row r="5595" spans="2:5" x14ac:dyDescent="0.25">
      <c r="B5595" s="545">
        <v>6845</v>
      </c>
      <c r="C5595" s="545" t="s">
        <v>1915</v>
      </c>
      <c r="D5595" s="669" t="s">
        <v>451</v>
      </c>
      <c r="E5595" s="546">
        <v>659.84665500000006</v>
      </c>
    </row>
    <row r="5596" spans="2:5" x14ac:dyDescent="0.25">
      <c r="B5596" s="545">
        <v>6846</v>
      </c>
      <c r="C5596" s="545" t="s">
        <v>2410</v>
      </c>
      <c r="D5596" s="669" t="s">
        <v>451</v>
      </c>
      <c r="E5596" s="546">
        <v>662.80769199999997</v>
      </c>
    </row>
    <row r="5597" spans="2:5" x14ac:dyDescent="0.25">
      <c r="B5597" s="545">
        <v>6847</v>
      </c>
      <c r="C5597" s="545" t="s">
        <v>2351</v>
      </c>
      <c r="D5597" s="669" t="s">
        <v>451</v>
      </c>
      <c r="E5597" s="546">
        <v>659.67498799999998</v>
      </c>
    </row>
    <row r="5598" spans="2:5" x14ac:dyDescent="0.25">
      <c r="B5598" s="545">
        <v>6848</v>
      </c>
      <c r="C5598" s="545" t="s">
        <v>2943</v>
      </c>
      <c r="D5598" s="669" t="s">
        <v>451</v>
      </c>
      <c r="E5598" s="546">
        <v>687.50000799999998</v>
      </c>
    </row>
    <row r="5599" spans="2:5" x14ac:dyDescent="0.25">
      <c r="B5599" s="545">
        <v>6849</v>
      </c>
      <c r="C5599" s="545" t="s">
        <v>2721</v>
      </c>
      <c r="D5599" s="669" t="s">
        <v>451</v>
      </c>
      <c r="E5599" s="546">
        <v>676.96362899999997</v>
      </c>
    </row>
    <row r="5600" spans="2:5" x14ac:dyDescent="0.25">
      <c r="B5600" s="545">
        <v>6850</v>
      </c>
      <c r="C5600" s="545" t="s">
        <v>2956</v>
      </c>
      <c r="D5600" s="669" t="s">
        <v>451</v>
      </c>
      <c r="E5600" s="546">
        <v>688.08332299999995</v>
      </c>
    </row>
    <row r="5601" spans="2:5" x14ac:dyDescent="0.25">
      <c r="B5601" s="545">
        <v>6851</v>
      </c>
      <c r="C5601" s="545" t="s">
        <v>3053</v>
      </c>
      <c r="D5601" s="669" t="s">
        <v>451</v>
      </c>
      <c r="E5601" s="546">
        <v>693.75</v>
      </c>
    </row>
    <row r="5602" spans="2:5" x14ac:dyDescent="0.25">
      <c r="B5602" s="545">
        <v>6852</v>
      </c>
      <c r="C5602" s="545" t="s">
        <v>6531</v>
      </c>
      <c r="D5602" s="669" t="s">
        <v>451</v>
      </c>
      <c r="E5602" s="546">
        <v>666.15000199999997</v>
      </c>
    </row>
    <row r="5603" spans="2:5" x14ac:dyDescent="0.25">
      <c r="B5603" s="545">
        <v>6853</v>
      </c>
      <c r="C5603" s="545" t="s">
        <v>2428</v>
      </c>
      <c r="D5603" s="669" t="s">
        <v>451</v>
      </c>
      <c r="E5603" s="546">
        <v>663.56734400000005</v>
      </c>
    </row>
    <row r="5604" spans="2:5" x14ac:dyDescent="0.25">
      <c r="B5604" s="545">
        <v>6854</v>
      </c>
      <c r="C5604" s="545" t="s">
        <v>7308</v>
      </c>
      <c r="D5604" s="669" t="s">
        <v>451</v>
      </c>
      <c r="E5604" s="546">
        <v>670.19999199999995</v>
      </c>
    </row>
    <row r="5605" spans="2:5" x14ac:dyDescent="0.25">
      <c r="B5605" s="545">
        <v>6855</v>
      </c>
      <c r="C5605" s="545" t="s">
        <v>2608</v>
      </c>
      <c r="D5605" s="669" t="s">
        <v>451</v>
      </c>
      <c r="E5605" s="546">
        <v>671.20001200000002</v>
      </c>
    </row>
    <row r="5606" spans="2:5" x14ac:dyDescent="0.25">
      <c r="B5606" s="545">
        <v>6856</v>
      </c>
      <c r="C5606" s="545" t="s">
        <v>2378</v>
      </c>
      <c r="D5606" s="669" t="s">
        <v>451</v>
      </c>
      <c r="E5606" s="546">
        <v>660.83334400000001</v>
      </c>
    </row>
    <row r="5607" spans="2:5" x14ac:dyDescent="0.25">
      <c r="B5607" s="545">
        <v>6857</v>
      </c>
      <c r="C5607" s="545" t="s">
        <v>2373</v>
      </c>
      <c r="D5607" s="669" t="s">
        <v>451</v>
      </c>
      <c r="E5607" s="546">
        <v>660.69999700000005</v>
      </c>
    </row>
    <row r="5608" spans="2:5" x14ac:dyDescent="0.25">
      <c r="B5608" s="545">
        <v>6858</v>
      </c>
      <c r="C5608" s="545" t="s">
        <v>2637</v>
      </c>
      <c r="D5608" s="669" t="s">
        <v>451</v>
      </c>
      <c r="E5608" s="546">
        <v>673.34666700000002</v>
      </c>
    </row>
    <row r="5609" spans="2:5" x14ac:dyDescent="0.25">
      <c r="B5609" s="545">
        <v>6859</v>
      </c>
      <c r="C5609" s="545" t="s">
        <v>2511</v>
      </c>
      <c r="D5609" s="669" t="s">
        <v>451</v>
      </c>
      <c r="E5609" s="546">
        <v>666.30001800000002</v>
      </c>
    </row>
    <row r="5610" spans="2:5" x14ac:dyDescent="0.25">
      <c r="B5610" s="545">
        <v>6860</v>
      </c>
      <c r="C5610" s="545" t="s">
        <v>2475</v>
      </c>
      <c r="D5610" s="669" t="s">
        <v>451</v>
      </c>
      <c r="E5610" s="546">
        <v>664.93332899999996</v>
      </c>
    </row>
    <row r="5611" spans="2:5" x14ac:dyDescent="0.25">
      <c r="B5611" s="545">
        <v>6861</v>
      </c>
      <c r="C5611" s="545" t="s">
        <v>2557</v>
      </c>
      <c r="D5611" s="669" t="s">
        <v>451</v>
      </c>
      <c r="E5611" s="546">
        <v>668.69999700000005</v>
      </c>
    </row>
    <row r="5612" spans="2:5" x14ac:dyDescent="0.25">
      <c r="B5612" s="545">
        <v>6862</v>
      </c>
      <c r="C5612" s="545" t="s">
        <v>2610</v>
      </c>
      <c r="D5612" s="669" t="s">
        <v>451</v>
      </c>
      <c r="E5612" s="546">
        <v>671.36923000000002</v>
      </c>
    </row>
    <row r="5613" spans="2:5" x14ac:dyDescent="0.25">
      <c r="B5613" s="545">
        <v>6863</v>
      </c>
      <c r="C5613" s="545" t="s">
        <v>963</v>
      </c>
      <c r="D5613" s="669" t="s">
        <v>451</v>
      </c>
      <c r="E5613" s="546">
        <v>668.80001200000004</v>
      </c>
    </row>
    <row r="5614" spans="2:5" x14ac:dyDescent="0.25">
      <c r="B5614" s="545">
        <v>6864</v>
      </c>
      <c r="C5614" s="545" t="s">
        <v>451</v>
      </c>
      <c r="D5614" s="669" t="s">
        <v>451</v>
      </c>
      <c r="E5614" s="546">
        <v>674.89090199999998</v>
      </c>
    </row>
    <row r="5615" spans="2:5" x14ac:dyDescent="0.25">
      <c r="B5615" s="545">
        <v>6865</v>
      </c>
      <c r="C5615" s="545" t="s">
        <v>2859</v>
      </c>
      <c r="D5615" s="669" t="s">
        <v>451</v>
      </c>
      <c r="E5615" s="546">
        <v>684.33077300000002</v>
      </c>
    </row>
    <row r="5616" spans="2:5" x14ac:dyDescent="0.25">
      <c r="B5616" s="545">
        <v>6866</v>
      </c>
      <c r="C5616" s="545" t="s">
        <v>2860</v>
      </c>
      <c r="D5616" s="669" t="s">
        <v>451</v>
      </c>
      <c r="E5616" s="546">
        <v>684.43570799999998</v>
      </c>
    </row>
    <row r="5617" spans="2:5" x14ac:dyDescent="0.25">
      <c r="B5617" s="545">
        <v>6867</v>
      </c>
      <c r="C5617" s="545" t="s">
        <v>2398</v>
      </c>
      <c r="D5617" s="669" t="s">
        <v>451</v>
      </c>
      <c r="E5617" s="546">
        <v>662.07058199999994</v>
      </c>
    </row>
    <row r="5618" spans="2:5" x14ac:dyDescent="0.25">
      <c r="B5618" s="545">
        <v>6868</v>
      </c>
      <c r="C5618" s="545" t="s">
        <v>1269</v>
      </c>
      <c r="D5618" s="669" t="s">
        <v>451</v>
      </c>
      <c r="E5618" s="546">
        <v>688.44444399999998</v>
      </c>
    </row>
    <row r="5619" spans="2:5" x14ac:dyDescent="0.25">
      <c r="B5619" s="545">
        <v>6869</v>
      </c>
      <c r="C5619" s="545" t="s">
        <v>7560</v>
      </c>
      <c r="D5619" s="669" t="s">
        <v>451</v>
      </c>
      <c r="E5619" s="546">
        <v>685.07273199999997</v>
      </c>
    </row>
    <row r="5620" spans="2:5" x14ac:dyDescent="0.25">
      <c r="B5620" s="545">
        <v>6870</v>
      </c>
      <c r="C5620" s="545" t="s">
        <v>7293</v>
      </c>
      <c r="D5620" s="669" t="s">
        <v>451</v>
      </c>
      <c r="E5620" s="546">
        <v>718.16002200000003</v>
      </c>
    </row>
    <row r="5621" spans="2:5" x14ac:dyDescent="0.25">
      <c r="B5621" s="545">
        <v>6871</v>
      </c>
      <c r="C5621" s="545" t="s">
        <v>3134</v>
      </c>
      <c r="D5621" s="669" t="s">
        <v>451</v>
      </c>
      <c r="E5621" s="546">
        <v>697.82000700000003</v>
      </c>
    </row>
    <row r="5622" spans="2:5" x14ac:dyDescent="0.25">
      <c r="B5622" s="545">
        <v>6872</v>
      </c>
      <c r="C5622" s="545" t="s">
        <v>3640</v>
      </c>
      <c r="D5622" s="669" t="s">
        <v>451</v>
      </c>
      <c r="E5622" s="546">
        <v>723.93333600000005</v>
      </c>
    </row>
    <row r="5623" spans="2:5" x14ac:dyDescent="0.25">
      <c r="B5623" s="545">
        <v>6873</v>
      </c>
      <c r="C5623" s="545" t="s">
        <v>3475</v>
      </c>
      <c r="D5623" s="669" t="s">
        <v>451</v>
      </c>
      <c r="E5623" s="546">
        <v>714.56001000000003</v>
      </c>
    </row>
    <row r="5624" spans="2:5" x14ac:dyDescent="0.25">
      <c r="B5624" s="545">
        <v>6874</v>
      </c>
      <c r="C5624" s="545" t="s">
        <v>3076</v>
      </c>
      <c r="D5624" s="669" t="s">
        <v>451</v>
      </c>
      <c r="E5624" s="546">
        <v>694.83845899999994</v>
      </c>
    </row>
    <row r="5625" spans="2:5" x14ac:dyDescent="0.25">
      <c r="B5625" s="545">
        <v>6875</v>
      </c>
      <c r="C5625" s="545" t="s">
        <v>3339</v>
      </c>
      <c r="D5625" s="669" t="s">
        <v>451</v>
      </c>
      <c r="E5625" s="546">
        <v>707.71666500000003</v>
      </c>
    </row>
    <row r="5626" spans="2:5" x14ac:dyDescent="0.25">
      <c r="B5626" s="545">
        <v>6876</v>
      </c>
      <c r="C5626" s="545" t="s">
        <v>3664</v>
      </c>
      <c r="D5626" s="669" t="s">
        <v>451</v>
      </c>
      <c r="E5626" s="546">
        <v>724.96666500000003</v>
      </c>
    </row>
    <row r="5627" spans="2:5" x14ac:dyDescent="0.25">
      <c r="B5627" s="545">
        <v>6877</v>
      </c>
      <c r="C5627" s="545" t="s">
        <v>3844</v>
      </c>
      <c r="D5627" s="669" t="s">
        <v>451</v>
      </c>
      <c r="E5627" s="546">
        <v>735.32499700000005</v>
      </c>
    </row>
    <row r="5628" spans="2:5" x14ac:dyDescent="0.25">
      <c r="B5628" s="545">
        <v>6878</v>
      </c>
      <c r="C5628" s="545" t="s">
        <v>4029</v>
      </c>
      <c r="D5628" s="669" t="s">
        <v>451</v>
      </c>
      <c r="E5628" s="546">
        <v>746.90000199999997</v>
      </c>
    </row>
    <row r="5629" spans="2:5" x14ac:dyDescent="0.25">
      <c r="B5629" s="545">
        <v>6879</v>
      </c>
      <c r="C5629" s="545" t="s">
        <v>3675</v>
      </c>
      <c r="D5629" s="669" t="s">
        <v>451</v>
      </c>
      <c r="E5629" s="546">
        <v>725.77499399999999</v>
      </c>
    </row>
    <row r="5630" spans="2:5" x14ac:dyDescent="0.25">
      <c r="B5630" s="545">
        <v>6880</v>
      </c>
      <c r="C5630" s="545" t="s">
        <v>4043</v>
      </c>
      <c r="D5630" s="669" t="s">
        <v>451</v>
      </c>
      <c r="E5630" s="546">
        <v>747.77499399999999</v>
      </c>
    </row>
    <row r="5631" spans="2:5" x14ac:dyDescent="0.25">
      <c r="B5631" s="545">
        <v>6881</v>
      </c>
      <c r="C5631" s="545" t="s">
        <v>4083</v>
      </c>
      <c r="D5631" s="669" t="s">
        <v>451</v>
      </c>
      <c r="E5631" s="546">
        <v>750.14999399999999</v>
      </c>
    </row>
    <row r="5632" spans="2:5" x14ac:dyDescent="0.25">
      <c r="B5632" s="545">
        <v>6882</v>
      </c>
      <c r="C5632" s="545" t="s">
        <v>4265</v>
      </c>
      <c r="D5632" s="669" t="s">
        <v>451</v>
      </c>
      <c r="E5632" s="546">
        <v>762.25998500000003</v>
      </c>
    </row>
    <row r="5633" spans="2:5" x14ac:dyDescent="0.25">
      <c r="B5633" s="545">
        <v>6883</v>
      </c>
      <c r="C5633" s="545" t="s">
        <v>3198</v>
      </c>
      <c r="D5633" s="669" t="s">
        <v>451</v>
      </c>
      <c r="E5633" s="546">
        <v>701</v>
      </c>
    </row>
    <row r="5634" spans="2:5" x14ac:dyDescent="0.25">
      <c r="B5634" s="545">
        <v>6884</v>
      </c>
      <c r="C5634" s="545" t="s">
        <v>3602</v>
      </c>
      <c r="D5634" s="669" t="s">
        <v>451</v>
      </c>
      <c r="E5634" s="546">
        <v>721.57499700000005</v>
      </c>
    </row>
    <row r="5635" spans="2:5" x14ac:dyDescent="0.25">
      <c r="B5635" s="545">
        <v>6885</v>
      </c>
      <c r="C5635" s="545" t="s">
        <v>3521</v>
      </c>
      <c r="D5635" s="669" t="s">
        <v>451</v>
      </c>
      <c r="E5635" s="546">
        <v>747.78001700000004</v>
      </c>
    </row>
    <row r="5636" spans="2:5" x14ac:dyDescent="0.25">
      <c r="B5636" s="545">
        <v>6886</v>
      </c>
      <c r="C5636" s="545" t="s">
        <v>3681</v>
      </c>
      <c r="D5636" s="669" t="s">
        <v>451</v>
      </c>
      <c r="E5636" s="546">
        <v>726.31249200000002</v>
      </c>
    </row>
    <row r="5637" spans="2:5" x14ac:dyDescent="0.25">
      <c r="B5637" s="545">
        <v>6887</v>
      </c>
      <c r="C5637" s="545" t="s">
        <v>3511</v>
      </c>
      <c r="D5637" s="669" t="s">
        <v>451</v>
      </c>
      <c r="E5637" s="546">
        <v>716.96154300000001</v>
      </c>
    </row>
    <row r="5638" spans="2:5" x14ac:dyDescent="0.25">
      <c r="B5638" s="545">
        <v>6888</v>
      </c>
      <c r="C5638" s="545" t="s">
        <v>3946</v>
      </c>
      <c r="D5638" s="669" t="s">
        <v>451</v>
      </c>
      <c r="E5638" s="546">
        <v>741.42500299999995</v>
      </c>
    </row>
    <row r="5639" spans="2:5" x14ac:dyDescent="0.25">
      <c r="B5639" s="545">
        <v>6889</v>
      </c>
      <c r="C5639" s="545" t="s">
        <v>3998</v>
      </c>
      <c r="D5639" s="669" t="s">
        <v>451</v>
      </c>
      <c r="E5639" s="546">
        <v>744.78333999999995</v>
      </c>
    </row>
    <row r="5640" spans="2:5" x14ac:dyDescent="0.25">
      <c r="B5640" s="545">
        <v>6890</v>
      </c>
      <c r="C5640" s="545" t="s">
        <v>4104</v>
      </c>
      <c r="D5640" s="669" t="s">
        <v>451</v>
      </c>
      <c r="E5640" s="546">
        <v>751.05556200000001</v>
      </c>
    </row>
    <row r="5641" spans="2:5" x14ac:dyDescent="0.25">
      <c r="B5641" s="545">
        <v>6891</v>
      </c>
      <c r="C5641" s="545" t="s">
        <v>4255</v>
      </c>
      <c r="D5641" s="669" t="s">
        <v>451</v>
      </c>
      <c r="E5641" s="546">
        <v>761.27777800000001</v>
      </c>
    </row>
    <row r="5642" spans="2:5" x14ac:dyDescent="0.25">
      <c r="B5642" s="545">
        <v>6892</v>
      </c>
      <c r="C5642" s="545" t="s">
        <v>3384</v>
      </c>
      <c r="D5642" s="669" t="s">
        <v>451</v>
      </c>
      <c r="E5642" s="546">
        <v>709.93888700000002</v>
      </c>
    </row>
    <row r="5643" spans="2:5" x14ac:dyDescent="0.25">
      <c r="B5643" s="545">
        <v>6893</v>
      </c>
      <c r="C5643" s="545" t="s">
        <v>4176</v>
      </c>
      <c r="D5643" s="669" t="s">
        <v>451</v>
      </c>
      <c r="E5643" s="546">
        <v>755.70001200000002</v>
      </c>
    </row>
    <row r="5644" spans="2:5" x14ac:dyDescent="0.25">
      <c r="B5644" s="545">
        <v>6894</v>
      </c>
      <c r="C5644" s="545" t="s">
        <v>6799</v>
      </c>
      <c r="D5644" s="669" t="s">
        <v>451</v>
      </c>
      <c r="E5644" s="546">
        <v>713.70833300000004</v>
      </c>
    </row>
    <row r="5645" spans="2:5" x14ac:dyDescent="0.25">
      <c r="B5645" s="545">
        <v>6895</v>
      </c>
      <c r="C5645" s="545" t="s">
        <v>2716</v>
      </c>
      <c r="D5645" s="669" t="s">
        <v>451</v>
      </c>
      <c r="E5645" s="546">
        <v>676.60000600000001</v>
      </c>
    </row>
    <row r="5646" spans="2:5" x14ac:dyDescent="0.25">
      <c r="B5646" s="545">
        <v>6896</v>
      </c>
      <c r="C5646" s="545" t="s">
        <v>4224</v>
      </c>
      <c r="D5646" s="669" t="s">
        <v>451</v>
      </c>
      <c r="E5646" s="546">
        <v>759.56664999999998</v>
      </c>
    </row>
    <row r="5647" spans="2:5" x14ac:dyDescent="0.25">
      <c r="B5647" s="545">
        <v>6897</v>
      </c>
      <c r="C5647" s="545" t="s">
        <v>3171</v>
      </c>
      <c r="D5647" s="669" t="s">
        <v>451</v>
      </c>
      <c r="E5647" s="546">
        <v>717.52856899999995</v>
      </c>
    </row>
    <row r="5648" spans="2:5" x14ac:dyDescent="0.25">
      <c r="B5648" s="545">
        <v>6898</v>
      </c>
      <c r="C5648" s="545" t="s">
        <v>4395</v>
      </c>
      <c r="D5648" s="669" t="s">
        <v>451</v>
      </c>
      <c r="E5648" s="546">
        <v>771.96250899999995</v>
      </c>
    </row>
    <row r="5649" spans="2:5" x14ac:dyDescent="0.25">
      <c r="B5649" s="545">
        <v>6899</v>
      </c>
      <c r="C5649" s="545" t="s">
        <v>3574</v>
      </c>
      <c r="D5649" s="669" t="s">
        <v>451</v>
      </c>
      <c r="E5649" s="546">
        <v>719.89000899999996</v>
      </c>
    </row>
    <row r="5650" spans="2:5" x14ac:dyDescent="0.25">
      <c r="B5650" s="545">
        <v>6901</v>
      </c>
      <c r="C5650" s="545" t="s">
        <v>7634</v>
      </c>
      <c r="D5650" s="669" t="s">
        <v>460</v>
      </c>
      <c r="E5650" s="546">
        <v>747.53333199999997</v>
      </c>
    </row>
    <row r="5651" spans="2:5" x14ac:dyDescent="0.25">
      <c r="B5651" s="545">
        <v>6902</v>
      </c>
      <c r="C5651" s="545" t="s">
        <v>1880</v>
      </c>
      <c r="D5651" s="669" t="s">
        <v>460</v>
      </c>
      <c r="E5651" s="546">
        <v>751.70001200000002</v>
      </c>
    </row>
    <row r="5652" spans="2:5" x14ac:dyDescent="0.25">
      <c r="B5652" s="545">
        <v>6903</v>
      </c>
      <c r="C5652" s="545" t="s">
        <v>3840</v>
      </c>
      <c r="D5652" s="669" t="s">
        <v>460</v>
      </c>
      <c r="E5652" s="546">
        <v>735.12352399999997</v>
      </c>
    </row>
    <row r="5653" spans="2:5" x14ac:dyDescent="0.25">
      <c r="B5653" s="545">
        <v>6904</v>
      </c>
      <c r="C5653" s="545" t="s">
        <v>3701</v>
      </c>
      <c r="D5653" s="669" t="s">
        <v>460</v>
      </c>
      <c r="E5653" s="546">
        <v>727.28461600000003</v>
      </c>
    </row>
    <row r="5654" spans="2:5" x14ac:dyDescent="0.25">
      <c r="B5654" s="545">
        <v>6905</v>
      </c>
      <c r="C5654" s="545" t="s">
        <v>7259</v>
      </c>
      <c r="D5654" s="669" t="s">
        <v>460</v>
      </c>
      <c r="E5654" s="546">
        <v>724.78333499999997</v>
      </c>
    </row>
    <row r="5655" spans="2:5" x14ac:dyDescent="0.25">
      <c r="B5655" s="545">
        <v>6906</v>
      </c>
      <c r="C5655" s="545" t="s">
        <v>6762</v>
      </c>
      <c r="D5655" s="669" t="s">
        <v>460</v>
      </c>
      <c r="E5655" s="546">
        <v>715.12083399999995</v>
      </c>
    </row>
    <row r="5656" spans="2:5" x14ac:dyDescent="0.25">
      <c r="B5656" s="545">
        <v>6907</v>
      </c>
      <c r="C5656" s="545" t="s">
        <v>4318</v>
      </c>
      <c r="D5656" s="669" t="s">
        <v>460</v>
      </c>
      <c r="E5656" s="546">
        <v>766.01428199999998</v>
      </c>
    </row>
    <row r="5657" spans="2:5" x14ac:dyDescent="0.25">
      <c r="B5657" s="545">
        <v>6908</v>
      </c>
      <c r="C5657" s="545" t="s">
        <v>2710</v>
      </c>
      <c r="D5657" s="669" t="s">
        <v>460</v>
      </c>
      <c r="E5657" s="546">
        <v>754.5</v>
      </c>
    </row>
    <row r="5658" spans="2:5" x14ac:dyDescent="0.25">
      <c r="B5658" s="545">
        <v>6909</v>
      </c>
      <c r="C5658" s="545" t="s">
        <v>4590</v>
      </c>
      <c r="D5658" s="669" t="s">
        <v>460</v>
      </c>
      <c r="E5658" s="546">
        <v>786.89999799999998</v>
      </c>
    </row>
    <row r="5659" spans="2:5" x14ac:dyDescent="0.25">
      <c r="B5659" s="545">
        <v>6910</v>
      </c>
      <c r="C5659" s="545" t="s">
        <v>4392</v>
      </c>
      <c r="D5659" s="669" t="s">
        <v>460</v>
      </c>
      <c r="E5659" s="546">
        <v>771.79000900000005</v>
      </c>
    </row>
    <row r="5660" spans="2:5" x14ac:dyDescent="0.25">
      <c r="B5660" s="545">
        <v>6911</v>
      </c>
      <c r="C5660" s="545" t="s">
        <v>4131</v>
      </c>
      <c r="D5660" s="669" t="s">
        <v>460</v>
      </c>
      <c r="E5660" s="546">
        <v>752.508331</v>
      </c>
    </row>
    <row r="5661" spans="2:5" x14ac:dyDescent="0.25">
      <c r="B5661" s="545">
        <v>6912</v>
      </c>
      <c r="C5661" s="545" t="s">
        <v>3001</v>
      </c>
      <c r="D5661" s="669" t="s">
        <v>460</v>
      </c>
      <c r="E5661" s="546">
        <v>795</v>
      </c>
    </row>
    <row r="5662" spans="2:5" x14ac:dyDescent="0.25">
      <c r="B5662" s="545">
        <v>6913</v>
      </c>
      <c r="C5662" s="545" t="s">
        <v>4729</v>
      </c>
      <c r="D5662" s="669" t="s">
        <v>460</v>
      </c>
      <c r="E5662" s="546">
        <v>798.57500500000003</v>
      </c>
    </row>
    <row r="5663" spans="2:5" x14ac:dyDescent="0.25">
      <c r="B5663" s="545">
        <v>6914</v>
      </c>
      <c r="C5663" s="545" t="s">
        <v>3660</v>
      </c>
      <c r="D5663" s="669" t="s">
        <v>460</v>
      </c>
      <c r="E5663" s="546">
        <v>724.883331</v>
      </c>
    </row>
    <row r="5664" spans="2:5" x14ac:dyDescent="0.25">
      <c r="B5664" s="545">
        <v>6915</v>
      </c>
      <c r="C5664" s="545" t="s">
        <v>7080</v>
      </c>
      <c r="D5664" s="669" t="s">
        <v>460</v>
      </c>
      <c r="E5664" s="546">
        <v>791.15000899999995</v>
      </c>
    </row>
    <row r="5665" spans="2:5" x14ac:dyDescent="0.25">
      <c r="B5665" s="545">
        <v>6916</v>
      </c>
      <c r="C5665" s="545" t="s">
        <v>7366</v>
      </c>
      <c r="D5665" s="669" t="s">
        <v>460</v>
      </c>
      <c r="E5665" s="546">
        <v>823.27000099999998</v>
      </c>
    </row>
    <row r="5666" spans="2:5" x14ac:dyDescent="0.25">
      <c r="B5666" s="545">
        <v>6917</v>
      </c>
      <c r="C5666" s="545" t="s">
        <v>4823</v>
      </c>
      <c r="D5666" s="669" t="s">
        <v>460</v>
      </c>
      <c r="E5666" s="546">
        <v>805.66154100000006</v>
      </c>
    </row>
    <row r="5667" spans="2:5" x14ac:dyDescent="0.25">
      <c r="B5667" s="545">
        <v>6918</v>
      </c>
      <c r="C5667" s="545" t="s">
        <v>4932</v>
      </c>
      <c r="D5667" s="669" t="s">
        <v>460</v>
      </c>
      <c r="E5667" s="546">
        <v>815.00001499999996</v>
      </c>
    </row>
    <row r="5668" spans="2:5" x14ac:dyDescent="0.25">
      <c r="B5668" s="545">
        <v>6919</v>
      </c>
      <c r="C5668" s="545" t="s">
        <v>4792</v>
      </c>
      <c r="D5668" s="669" t="s">
        <v>460</v>
      </c>
      <c r="E5668" s="546">
        <v>802.89999399999999</v>
      </c>
    </row>
    <row r="5669" spans="2:5" x14ac:dyDescent="0.25">
      <c r="B5669" s="545">
        <v>6920</v>
      </c>
      <c r="C5669" s="545" t="s">
        <v>4209</v>
      </c>
      <c r="D5669" s="669" t="s">
        <v>460</v>
      </c>
      <c r="E5669" s="546">
        <v>758.11248799999998</v>
      </c>
    </row>
    <row r="5670" spans="2:5" x14ac:dyDescent="0.25">
      <c r="B5670" s="545">
        <v>6921</v>
      </c>
      <c r="C5670" s="545" t="s">
        <v>4240</v>
      </c>
      <c r="D5670" s="669" t="s">
        <v>460</v>
      </c>
      <c r="E5670" s="546">
        <v>760.34615899999994</v>
      </c>
    </row>
    <row r="5671" spans="2:5" x14ac:dyDescent="0.25">
      <c r="B5671" s="545">
        <v>6922</v>
      </c>
      <c r="C5671" s="545" t="s">
        <v>3907</v>
      </c>
      <c r="D5671" s="669" t="s">
        <v>460</v>
      </c>
      <c r="E5671" s="546">
        <v>739.5</v>
      </c>
    </row>
    <row r="5672" spans="2:5" x14ac:dyDescent="0.25">
      <c r="B5672" s="545">
        <v>6923</v>
      </c>
      <c r="C5672" s="545" t="s">
        <v>4582</v>
      </c>
      <c r="D5672" s="669" t="s">
        <v>460</v>
      </c>
      <c r="E5672" s="546">
        <v>786.60833200000002</v>
      </c>
    </row>
    <row r="5673" spans="2:5" x14ac:dyDescent="0.25">
      <c r="B5673" s="545">
        <v>6924</v>
      </c>
      <c r="C5673" s="545" t="s">
        <v>1316</v>
      </c>
      <c r="D5673" s="669" t="s">
        <v>460</v>
      </c>
      <c r="E5673" s="546">
        <v>610.54998799999998</v>
      </c>
    </row>
    <row r="5674" spans="2:5" x14ac:dyDescent="0.25">
      <c r="B5674" s="545">
        <v>6925</v>
      </c>
      <c r="C5674" s="545" t="s">
        <v>1539</v>
      </c>
      <c r="D5674" s="669" t="s">
        <v>460</v>
      </c>
      <c r="E5674" s="546">
        <v>622.81999499999995</v>
      </c>
    </row>
    <row r="5675" spans="2:5" x14ac:dyDescent="0.25">
      <c r="B5675" s="545">
        <v>6926</v>
      </c>
      <c r="C5675" s="545" t="s">
        <v>1387</v>
      </c>
      <c r="D5675" s="669" t="s">
        <v>460</v>
      </c>
      <c r="E5675" s="546">
        <v>614.46667500000001</v>
      </c>
    </row>
    <row r="5676" spans="2:5" x14ac:dyDescent="0.25">
      <c r="B5676" s="545">
        <v>6927</v>
      </c>
      <c r="C5676" s="545" t="s">
        <v>1418</v>
      </c>
      <c r="D5676" s="669" t="s">
        <v>460</v>
      </c>
      <c r="E5676" s="546">
        <v>616.37999300000001</v>
      </c>
    </row>
    <row r="5677" spans="2:5" x14ac:dyDescent="0.25">
      <c r="B5677" s="545">
        <v>6928</v>
      </c>
      <c r="C5677" s="545" t="s">
        <v>7228</v>
      </c>
      <c r="D5677" s="669" t="s">
        <v>460</v>
      </c>
      <c r="E5677" s="546">
        <v>701.54999799999996</v>
      </c>
    </row>
    <row r="5678" spans="2:5" x14ac:dyDescent="0.25">
      <c r="B5678" s="545">
        <v>6929</v>
      </c>
      <c r="C5678" s="545" t="s">
        <v>6917</v>
      </c>
      <c r="D5678" s="669" t="s">
        <v>460</v>
      </c>
      <c r="E5678" s="546">
        <v>645.74998500000004</v>
      </c>
    </row>
    <row r="5679" spans="2:5" x14ac:dyDescent="0.25">
      <c r="B5679" s="545">
        <v>6930</v>
      </c>
      <c r="C5679" s="545" t="s">
        <v>2201</v>
      </c>
      <c r="D5679" s="669" t="s">
        <v>460</v>
      </c>
      <c r="E5679" s="546">
        <v>652.97143600000004</v>
      </c>
    </row>
    <row r="5680" spans="2:5" x14ac:dyDescent="0.25">
      <c r="B5680" s="545">
        <v>6931</v>
      </c>
      <c r="C5680" s="545" t="s">
        <v>6593</v>
      </c>
      <c r="D5680" s="669" t="s">
        <v>460</v>
      </c>
      <c r="E5680" s="546">
        <v>608.30001800000002</v>
      </c>
    </row>
    <row r="5681" spans="2:5" x14ac:dyDescent="0.25">
      <c r="B5681" s="545">
        <v>6932</v>
      </c>
      <c r="C5681" s="545" t="s">
        <v>3396</v>
      </c>
      <c r="D5681" s="669" t="s">
        <v>460</v>
      </c>
      <c r="E5681" s="546">
        <v>710.72500600000001</v>
      </c>
    </row>
    <row r="5682" spans="2:5" x14ac:dyDescent="0.25">
      <c r="B5682" s="545">
        <v>6933</v>
      </c>
      <c r="C5682" s="545" t="s">
        <v>2503</v>
      </c>
      <c r="D5682" s="669" t="s">
        <v>460</v>
      </c>
      <c r="E5682" s="546">
        <v>665.77777100000003</v>
      </c>
    </row>
    <row r="5683" spans="2:5" x14ac:dyDescent="0.25">
      <c r="B5683" s="545">
        <v>6934</v>
      </c>
      <c r="C5683" s="545" t="s">
        <v>1016</v>
      </c>
      <c r="D5683" s="669" t="s">
        <v>460</v>
      </c>
      <c r="E5683" s="546">
        <v>750.57778599999995</v>
      </c>
    </row>
    <row r="5684" spans="2:5" x14ac:dyDescent="0.25">
      <c r="B5684" s="545">
        <v>6935</v>
      </c>
      <c r="C5684" s="545" t="s">
        <v>3200</v>
      </c>
      <c r="D5684" s="669" t="s">
        <v>460</v>
      </c>
      <c r="E5684" s="546">
        <v>701.12223300000005</v>
      </c>
    </row>
    <row r="5685" spans="2:5" x14ac:dyDescent="0.25">
      <c r="B5685" s="545">
        <v>6936</v>
      </c>
      <c r="C5685" s="545" t="s">
        <v>3884</v>
      </c>
      <c r="D5685" s="669" t="s">
        <v>460</v>
      </c>
      <c r="E5685" s="546">
        <v>737.86249499999997</v>
      </c>
    </row>
    <row r="5686" spans="2:5" x14ac:dyDescent="0.25">
      <c r="B5686" s="545">
        <v>6937</v>
      </c>
      <c r="C5686" s="545" t="s">
        <v>4775</v>
      </c>
      <c r="D5686" s="669" t="s">
        <v>460</v>
      </c>
      <c r="E5686" s="546">
        <v>802</v>
      </c>
    </row>
    <row r="5687" spans="2:5" x14ac:dyDescent="0.25">
      <c r="B5687" s="545">
        <v>6938</v>
      </c>
      <c r="C5687" s="545" t="s">
        <v>4232</v>
      </c>
      <c r="D5687" s="669" t="s">
        <v>460</v>
      </c>
      <c r="E5687" s="546">
        <v>759.86665900000003</v>
      </c>
    </row>
    <row r="5688" spans="2:5" x14ac:dyDescent="0.25">
      <c r="B5688" s="545">
        <v>6939</v>
      </c>
      <c r="C5688" s="545" t="s">
        <v>3566</v>
      </c>
      <c r="D5688" s="669" t="s">
        <v>460</v>
      </c>
      <c r="E5688" s="546">
        <v>719.49999000000003</v>
      </c>
    </row>
    <row r="5689" spans="2:5" x14ac:dyDescent="0.25">
      <c r="B5689" s="545">
        <v>6940</v>
      </c>
      <c r="C5689" s="545" t="s">
        <v>3204</v>
      </c>
      <c r="D5689" s="669" t="s">
        <v>460</v>
      </c>
      <c r="E5689" s="546">
        <v>701.30001800000002</v>
      </c>
    </row>
    <row r="5690" spans="2:5" x14ac:dyDescent="0.25">
      <c r="B5690" s="545">
        <v>6941</v>
      </c>
      <c r="C5690" s="545" t="s">
        <v>3830</v>
      </c>
      <c r="D5690" s="669" t="s">
        <v>460</v>
      </c>
      <c r="E5690" s="546">
        <v>734.62307999999996</v>
      </c>
    </row>
    <row r="5691" spans="2:5" x14ac:dyDescent="0.25">
      <c r="B5691" s="545">
        <v>6942</v>
      </c>
      <c r="C5691" s="545" t="s">
        <v>4093</v>
      </c>
      <c r="D5691" s="669" t="s">
        <v>460</v>
      </c>
      <c r="E5691" s="546">
        <v>750.56000400000005</v>
      </c>
    </row>
    <row r="5692" spans="2:5" x14ac:dyDescent="0.25">
      <c r="B5692" s="545">
        <v>6943</v>
      </c>
      <c r="C5692" s="545" t="s">
        <v>4040</v>
      </c>
      <c r="D5692" s="669" t="s">
        <v>460</v>
      </c>
      <c r="E5692" s="546">
        <v>747.42499499999997</v>
      </c>
    </row>
    <row r="5693" spans="2:5" x14ac:dyDescent="0.25">
      <c r="B5693" s="545">
        <v>6944</v>
      </c>
      <c r="C5693" s="545" t="s">
        <v>2572</v>
      </c>
      <c r="D5693" s="669" t="s">
        <v>460</v>
      </c>
      <c r="E5693" s="546">
        <v>716.67999299999997</v>
      </c>
    </row>
    <row r="5694" spans="2:5" x14ac:dyDescent="0.25">
      <c r="B5694" s="545">
        <v>6945</v>
      </c>
      <c r="C5694" s="545" t="s">
        <v>2493</v>
      </c>
      <c r="D5694" s="669" t="s">
        <v>460</v>
      </c>
      <c r="E5694" s="546">
        <v>665.53333199999997</v>
      </c>
    </row>
    <row r="5695" spans="2:5" x14ac:dyDescent="0.25">
      <c r="B5695" s="545">
        <v>6946</v>
      </c>
      <c r="C5695" s="545" t="s">
        <v>7611</v>
      </c>
      <c r="D5695" s="669" t="s">
        <v>460</v>
      </c>
      <c r="E5695" s="546">
        <v>686.32307300000002</v>
      </c>
    </row>
    <row r="5696" spans="2:5" x14ac:dyDescent="0.25">
      <c r="B5696" s="545">
        <v>6947</v>
      </c>
      <c r="C5696" s="545" t="s">
        <v>2705</v>
      </c>
      <c r="D5696" s="669" t="s">
        <v>460</v>
      </c>
      <c r="E5696" s="546">
        <v>676.03635999999995</v>
      </c>
    </row>
    <row r="5697" spans="2:5" x14ac:dyDescent="0.25">
      <c r="B5697" s="545">
        <v>6948</v>
      </c>
      <c r="C5697" s="545" t="s">
        <v>6519</v>
      </c>
      <c r="D5697" s="669" t="s">
        <v>460</v>
      </c>
      <c r="E5697" s="546">
        <v>704.55999799999995</v>
      </c>
    </row>
    <row r="5698" spans="2:5" x14ac:dyDescent="0.25">
      <c r="B5698" s="545">
        <v>6949</v>
      </c>
      <c r="C5698" s="545" t="s">
        <v>7422</v>
      </c>
      <c r="D5698" s="669" t="s">
        <v>460</v>
      </c>
      <c r="E5698" s="546">
        <v>714.41999499999997</v>
      </c>
    </row>
    <row r="5699" spans="2:5" x14ac:dyDescent="0.25">
      <c r="B5699" s="545">
        <v>6950</v>
      </c>
      <c r="C5699" s="545" t="s">
        <v>4002</v>
      </c>
      <c r="D5699" s="669" t="s">
        <v>460</v>
      </c>
      <c r="E5699" s="546">
        <v>744.90000999999995</v>
      </c>
    </row>
    <row r="5700" spans="2:5" x14ac:dyDescent="0.25">
      <c r="B5700" s="545">
        <v>6951</v>
      </c>
      <c r="C5700" s="545" t="s">
        <v>2429</v>
      </c>
      <c r="D5700" s="669" t="s">
        <v>460</v>
      </c>
      <c r="E5700" s="546">
        <v>663.56999499999995</v>
      </c>
    </row>
    <row r="5701" spans="2:5" x14ac:dyDescent="0.25">
      <c r="B5701" s="545">
        <v>6952</v>
      </c>
      <c r="C5701" s="545" t="s">
        <v>2560</v>
      </c>
      <c r="D5701" s="669" t="s">
        <v>460</v>
      </c>
      <c r="E5701" s="546">
        <v>668.79998799999998</v>
      </c>
    </row>
    <row r="5702" spans="2:5" x14ac:dyDescent="0.25">
      <c r="B5702" s="545">
        <v>6953</v>
      </c>
      <c r="C5702" s="545" t="s">
        <v>2147</v>
      </c>
      <c r="D5702" s="669" t="s">
        <v>460</v>
      </c>
      <c r="E5702" s="546">
        <v>650.60001599999998</v>
      </c>
    </row>
    <row r="5703" spans="2:5" x14ac:dyDescent="0.25">
      <c r="B5703" s="545">
        <v>6954</v>
      </c>
      <c r="C5703" s="545" t="s">
        <v>2442</v>
      </c>
      <c r="D5703" s="669" t="s">
        <v>460</v>
      </c>
      <c r="E5703" s="546">
        <v>663.86000999999999</v>
      </c>
    </row>
    <row r="5704" spans="2:5" x14ac:dyDescent="0.25">
      <c r="B5704" s="545">
        <v>6955</v>
      </c>
      <c r="C5704" s="545" t="s">
        <v>2264</v>
      </c>
      <c r="D5704" s="669" t="s">
        <v>460</v>
      </c>
      <c r="E5704" s="546">
        <v>655.93333900000005</v>
      </c>
    </row>
    <row r="5705" spans="2:5" x14ac:dyDescent="0.25">
      <c r="B5705" s="545">
        <v>6956</v>
      </c>
      <c r="C5705" s="545" t="s">
        <v>2480</v>
      </c>
      <c r="D5705" s="669" t="s">
        <v>460</v>
      </c>
      <c r="E5705" s="546">
        <v>665.05833399999995</v>
      </c>
    </row>
    <row r="5706" spans="2:5" x14ac:dyDescent="0.25">
      <c r="B5706" s="545">
        <v>6957</v>
      </c>
      <c r="C5706" s="545" t="s">
        <v>2067</v>
      </c>
      <c r="D5706" s="669" t="s">
        <v>460</v>
      </c>
      <c r="E5706" s="546">
        <v>646.12499200000002</v>
      </c>
    </row>
    <row r="5707" spans="2:5" x14ac:dyDescent="0.25">
      <c r="B5707" s="545">
        <v>6958</v>
      </c>
      <c r="C5707" s="545" t="s">
        <v>1900</v>
      </c>
      <c r="D5707" s="669" t="s">
        <v>460</v>
      </c>
      <c r="E5707" s="546">
        <v>639.80000399999994</v>
      </c>
    </row>
    <row r="5708" spans="2:5" x14ac:dyDescent="0.25">
      <c r="B5708" s="545">
        <v>6959</v>
      </c>
      <c r="C5708" s="545" t="s">
        <v>2774</v>
      </c>
      <c r="D5708" s="669" t="s">
        <v>460</v>
      </c>
      <c r="E5708" s="546">
        <v>679.490906</v>
      </c>
    </row>
    <row r="5709" spans="2:5" x14ac:dyDescent="0.25">
      <c r="B5709" s="545">
        <v>6960</v>
      </c>
      <c r="C5709" s="545" t="s">
        <v>2733</v>
      </c>
      <c r="D5709" s="669" t="s">
        <v>460</v>
      </c>
      <c r="E5709" s="546">
        <v>677.370588</v>
      </c>
    </row>
    <row r="5710" spans="2:5" x14ac:dyDescent="0.25">
      <c r="B5710" s="545">
        <v>6961</v>
      </c>
      <c r="C5710" s="545" t="s">
        <v>2677</v>
      </c>
      <c r="D5710" s="669" t="s">
        <v>460</v>
      </c>
      <c r="E5710" s="546">
        <v>674.98000500000001</v>
      </c>
    </row>
    <row r="5711" spans="2:5" x14ac:dyDescent="0.25">
      <c r="B5711" s="545">
        <v>6962</v>
      </c>
      <c r="C5711" s="545" t="s">
        <v>2919</v>
      </c>
      <c r="D5711" s="669" t="s">
        <v>460</v>
      </c>
      <c r="E5711" s="546">
        <v>686.50000699999998</v>
      </c>
    </row>
    <row r="5712" spans="2:5" x14ac:dyDescent="0.25">
      <c r="B5712" s="545">
        <v>6963</v>
      </c>
      <c r="C5712" s="545" t="s">
        <v>2275</v>
      </c>
      <c r="D5712" s="669" t="s">
        <v>460</v>
      </c>
      <c r="E5712" s="546">
        <v>695.83332800000005</v>
      </c>
    </row>
    <row r="5713" spans="2:5" x14ac:dyDescent="0.25">
      <c r="B5713" s="545">
        <v>6964</v>
      </c>
      <c r="C5713" s="545" t="s">
        <v>2857</v>
      </c>
      <c r="D5713" s="669" t="s">
        <v>460</v>
      </c>
      <c r="E5713" s="546">
        <v>684.27500199999997</v>
      </c>
    </row>
    <row r="5714" spans="2:5" x14ac:dyDescent="0.25">
      <c r="B5714" s="545">
        <v>6965</v>
      </c>
      <c r="C5714" s="545" t="s">
        <v>2907</v>
      </c>
      <c r="D5714" s="669" t="s">
        <v>460</v>
      </c>
      <c r="E5714" s="546">
        <v>686.13334099999997</v>
      </c>
    </row>
    <row r="5715" spans="2:5" x14ac:dyDescent="0.25">
      <c r="B5715" s="545">
        <v>6966</v>
      </c>
      <c r="C5715" s="545" t="s">
        <v>2968</v>
      </c>
      <c r="D5715" s="669" t="s">
        <v>460</v>
      </c>
      <c r="E5715" s="546">
        <v>688.88000499999998</v>
      </c>
    </row>
    <row r="5716" spans="2:5" x14ac:dyDescent="0.25">
      <c r="B5716" s="545">
        <v>6967</v>
      </c>
      <c r="C5716" s="545" t="s">
        <v>2853</v>
      </c>
      <c r="D5716" s="669" t="s">
        <v>460</v>
      </c>
      <c r="E5716" s="546">
        <v>684.04999399999997</v>
      </c>
    </row>
    <row r="5717" spans="2:5" x14ac:dyDescent="0.25">
      <c r="B5717" s="545">
        <v>6968</v>
      </c>
      <c r="C5717" s="545" t="s">
        <v>1162</v>
      </c>
      <c r="D5717" s="669" t="s">
        <v>460</v>
      </c>
      <c r="E5717" s="546">
        <v>682.23333700000001</v>
      </c>
    </row>
    <row r="5718" spans="2:5" x14ac:dyDescent="0.25">
      <c r="B5718" s="545">
        <v>6969</v>
      </c>
      <c r="C5718" s="545" t="s">
        <v>7570</v>
      </c>
      <c r="D5718" s="669" t="s">
        <v>460</v>
      </c>
      <c r="E5718" s="546">
        <v>698.86000999999999</v>
      </c>
    </row>
    <row r="5719" spans="2:5" x14ac:dyDescent="0.25">
      <c r="B5719" s="545">
        <v>6970</v>
      </c>
      <c r="C5719" s="545" t="s">
        <v>3030</v>
      </c>
      <c r="D5719" s="669" t="s">
        <v>460</v>
      </c>
      <c r="E5719" s="546">
        <v>692.43333900000005</v>
      </c>
    </row>
    <row r="5720" spans="2:5" x14ac:dyDescent="0.25">
      <c r="B5720" s="545">
        <v>6971</v>
      </c>
      <c r="C5720" s="545" t="s">
        <v>2952</v>
      </c>
      <c r="D5720" s="669" t="s">
        <v>460</v>
      </c>
      <c r="E5720" s="546">
        <v>687.98332700000003</v>
      </c>
    </row>
    <row r="5721" spans="2:5" x14ac:dyDescent="0.25">
      <c r="B5721" s="545">
        <v>6972</v>
      </c>
      <c r="C5721" s="545" t="s">
        <v>769</v>
      </c>
      <c r="D5721" s="669" t="s">
        <v>460</v>
      </c>
      <c r="E5721" s="546">
        <v>678.45001200000002</v>
      </c>
    </row>
    <row r="5722" spans="2:5" x14ac:dyDescent="0.25">
      <c r="B5722" s="545">
        <v>6973</v>
      </c>
      <c r="C5722" s="545" t="s">
        <v>2708</v>
      </c>
      <c r="D5722" s="669" t="s">
        <v>460</v>
      </c>
      <c r="E5722" s="546">
        <v>676.15000899999995</v>
      </c>
    </row>
    <row r="5723" spans="2:5" x14ac:dyDescent="0.25">
      <c r="B5723" s="545">
        <v>6974</v>
      </c>
      <c r="C5723" s="545" t="s">
        <v>3171</v>
      </c>
      <c r="D5723" s="669" t="s">
        <v>460</v>
      </c>
      <c r="E5723" s="546">
        <v>700.93333900000005</v>
      </c>
    </row>
    <row r="5724" spans="2:5" x14ac:dyDescent="0.25">
      <c r="B5724" s="545">
        <v>6975</v>
      </c>
      <c r="C5724" s="545" t="s">
        <v>2117</v>
      </c>
      <c r="D5724" s="669" t="s">
        <v>460</v>
      </c>
      <c r="E5724" s="546">
        <v>694.80000800000005</v>
      </c>
    </row>
    <row r="5725" spans="2:5" x14ac:dyDescent="0.25">
      <c r="B5725" s="545">
        <v>6976</v>
      </c>
      <c r="C5725" s="545" t="s">
        <v>7229</v>
      </c>
      <c r="D5725" s="669" t="s">
        <v>460</v>
      </c>
      <c r="E5725" s="546">
        <v>699.600009</v>
      </c>
    </row>
    <row r="5726" spans="2:5" x14ac:dyDescent="0.25">
      <c r="B5726" s="545">
        <v>6977</v>
      </c>
      <c r="C5726" s="545" t="s">
        <v>3531</v>
      </c>
      <c r="D5726" s="669" t="s">
        <v>460</v>
      </c>
      <c r="E5726" s="546">
        <v>717.90000399999997</v>
      </c>
    </row>
    <row r="5727" spans="2:5" x14ac:dyDescent="0.25">
      <c r="B5727" s="545">
        <v>6978</v>
      </c>
      <c r="C5727" s="545" t="s">
        <v>6510</v>
      </c>
      <c r="D5727" s="669" t="s">
        <v>460</v>
      </c>
      <c r="E5727" s="546">
        <v>668.64615100000003</v>
      </c>
    </row>
    <row r="5728" spans="2:5" x14ac:dyDescent="0.25">
      <c r="B5728" s="545">
        <v>6979</v>
      </c>
      <c r="C5728" s="545" t="s">
        <v>2679</v>
      </c>
      <c r="D5728" s="669" t="s">
        <v>460</v>
      </c>
      <c r="E5728" s="546">
        <v>675.14999399999999</v>
      </c>
    </row>
    <row r="5729" spans="2:5" x14ac:dyDescent="0.25">
      <c r="B5729" s="545">
        <v>6980</v>
      </c>
      <c r="C5729" s="545" t="s">
        <v>2829</v>
      </c>
      <c r="D5729" s="669" t="s">
        <v>460</v>
      </c>
      <c r="E5729" s="546">
        <v>682.61429299999998</v>
      </c>
    </row>
    <row r="5730" spans="2:5" x14ac:dyDescent="0.25">
      <c r="B5730" s="545">
        <v>6981</v>
      </c>
      <c r="C5730" s="545" t="s">
        <v>2479</v>
      </c>
      <c r="D5730" s="669" t="s">
        <v>460</v>
      </c>
      <c r="E5730" s="546">
        <v>665.03749800000003</v>
      </c>
    </row>
    <row r="5731" spans="2:5" x14ac:dyDescent="0.25">
      <c r="B5731" s="545">
        <v>6982</v>
      </c>
      <c r="C5731" s="545" t="s">
        <v>2854</v>
      </c>
      <c r="D5731" s="669" t="s">
        <v>460</v>
      </c>
      <c r="E5731" s="546">
        <v>684.08749399999999</v>
      </c>
    </row>
    <row r="5732" spans="2:5" x14ac:dyDescent="0.25">
      <c r="B5732" s="545">
        <v>6983</v>
      </c>
      <c r="C5732" s="545" t="s">
        <v>2990</v>
      </c>
      <c r="D5732" s="669" t="s">
        <v>445</v>
      </c>
      <c r="E5732" s="546">
        <v>690.22727299999997</v>
      </c>
    </row>
    <row r="5733" spans="2:5" x14ac:dyDescent="0.25">
      <c r="B5733" s="545">
        <v>6984</v>
      </c>
      <c r="C5733" s="545" t="s">
        <v>3040</v>
      </c>
      <c r="D5733" s="669" t="s">
        <v>445</v>
      </c>
      <c r="E5733" s="546">
        <v>710.62000699999999</v>
      </c>
    </row>
    <row r="5734" spans="2:5" x14ac:dyDescent="0.25">
      <c r="B5734" s="545">
        <v>6985</v>
      </c>
      <c r="C5734" s="545" t="s">
        <v>3847</v>
      </c>
      <c r="D5734" s="669" t="s">
        <v>445</v>
      </c>
      <c r="E5734" s="546">
        <v>735.55999799999995</v>
      </c>
    </row>
    <row r="5735" spans="2:5" x14ac:dyDescent="0.25">
      <c r="B5735" s="545">
        <v>6986</v>
      </c>
      <c r="C5735" s="545" t="s">
        <v>2914</v>
      </c>
      <c r="D5735" s="669" t="s">
        <v>445</v>
      </c>
      <c r="E5735" s="546">
        <v>686.31333400000005</v>
      </c>
    </row>
    <row r="5736" spans="2:5" x14ac:dyDescent="0.25">
      <c r="B5736" s="545">
        <v>6987</v>
      </c>
      <c r="C5736" s="545" t="s">
        <v>3048</v>
      </c>
      <c r="D5736" s="669" t="s">
        <v>445</v>
      </c>
      <c r="E5736" s="546">
        <v>693.57999299999994</v>
      </c>
    </row>
    <row r="5737" spans="2:5" x14ac:dyDescent="0.25">
      <c r="B5737" s="545">
        <v>6988</v>
      </c>
      <c r="C5737" s="545" t="s">
        <v>3919</v>
      </c>
      <c r="D5737" s="669" t="s">
        <v>445</v>
      </c>
      <c r="E5737" s="546">
        <v>740.04998799999998</v>
      </c>
    </row>
    <row r="5738" spans="2:5" x14ac:dyDescent="0.25">
      <c r="B5738" s="545">
        <v>6989</v>
      </c>
      <c r="C5738" s="545" t="s">
        <v>2862</v>
      </c>
      <c r="D5738" s="669" t="s">
        <v>445</v>
      </c>
      <c r="E5738" s="546">
        <v>699.29999699999996</v>
      </c>
    </row>
    <row r="5739" spans="2:5" x14ac:dyDescent="0.25">
      <c r="B5739" s="545">
        <v>6990</v>
      </c>
      <c r="C5739" s="545" t="s">
        <v>7110</v>
      </c>
      <c r="D5739" s="669" t="s">
        <v>445</v>
      </c>
      <c r="E5739" s="546">
        <v>737.14000199999998</v>
      </c>
    </row>
    <row r="5740" spans="2:5" x14ac:dyDescent="0.25">
      <c r="B5740" s="545">
        <v>6991</v>
      </c>
      <c r="C5740" s="545" t="s">
        <v>3287</v>
      </c>
      <c r="D5740" s="669" t="s">
        <v>450</v>
      </c>
      <c r="E5740" s="546">
        <v>705.10000300000002</v>
      </c>
    </row>
    <row r="5741" spans="2:5" x14ac:dyDescent="0.25">
      <c r="B5741" s="545">
        <v>6992</v>
      </c>
      <c r="C5741" s="545" t="s">
        <v>3409</v>
      </c>
      <c r="D5741" s="669" t="s">
        <v>450</v>
      </c>
      <c r="E5741" s="546">
        <v>711.73331700000006</v>
      </c>
    </row>
    <row r="5742" spans="2:5" x14ac:dyDescent="0.25">
      <c r="B5742" s="545">
        <v>6993</v>
      </c>
      <c r="C5742" s="545" t="s">
        <v>3432</v>
      </c>
      <c r="D5742" s="669" t="s">
        <v>445</v>
      </c>
      <c r="E5742" s="546">
        <v>712.5</v>
      </c>
    </row>
    <row r="5743" spans="2:5" x14ac:dyDescent="0.25">
      <c r="B5743" s="545">
        <v>6994</v>
      </c>
      <c r="C5743" s="545" t="s">
        <v>3891</v>
      </c>
      <c r="D5743" s="669" t="s">
        <v>450</v>
      </c>
      <c r="E5743" s="546">
        <v>738.1</v>
      </c>
    </row>
    <row r="5744" spans="2:5" x14ac:dyDescent="0.25">
      <c r="B5744" s="545">
        <v>6995</v>
      </c>
      <c r="C5744" s="545" t="s">
        <v>1981</v>
      </c>
      <c r="D5744" s="669" t="s">
        <v>445</v>
      </c>
      <c r="E5744" s="546">
        <v>746.38570700000002</v>
      </c>
    </row>
    <row r="5745" spans="2:5" x14ac:dyDescent="0.25">
      <c r="B5745" s="545">
        <v>6996</v>
      </c>
      <c r="C5745" s="545" t="s">
        <v>3059</v>
      </c>
      <c r="D5745" s="669" t="s">
        <v>445</v>
      </c>
      <c r="E5745" s="546">
        <v>694</v>
      </c>
    </row>
    <row r="5746" spans="2:5" x14ac:dyDescent="0.25">
      <c r="B5746" s="545">
        <v>6997</v>
      </c>
      <c r="C5746" s="545" t="s">
        <v>4117</v>
      </c>
      <c r="D5746" s="669" t="s">
        <v>445</v>
      </c>
      <c r="E5746" s="546">
        <v>751.89999699999998</v>
      </c>
    </row>
    <row r="5747" spans="2:5" x14ac:dyDescent="0.25">
      <c r="B5747" s="545">
        <v>6998</v>
      </c>
      <c r="C5747" s="545" t="s">
        <v>3260</v>
      </c>
      <c r="D5747" s="669" t="s">
        <v>445</v>
      </c>
      <c r="E5747" s="546">
        <v>703.59999600000003</v>
      </c>
    </row>
    <row r="5748" spans="2:5" x14ac:dyDescent="0.25">
      <c r="B5748" s="545">
        <v>6999</v>
      </c>
      <c r="C5748" s="545" t="s">
        <v>3331</v>
      </c>
      <c r="D5748" s="669" t="s">
        <v>445</v>
      </c>
      <c r="E5748" s="546">
        <v>707.5</v>
      </c>
    </row>
    <row r="5749" spans="2:5" x14ac:dyDescent="0.25">
      <c r="B5749" s="545">
        <v>7000</v>
      </c>
      <c r="C5749" s="545" t="s">
        <v>3285</v>
      </c>
      <c r="D5749" s="669" t="s">
        <v>445</v>
      </c>
      <c r="E5749" s="546">
        <v>704.82857000000001</v>
      </c>
    </row>
    <row r="5750" spans="2:5" x14ac:dyDescent="0.25">
      <c r="B5750" s="545">
        <v>7001</v>
      </c>
      <c r="C5750" s="545" t="s">
        <v>3854</v>
      </c>
      <c r="D5750" s="669" t="s">
        <v>445</v>
      </c>
      <c r="E5750" s="546">
        <v>735.95999800000004</v>
      </c>
    </row>
    <row r="5751" spans="2:5" x14ac:dyDescent="0.25">
      <c r="B5751" s="545">
        <v>7002</v>
      </c>
      <c r="C5751" s="545" t="s">
        <v>4068</v>
      </c>
      <c r="D5751" s="669" t="s">
        <v>445</v>
      </c>
      <c r="E5751" s="546">
        <v>749.26249700000005</v>
      </c>
    </row>
    <row r="5752" spans="2:5" x14ac:dyDescent="0.25">
      <c r="B5752" s="545">
        <v>7003</v>
      </c>
      <c r="C5752" s="545" t="s">
        <v>2972</v>
      </c>
      <c r="D5752" s="669" t="s">
        <v>445</v>
      </c>
      <c r="E5752" s="546">
        <v>751.93076699999995</v>
      </c>
    </row>
    <row r="5753" spans="2:5" x14ac:dyDescent="0.25">
      <c r="B5753" s="545">
        <v>7004</v>
      </c>
      <c r="C5753" s="545" t="s">
        <v>3802</v>
      </c>
      <c r="D5753" s="669" t="s">
        <v>445</v>
      </c>
      <c r="E5753" s="546">
        <v>733.06667100000004</v>
      </c>
    </row>
    <row r="5754" spans="2:5" x14ac:dyDescent="0.25">
      <c r="B5754" s="545">
        <v>7005</v>
      </c>
      <c r="C5754" s="545" t="s">
        <v>4138</v>
      </c>
      <c r="D5754" s="669" t="s">
        <v>445</v>
      </c>
      <c r="E5754" s="546">
        <v>753.214294</v>
      </c>
    </row>
    <row r="5755" spans="2:5" x14ac:dyDescent="0.25">
      <c r="B5755" s="545">
        <v>7006</v>
      </c>
      <c r="C5755" s="545" t="s">
        <v>4197</v>
      </c>
      <c r="D5755" s="669" t="s">
        <v>445</v>
      </c>
      <c r="E5755" s="546">
        <v>757.52856399999996</v>
      </c>
    </row>
    <row r="5756" spans="2:5" x14ac:dyDescent="0.25">
      <c r="B5756" s="545">
        <v>7007</v>
      </c>
      <c r="C5756" s="545" t="s">
        <v>3116</v>
      </c>
      <c r="D5756" s="669" t="s">
        <v>385</v>
      </c>
      <c r="E5756" s="546">
        <v>696.85000600000001</v>
      </c>
    </row>
    <row r="5757" spans="2:5" x14ac:dyDescent="0.25">
      <c r="B5757" s="545">
        <v>7008</v>
      </c>
      <c r="C5757" s="545" t="s">
        <v>3431</v>
      </c>
      <c r="D5757" s="669" t="s">
        <v>385</v>
      </c>
      <c r="E5757" s="546">
        <v>712.49999400000002</v>
      </c>
    </row>
    <row r="5758" spans="2:5" x14ac:dyDescent="0.25">
      <c r="B5758" s="545">
        <v>7009</v>
      </c>
      <c r="C5758" s="545" t="s">
        <v>7047</v>
      </c>
      <c r="D5758" s="669" t="s">
        <v>385</v>
      </c>
      <c r="E5758" s="546">
        <v>622.71538399999997</v>
      </c>
    </row>
    <row r="5759" spans="2:5" x14ac:dyDescent="0.25">
      <c r="B5759" s="545">
        <v>7010</v>
      </c>
      <c r="C5759" s="545" t="s">
        <v>2086</v>
      </c>
      <c r="D5759" s="669" t="s">
        <v>385</v>
      </c>
      <c r="E5759" s="546">
        <v>683.30000600000005</v>
      </c>
    </row>
    <row r="5760" spans="2:5" x14ac:dyDescent="0.25">
      <c r="B5760" s="545">
        <v>7011</v>
      </c>
      <c r="C5760" s="545" t="s">
        <v>2877</v>
      </c>
      <c r="D5760" s="669" t="s">
        <v>385</v>
      </c>
      <c r="E5760" s="546">
        <v>684.96001000000001</v>
      </c>
    </row>
    <row r="5761" spans="2:5" x14ac:dyDescent="0.25">
      <c r="B5761" s="545">
        <v>7012</v>
      </c>
      <c r="C5761" s="545" t="s">
        <v>2191</v>
      </c>
      <c r="D5761" s="669" t="s">
        <v>385</v>
      </c>
      <c r="E5761" s="546">
        <v>691.40000199999997</v>
      </c>
    </row>
    <row r="5762" spans="2:5" x14ac:dyDescent="0.25">
      <c r="B5762" s="545">
        <v>7013</v>
      </c>
      <c r="C5762" s="545" t="s">
        <v>1435</v>
      </c>
      <c r="D5762" s="669" t="s">
        <v>385</v>
      </c>
      <c r="E5762" s="546">
        <v>707.04998799999998</v>
      </c>
    </row>
    <row r="5763" spans="2:5" x14ac:dyDescent="0.25">
      <c r="B5763" s="545">
        <v>7014</v>
      </c>
      <c r="C5763" s="545" t="s">
        <v>1919</v>
      </c>
      <c r="D5763" s="669" t="s">
        <v>385</v>
      </c>
      <c r="E5763" s="546">
        <v>640.72500600000001</v>
      </c>
    </row>
    <row r="5764" spans="2:5" x14ac:dyDescent="0.25">
      <c r="B5764" s="545">
        <v>7015</v>
      </c>
      <c r="C5764" s="545" t="s">
        <v>1698</v>
      </c>
      <c r="D5764" s="669" t="s">
        <v>385</v>
      </c>
      <c r="E5764" s="546">
        <v>632.20001200000002</v>
      </c>
    </row>
    <row r="5765" spans="2:5" x14ac:dyDescent="0.25">
      <c r="B5765" s="545">
        <v>7016</v>
      </c>
      <c r="C5765" s="545" t="s">
        <v>2233</v>
      </c>
      <c r="D5765" s="669" t="s">
        <v>385</v>
      </c>
      <c r="E5765" s="546">
        <v>654.57143699999995</v>
      </c>
    </row>
    <row r="5766" spans="2:5" x14ac:dyDescent="0.25">
      <c r="B5766" s="545">
        <v>7017</v>
      </c>
      <c r="C5766" s="545" t="s">
        <v>2014</v>
      </c>
      <c r="D5766" s="669" t="s">
        <v>385</v>
      </c>
      <c r="E5766" s="546">
        <v>643.86665900000003</v>
      </c>
    </row>
    <row r="5767" spans="2:5" x14ac:dyDescent="0.25">
      <c r="B5767" s="545">
        <v>7018</v>
      </c>
      <c r="C5767" s="545" t="s">
        <v>3084</v>
      </c>
      <c r="D5767" s="669" t="s">
        <v>385</v>
      </c>
      <c r="E5767" s="546">
        <v>695.22857699999997</v>
      </c>
    </row>
    <row r="5768" spans="2:5" x14ac:dyDescent="0.25">
      <c r="B5768" s="545">
        <v>7019</v>
      </c>
      <c r="C5768" s="545" t="s">
        <v>1285</v>
      </c>
      <c r="D5768" s="669" t="s">
        <v>385</v>
      </c>
      <c r="E5768" s="546">
        <v>644.79998799999998</v>
      </c>
    </row>
    <row r="5769" spans="2:5" x14ac:dyDescent="0.25">
      <c r="B5769" s="545">
        <v>7020</v>
      </c>
      <c r="C5769" s="545" t="s">
        <v>7491</v>
      </c>
      <c r="D5769" s="669" t="s">
        <v>385</v>
      </c>
      <c r="E5769" s="546">
        <v>664.76666299999999</v>
      </c>
    </row>
    <row r="5770" spans="2:5" x14ac:dyDescent="0.25">
      <c r="B5770" s="545">
        <v>7021</v>
      </c>
      <c r="C5770" s="545" t="s">
        <v>2600</v>
      </c>
      <c r="D5770" s="669" t="s">
        <v>385</v>
      </c>
      <c r="E5770" s="546">
        <v>670.70588199999997</v>
      </c>
    </row>
    <row r="5771" spans="2:5" x14ac:dyDescent="0.25">
      <c r="B5771" s="545">
        <v>7022</v>
      </c>
      <c r="C5771" s="545" t="s">
        <v>3047</v>
      </c>
      <c r="D5771" s="669" t="s">
        <v>385</v>
      </c>
      <c r="E5771" s="546">
        <v>693.54998799999998</v>
      </c>
    </row>
    <row r="5772" spans="2:5" x14ac:dyDescent="0.25">
      <c r="B5772" s="545">
        <v>7023</v>
      </c>
      <c r="C5772" s="545" t="s">
        <v>3402</v>
      </c>
      <c r="D5772" s="669" t="s">
        <v>385</v>
      </c>
      <c r="E5772" s="546">
        <v>711.07499700000005</v>
      </c>
    </row>
    <row r="5773" spans="2:5" x14ac:dyDescent="0.25">
      <c r="B5773" s="545">
        <v>7024</v>
      </c>
      <c r="C5773" s="545" t="s">
        <v>2927</v>
      </c>
      <c r="D5773" s="669" t="s">
        <v>385</v>
      </c>
      <c r="E5773" s="546">
        <v>687</v>
      </c>
    </row>
    <row r="5774" spans="2:5" x14ac:dyDescent="0.25">
      <c r="B5774" s="545">
        <v>7025</v>
      </c>
      <c r="C5774" s="545" t="s">
        <v>3683</v>
      </c>
      <c r="D5774" s="669" t="s">
        <v>385</v>
      </c>
      <c r="E5774" s="546">
        <v>726.31668100000002</v>
      </c>
    </row>
    <row r="5775" spans="2:5" x14ac:dyDescent="0.25">
      <c r="B5775" s="545">
        <v>7026</v>
      </c>
      <c r="C5775" s="545" t="s">
        <v>3982</v>
      </c>
      <c r="D5775" s="669" t="s">
        <v>385</v>
      </c>
      <c r="E5775" s="546">
        <v>744</v>
      </c>
    </row>
    <row r="5776" spans="2:5" x14ac:dyDescent="0.25">
      <c r="B5776" s="545">
        <v>7027</v>
      </c>
      <c r="C5776" s="545" t="s">
        <v>3521</v>
      </c>
      <c r="D5776" s="669" t="s">
        <v>385</v>
      </c>
      <c r="E5776" s="546">
        <v>717.43333900000005</v>
      </c>
    </row>
    <row r="5777" spans="2:5" x14ac:dyDescent="0.25">
      <c r="B5777" s="545">
        <v>7028</v>
      </c>
      <c r="C5777" s="545" t="s">
        <v>3221</v>
      </c>
      <c r="D5777" s="669" t="s">
        <v>385</v>
      </c>
      <c r="E5777" s="546">
        <v>702.21999500000004</v>
      </c>
    </row>
    <row r="5778" spans="2:5" x14ac:dyDescent="0.25">
      <c r="B5778" s="545">
        <v>7029</v>
      </c>
      <c r="C5778" s="545" t="s">
        <v>4074</v>
      </c>
      <c r="D5778" s="669" t="s">
        <v>385</v>
      </c>
      <c r="E5778" s="546">
        <v>749.63334099999997</v>
      </c>
    </row>
    <row r="5779" spans="2:5" x14ac:dyDescent="0.25">
      <c r="B5779" s="545">
        <v>7030</v>
      </c>
      <c r="C5779" s="545" t="s">
        <v>2154</v>
      </c>
      <c r="D5779" s="669" t="s">
        <v>385</v>
      </c>
      <c r="E5779" s="546">
        <v>650.97143600000004</v>
      </c>
    </row>
    <row r="5780" spans="2:5" x14ac:dyDescent="0.25">
      <c r="B5780" s="545">
        <v>7031</v>
      </c>
      <c r="C5780" s="545" t="s">
        <v>807</v>
      </c>
      <c r="D5780" s="669" t="s">
        <v>385</v>
      </c>
      <c r="E5780" s="546">
        <v>740.114284</v>
      </c>
    </row>
    <row r="5781" spans="2:5" x14ac:dyDescent="0.25">
      <c r="B5781" s="545">
        <v>7032</v>
      </c>
      <c r="C5781" s="545" t="s">
        <v>2999</v>
      </c>
      <c r="D5781" s="669" t="s">
        <v>385</v>
      </c>
      <c r="E5781" s="546">
        <v>690.63334099999997</v>
      </c>
    </row>
    <row r="5782" spans="2:5" x14ac:dyDescent="0.25">
      <c r="B5782" s="545">
        <v>7033</v>
      </c>
      <c r="C5782" s="545" t="s">
        <v>1980</v>
      </c>
      <c r="D5782" s="669" t="s">
        <v>385</v>
      </c>
      <c r="E5782" s="546">
        <v>642.72500600000001</v>
      </c>
    </row>
    <row r="5783" spans="2:5" x14ac:dyDescent="0.25">
      <c r="B5783" s="545">
        <v>7034</v>
      </c>
      <c r="C5783" s="545" t="s">
        <v>2938</v>
      </c>
      <c r="D5783" s="669" t="s">
        <v>385</v>
      </c>
      <c r="E5783" s="546">
        <v>687.38001699999995</v>
      </c>
    </row>
    <row r="5784" spans="2:5" x14ac:dyDescent="0.25">
      <c r="B5784" s="545">
        <v>7035</v>
      </c>
      <c r="C5784" s="545" t="s">
        <v>1327</v>
      </c>
      <c r="D5784" s="669" t="s">
        <v>385</v>
      </c>
      <c r="E5784" s="546">
        <v>709.95000500000003</v>
      </c>
    </row>
    <row r="5785" spans="2:5" x14ac:dyDescent="0.25">
      <c r="B5785" s="545">
        <v>7036</v>
      </c>
      <c r="C5785" s="545" t="s">
        <v>7445</v>
      </c>
      <c r="D5785" s="669" t="s">
        <v>385</v>
      </c>
      <c r="E5785" s="546">
        <v>686.66665599999999</v>
      </c>
    </row>
    <row r="5786" spans="2:5" x14ac:dyDescent="0.25">
      <c r="B5786" s="545">
        <v>7037</v>
      </c>
      <c r="C5786" s="545" t="s">
        <v>3648</v>
      </c>
      <c r="D5786" s="669" t="s">
        <v>385</v>
      </c>
      <c r="E5786" s="546">
        <v>724.27500899999995</v>
      </c>
    </row>
    <row r="5787" spans="2:5" x14ac:dyDescent="0.25">
      <c r="B5787" s="545">
        <v>7038</v>
      </c>
      <c r="C5787" s="545" t="s">
        <v>2820</v>
      </c>
      <c r="D5787" s="669" t="s">
        <v>385</v>
      </c>
      <c r="E5787" s="546">
        <v>682</v>
      </c>
    </row>
    <row r="5788" spans="2:5" x14ac:dyDescent="0.25">
      <c r="B5788" s="545">
        <v>7039</v>
      </c>
      <c r="C5788" s="545" t="s">
        <v>1485</v>
      </c>
      <c r="D5788" s="669" t="s">
        <v>460</v>
      </c>
      <c r="E5788" s="546">
        <v>641.42857100000003</v>
      </c>
    </row>
    <row r="5789" spans="2:5" x14ac:dyDescent="0.25">
      <c r="B5789" s="545">
        <v>7051</v>
      </c>
      <c r="C5789" s="545" t="s">
        <v>3374</v>
      </c>
      <c r="D5789" s="669" t="s">
        <v>454</v>
      </c>
      <c r="E5789" s="546">
        <v>709.52223000000004</v>
      </c>
    </row>
    <row r="5790" spans="2:5" x14ac:dyDescent="0.25">
      <c r="B5790" s="545">
        <v>7052</v>
      </c>
      <c r="C5790" s="545" t="s">
        <v>3211</v>
      </c>
      <c r="D5790" s="669" t="s">
        <v>454</v>
      </c>
      <c r="E5790" s="546">
        <v>701.71428600000002</v>
      </c>
    </row>
    <row r="5791" spans="2:5" x14ac:dyDescent="0.25">
      <c r="B5791" s="545">
        <v>7053</v>
      </c>
      <c r="C5791" s="545" t="s">
        <v>2793</v>
      </c>
      <c r="D5791" s="669" t="s">
        <v>454</v>
      </c>
      <c r="E5791" s="546">
        <v>680.47499100000005</v>
      </c>
    </row>
    <row r="5792" spans="2:5" x14ac:dyDescent="0.25">
      <c r="B5792" s="545">
        <v>7054</v>
      </c>
      <c r="C5792" s="545" t="s">
        <v>454</v>
      </c>
      <c r="D5792" s="669" t="s">
        <v>454</v>
      </c>
      <c r="E5792" s="546">
        <v>673.73199699999998</v>
      </c>
    </row>
    <row r="5793" spans="2:5" x14ac:dyDescent="0.25">
      <c r="B5793" s="545">
        <v>7055</v>
      </c>
      <c r="C5793" s="545" t="s">
        <v>2566</v>
      </c>
      <c r="D5793" s="669" t="s">
        <v>454</v>
      </c>
      <c r="E5793" s="546">
        <v>668.96000400000003</v>
      </c>
    </row>
    <row r="5794" spans="2:5" x14ac:dyDescent="0.25">
      <c r="B5794" s="545">
        <v>7056</v>
      </c>
      <c r="C5794" s="545" t="s">
        <v>2758</v>
      </c>
      <c r="D5794" s="669" t="s">
        <v>454</v>
      </c>
      <c r="E5794" s="546">
        <v>678.70000500000003</v>
      </c>
    </row>
    <row r="5795" spans="2:5" x14ac:dyDescent="0.25">
      <c r="B5795" s="545">
        <v>7057</v>
      </c>
      <c r="C5795" s="545" t="s">
        <v>2610</v>
      </c>
      <c r="D5795" s="669" t="s">
        <v>454</v>
      </c>
      <c r="E5795" s="546">
        <v>683.59999600000003</v>
      </c>
    </row>
    <row r="5796" spans="2:5" x14ac:dyDescent="0.25">
      <c r="B5796" s="545">
        <v>7058</v>
      </c>
      <c r="C5796" s="545" t="s">
        <v>3100</v>
      </c>
      <c r="D5796" s="669" t="s">
        <v>454</v>
      </c>
      <c r="E5796" s="546">
        <v>695.98750299999995</v>
      </c>
    </row>
    <row r="5797" spans="2:5" x14ac:dyDescent="0.25">
      <c r="B5797" s="545">
        <v>7059</v>
      </c>
      <c r="C5797" s="545" t="s">
        <v>3571</v>
      </c>
      <c r="D5797" s="669" t="s">
        <v>454</v>
      </c>
      <c r="E5797" s="546">
        <v>719.66665599999999</v>
      </c>
    </row>
    <row r="5798" spans="2:5" x14ac:dyDescent="0.25">
      <c r="B5798" s="545">
        <v>7060</v>
      </c>
      <c r="C5798" s="545" t="s">
        <v>3019</v>
      </c>
      <c r="D5798" s="669" t="s">
        <v>454</v>
      </c>
      <c r="E5798" s="546">
        <v>691.740002</v>
      </c>
    </row>
    <row r="5799" spans="2:5" x14ac:dyDescent="0.25">
      <c r="B5799" s="545">
        <v>7061</v>
      </c>
      <c r="C5799" s="545" t="s">
        <v>3636</v>
      </c>
      <c r="D5799" s="669" t="s">
        <v>454</v>
      </c>
      <c r="E5799" s="546">
        <v>723.759998</v>
      </c>
    </row>
    <row r="5800" spans="2:5" x14ac:dyDescent="0.25">
      <c r="B5800" s="545">
        <v>7062</v>
      </c>
      <c r="C5800" s="545" t="s">
        <v>3996</v>
      </c>
      <c r="D5800" s="669" t="s">
        <v>454</v>
      </c>
      <c r="E5800" s="546">
        <v>744.56666099999995</v>
      </c>
    </row>
    <row r="5801" spans="2:5" x14ac:dyDescent="0.25">
      <c r="B5801" s="545">
        <v>7063</v>
      </c>
      <c r="C5801" s="545" t="s">
        <v>2834</v>
      </c>
      <c r="D5801" s="669" t="s">
        <v>454</v>
      </c>
      <c r="E5801" s="546">
        <v>683.10000600000001</v>
      </c>
    </row>
    <row r="5802" spans="2:5" x14ac:dyDescent="0.25">
      <c r="B5802" s="545">
        <v>7064</v>
      </c>
      <c r="C5802" s="545" t="s">
        <v>2408</v>
      </c>
      <c r="D5802" s="669" t="s">
        <v>454</v>
      </c>
      <c r="E5802" s="546">
        <v>662.71666500000003</v>
      </c>
    </row>
    <row r="5803" spans="2:5" x14ac:dyDescent="0.25">
      <c r="B5803" s="545">
        <v>7065</v>
      </c>
      <c r="C5803" s="545" t="s">
        <v>2507</v>
      </c>
      <c r="D5803" s="669" t="s">
        <v>454</v>
      </c>
      <c r="E5803" s="546">
        <v>665.90000399999997</v>
      </c>
    </row>
    <row r="5804" spans="2:5" x14ac:dyDescent="0.25">
      <c r="B5804" s="545">
        <v>7066</v>
      </c>
      <c r="C5804" s="545" t="s">
        <v>2385</v>
      </c>
      <c r="D5804" s="669" t="s">
        <v>454</v>
      </c>
      <c r="E5804" s="546">
        <v>661.31427900000006</v>
      </c>
    </row>
    <row r="5805" spans="2:5" x14ac:dyDescent="0.25">
      <c r="B5805" s="545">
        <v>7067</v>
      </c>
      <c r="C5805" s="545" t="s">
        <v>7491</v>
      </c>
      <c r="D5805" s="669" t="s">
        <v>454</v>
      </c>
      <c r="E5805" s="546">
        <v>683.883331</v>
      </c>
    </row>
    <row r="5806" spans="2:5" x14ac:dyDescent="0.25">
      <c r="B5806" s="545">
        <v>7068</v>
      </c>
      <c r="C5806" s="545" t="s">
        <v>3171</v>
      </c>
      <c r="D5806" s="669" t="s">
        <v>454</v>
      </c>
      <c r="E5806" s="546">
        <v>699.81999499999995</v>
      </c>
    </row>
    <row r="5807" spans="2:5" x14ac:dyDescent="0.25">
      <c r="B5807" s="545">
        <v>7069</v>
      </c>
      <c r="C5807" s="545" t="s">
        <v>2572</v>
      </c>
      <c r="D5807" s="669" t="s">
        <v>454</v>
      </c>
      <c r="E5807" s="546">
        <v>728.29998799999998</v>
      </c>
    </row>
    <row r="5808" spans="2:5" x14ac:dyDescent="0.25">
      <c r="B5808" s="545">
        <v>7070</v>
      </c>
      <c r="C5808" s="545" t="s">
        <v>3252</v>
      </c>
      <c r="D5808" s="669" t="s">
        <v>454</v>
      </c>
      <c r="E5808" s="546">
        <v>703.34444900000005</v>
      </c>
    </row>
    <row r="5809" spans="2:5" x14ac:dyDescent="0.25">
      <c r="B5809" s="545">
        <v>7071</v>
      </c>
      <c r="C5809" s="545" t="s">
        <v>3506</v>
      </c>
      <c r="D5809" s="669" t="s">
        <v>454</v>
      </c>
      <c r="E5809" s="546">
        <v>716.36665900000003</v>
      </c>
    </row>
    <row r="5810" spans="2:5" x14ac:dyDescent="0.25">
      <c r="B5810" s="545">
        <v>7072</v>
      </c>
      <c r="C5810" s="545" t="s">
        <v>430</v>
      </c>
      <c r="D5810" s="669" t="s">
        <v>454</v>
      </c>
      <c r="E5810" s="546">
        <v>722.18749200000002</v>
      </c>
    </row>
    <row r="5811" spans="2:5" x14ac:dyDescent="0.25">
      <c r="B5811" s="545">
        <v>7073</v>
      </c>
      <c r="C5811" s="545" t="s">
        <v>2705</v>
      </c>
      <c r="D5811" s="669" t="s">
        <v>454</v>
      </c>
      <c r="E5811" s="546">
        <v>737.13332100000002</v>
      </c>
    </row>
    <row r="5812" spans="2:5" x14ac:dyDescent="0.25">
      <c r="B5812" s="545">
        <v>7074</v>
      </c>
      <c r="C5812" s="545" t="s">
        <v>4099</v>
      </c>
      <c r="D5812" s="669" t="s">
        <v>454</v>
      </c>
      <c r="E5812" s="546">
        <v>750.70001200000002</v>
      </c>
    </row>
    <row r="5813" spans="2:5" x14ac:dyDescent="0.25">
      <c r="B5813" s="545">
        <v>7075</v>
      </c>
      <c r="C5813" s="545" t="s">
        <v>3714</v>
      </c>
      <c r="D5813" s="669" t="s">
        <v>454</v>
      </c>
      <c r="E5813" s="546">
        <v>728.06001000000003</v>
      </c>
    </row>
    <row r="5814" spans="2:5" x14ac:dyDescent="0.25">
      <c r="B5814" s="545">
        <v>7076</v>
      </c>
      <c r="C5814" s="545" t="s">
        <v>3778</v>
      </c>
      <c r="D5814" s="669" t="s">
        <v>454</v>
      </c>
      <c r="E5814" s="546">
        <v>731.59997599999997</v>
      </c>
    </row>
    <row r="5815" spans="2:5" x14ac:dyDescent="0.25">
      <c r="B5815" s="545">
        <v>7077</v>
      </c>
      <c r="C5815" s="545" t="s">
        <v>3853</v>
      </c>
      <c r="D5815" s="669" t="s">
        <v>454</v>
      </c>
      <c r="E5815" s="546">
        <v>735.73333700000001</v>
      </c>
    </row>
    <row r="5816" spans="2:5" x14ac:dyDescent="0.25">
      <c r="B5816" s="545">
        <v>7078</v>
      </c>
      <c r="C5816" s="545" t="s">
        <v>3558</v>
      </c>
      <c r="D5816" s="669" t="s">
        <v>454</v>
      </c>
      <c r="E5816" s="546">
        <v>771.03334600000005</v>
      </c>
    </row>
    <row r="5817" spans="2:5" x14ac:dyDescent="0.25">
      <c r="B5817" s="545">
        <v>7079</v>
      </c>
      <c r="C5817" s="545" t="s">
        <v>4158</v>
      </c>
      <c r="D5817" s="669" t="s">
        <v>454</v>
      </c>
      <c r="E5817" s="546">
        <v>754.42500299999995</v>
      </c>
    </row>
    <row r="5818" spans="2:5" x14ac:dyDescent="0.25">
      <c r="B5818" s="545">
        <v>7080</v>
      </c>
      <c r="C5818" s="545" t="s">
        <v>4152</v>
      </c>
      <c r="D5818" s="669" t="s">
        <v>454</v>
      </c>
      <c r="E5818" s="546">
        <v>754.01999499999999</v>
      </c>
    </row>
    <row r="5819" spans="2:5" x14ac:dyDescent="0.25">
      <c r="B5819" s="545">
        <v>7081</v>
      </c>
      <c r="C5819" s="545" t="s">
        <v>3411</v>
      </c>
      <c r="D5819" s="669" t="s">
        <v>454</v>
      </c>
      <c r="E5819" s="546">
        <v>711.85000600000001</v>
      </c>
    </row>
    <row r="5820" spans="2:5" x14ac:dyDescent="0.25">
      <c r="B5820" s="545">
        <v>7082</v>
      </c>
      <c r="C5820" s="545" t="s">
        <v>3883</v>
      </c>
      <c r="D5820" s="669" t="s">
        <v>454</v>
      </c>
      <c r="E5820" s="546">
        <v>737.85000600000001</v>
      </c>
    </row>
    <row r="5821" spans="2:5" x14ac:dyDescent="0.25">
      <c r="B5821" s="545">
        <v>7083</v>
      </c>
      <c r="C5821" s="545" t="s">
        <v>3953</v>
      </c>
      <c r="D5821" s="669" t="s">
        <v>454</v>
      </c>
      <c r="E5821" s="546">
        <v>741.76666299999999</v>
      </c>
    </row>
    <row r="5822" spans="2:5" x14ac:dyDescent="0.25">
      <c r="B5822" s="545">
        <v>7084</v>
      </c>
      <c r="C5822" s="545" t="s">
        <v>4228</v>
      </c>
      <c r="D5822" s="669" t="s">
        <v>454</v>
      </c>
      <c r="E5822" s="546">
        <v>759.64999399999999</v>
      </c>
    </row>
    <row r="5823" spans="2:5" x14ac:dyDescent="0.25">
      <c r="B5823" s="545">
        <v>7085</v>
      </c>
      <c r="C5823" s="545" t="s">
        <v>4067</v>
      </c>
      <c r="D5823" s="669" t="s">
        <v>454</v>
      </c>
      <c r="E5823" s="546">
        <v>749.23332700000003</v>
      </c>
    </row>
    <row r="5824" spans="2:5" x14ac:dyDescent="0.25">
      <c r="B5824" s="545">
        <v>7086</v>
      </c>
      <c r="C5824" s="545" t="s">
        <v>4401</v>
      </c>
      <c r="D5824" s="669" t="s">
        <v>454</v>
      </c>
      <c r="E5824" s="546">
        <v>772.52500899999995</v>
      </c>
    </row>
    <row r="5825" spans="2:5" x14ac:dyDescent="0.25">
      <c r="B5825" s="545">
        <v>7087</v>
      </c>
      <c r="C5825" s="545" t="s">
        <v>4259</v>
      </c>
      <c r="D5825" s="669" t="s">
        <v>454</v>
      </c>
      <c r="E5825" s="546">
        <v>761.83749399999999</v>
      </c>
    </row>
    <row r="5826" spans="2:5" x14ac:dyDescent="0.25">
      <c r="B5826" s="545">
        <v>7088</v>
      </c>
      <c r="C5826" s="545" t="s">
        <v>3044</v>
      </c>
      <c r="D5826" s="669" t="s">
        <v>454</v>
      </c>
      <c r="E5826" s="546">
        <v>784.27499399999999</v>
      </c>
    </row>
    <row r="5827" spans="2:5" x14ac:dyDescent="0.25">
      <c r="B5827" s="545">
        <v>7089</v>
      </c>
      <c r="C5827" s="545" t="s">
        <v>4380</v>
      </c>
      <c r="D5827" s="669" t="s">
        <v>454</v>
      </c>
      <c r="E5827" s="546">
        <v>770.59999600000003</v>
      </c>
    </row>
    <row r="5828" spans="2:5" x14ac:dyDescent="0.25">
      <c r="B5828" s="545">
        <v>7090</v>
      </c>
      <c r="C5828" s="545" t="s">
        <v>4403</v>
      </c>
      <c r="D5828" s="669" t="s">
        <v>454</v>
      </c>
      <c r="E5828" s="546">
        <v>772.96667500000001</v>
      </c>
    </row>
    <row r="5829" spans="2:5" x14ac:dyDescent="0.25">
      <c r="B5829" s="545">
        <v>7091</v>
      </c>
      <c r="C5829" s="545" t="s">
        <v>6517</v>
      </c>
      <c r="D5829" s="669" t="s">
        <v>454</v>
      </c>
      <c r="E5829" s="546">
        <v>795.66428900000005</v>
      </c>
    </row>
    <row r="5830" spans="2:5" x14ac:dyDescent="0.25">
      <c r="B5830" s="545">
        <v>7092</v>
      </c>
      <c r="C5830" s="545" t="s">
        <v>1414</v>
      </c>
      <c r="D5830" s="669" t="s">
        <v>454</v>
      </c>
      <c r="E5830" s="546">
        <v>806.76668299999994</v>
      </c>
    </row>
    <row r="5831" spans="2:5" x14ac:dyDescent="0.25">
      <c r="B5831" s="545">
        <v>7093</v>
      </c>
      <c r="C5831" s="545" t="s">
        <v>4768</v>
      </c>
      <c r="D5831" s="669" t="s">
        <v>454</v>
      </c>
      <c r="E5831" s="546">
        <v>801.55714599999999</v>
      </c>
    </row>
    <row r="5832" spans="2:5" x14ac:dyDescent="0.25">
      <c r="B5832" s="545">
        <v>7094</v>
      </c>
      <c r="C5832" s="545" t="s">
        <v>4566</v>
      </c>
      <c r="D5832" s="669" t="s">
        <v>454</v>
      </c>
      <c r="E5832" s="546">
        <v>785.29998799999998</v>
      </c>
    </row>
    <row r="5833" spans="2:5" x14ac:dyDescent="0.25">
      <c r="B5833" s="545">
        <v>7095</v>
      </c>
      <c r="C5833" s="545" t="s">
        <v>4881</v>
      </c>
      <c r="D5833" s="669" t="s">
        <v>454</v>
      </c>
      <c r="E5833" s="546">
        <v>809.60001599999998</v>
      </c>
    </row>
    <row r="5834" spans="2:5" x14ac:dyDescent="0.25">
      <c r="B5834" s="545">
        <v>7096</v>
      </c>
      <c r="C5834" s="545" t="s">
        <v>4951</v>
      </c>
      <c r="D5834" s="669" t="s">
        <v>454</v>
      </c>
      <c r="E5834" s="546">
        <v>816.55555600000002</v>
      </c>
    </row>
    <row r="5835" spans="2:5" x14ac:dyDescent="0.25">
      <c r="B5835" s="545">
        <v>7097</v>
      </c>
      <c r="C5835" s="545" t="s">
        <v>4998</v>
      </c>
      <c r="D5835" s="669" t="s">
        <v>454</v>
      </c>
      <c r="E5835" s="546">
        <v>822.91666699999996</v>
      </c>
    </row>
    <row r="5836" spans="2:5" x14ac:dyDescent="0.25">
      <c r="B5836" s="545">
        <v>7098</v>
      </c>
      <c r="C5836" s="545" t="s">
        <v>7424</v>
      </c>
      <c r="D5836" s="669" t="s">
        <v>454</v>
      </c>
      <c r="E5836" s="546">
        <v>822.66250600000001</v>
      </c>
    </row>
    <row r="5837" spans="2:5" x14ac:dyDescent="0.25">
      <c r="B5837" s="545">
        <v>7099</v>
      </c>
      <c r="C5837" s="545" t="s">
        <v>7168</v>
      </c>
      <c r="D5837" s="669" t="s">
        <v>454</v>
      </c>
      <c r="E5837" s="546">
        <v>844.389996</v>
      </c>
    </row>
    <row r="5838" spans="2:5" x14ac:dyDescent="0.25">
      <c r="B5838" s="545">
        <v>7100</v>
      </c>
      <c r="C5838" s="545" t="s">
        <v>5223</v>
      </c>
      <c r="D5838" s="669" t="s">
        <v>454</v>
      </c>
      <c r="E5838" s="546">
        <v>849.5</v>
      </c>
    </row>
    <row r="5839" spans="2:5" x14ac:dyDescent="0.25">
      <c r="B5839" s="545">
        <v>7101</v>
      </c>
      <c r="C5839" s="545" t="s">
        <v>4682</v>
      </c>
      <c r="D5839" s="669" t="s">
        <v>454</v>
      </c>
      <c r="E5839" s="546">
        <v>794.43333299999995</v>
      </c>
    </row>
    <row r="5840" spans="2:5" x14ac:dyDescent="0.25">
      <c r="B5840" s="545">
        <v>7102</v>
      </c>
      <c r="C5840" s="545" t="s">
        <v>5246</v>
      </c>
      <c r="D5840" s="669" t="s">
        <v>454</v>
      </c>
      <c r="E5840" s="546">
        <v>853.24284999999998</v>
      </c>
    </row>
    <row r="5841" spans="2:5" x14ac:dyDescent="0.25">
      <c r="B5841" s="545">
        <v>7103</v>
      </c>
      <c r="C5841" s="545" t="s">
        <v>5617</v>
      </c>
      <c r="D5841" s="669" t="s">
        <v>454</v>
      </c>
      <c r="E5841" s="546">
        <v>916</v>
      </c>
    </row>
    <row r="5842" spans="2:5" x14ac:dyDescent="0.25">
      <c r="B5842" s="545">
        <v>7104</v>
      </c>
      <c r="C5842" s="545" t="s">
        <v>2117</v>
      </c>
      <c r="D5842" s="669" t="s">
        <v>453</v>
      </c>
      <c r="E5842" s="546">
        <v>649.35000600000001</v>
      </c>
    </row>
    <row r="5843" spans="2:5" x14ac:dyDescent="0.25">
      <c r="B5843" s="545">
        <v>7105</v>
      </c>
      <c r="C5843" s="545" t="s">
        <v>2441</v>
      </c>
      <c r="D5843" s="669" t="s">
        <v>453</v>
      </c>
      <c r="E5843" s="546">
        <v>663.82105100000001</v>
      </c>
    </row>
    <row r="5844" spans="2:5" x14ac:dyDescent="0.25">
      <c r="B5844" s="545">
        <v>7106</v>
      </c>
      <c r="C5844" s="545" t="s">
        <v>7352</v>
      </c>
      <c r="D5844" s="669" t="s">
        <v>453</v>
      </c>
      <c r="E5844" s="546">
        <v>646.48749499999997</v>
      </c>
    </row>
    <row r="5845" spans="2:5" x14ac:dyDescent="0.25">
      <c r="B5845" s="545">
        <v>7107</v>
      </c>
      <c r="C5845" s="545" t="s">
        <v>453</v>
      </c>
      <c r="D5845" s="669" t="s">
        <v>453</v>
      </c>
      <c r="E5845" s="546">
        <v>652.98333700000001</v>
      </c>
    </row>
    <row r="5846" spans="2:5" x14ac:dyDescent="0.25">
      <c r="B5846" s="545">
        <v>7108</v>
      </c>
      <c r="C5846" s="545" t="s">
        <v>2401</v>
      </c>
      <c r="D5846" s="669" t="s">
        <v>453</v>
      </c>
      <c r="E5846" s="546">
        <v>662.32499199999995</v>
      </c>
    </row>
    <row r="5847" spans="2:5" x14ac:dyDescent="0.25">
      <c r="B5847" s="545">
        <v>7109</v>
      </c>
      <c r="C5847" s="545" t="s">
        <v>2912</v>
      </c>
      <c r="D5847" s="669" t="s">
        <v>453</v>
      </c>
      <c r="E5847" s="546">
        <v>686.29998799999998</v>
      </c>
    </row>
    <row r="5848" spans="2:5" x14ac:dyDescent="0.25">
      <c r="B5848" s="545">
        <v>7110</v>
      </c>
      <c r="C5848" s="545" t="s">
        <v>3831</v>
      </c>
      <c r="D5848" s="669" t="s">
        <v>453</v>
      </c>
      <c r="E5848" s="546">
        <v>734.69998199999998</v>
      </c>
    </row>
    <row r="5849" spans="2:5" x14ac:dyDescent="0.25">
      <c r="B5849" s="545">
        <v>7111</v>
      </c>
      <c r="C5849" s="545" t="s">
        <v>3003</v>
      </c>
      <c r="D5849" s="669" t="s">
        <v>453</v>
      </c>
      <c r="E5849" s="546">
        <v>690.70001200000002</v>
      </c>
    </row>
    <row r="5850" spans="2:5" x14ac:dyDescent="0.25">
      <c r="B5850" s="545">
        <v>7112</v>
      </c>
      <c r="C5850" s="545" t="s">
        <v>3408</v>
      </c>
      <c r="D5850" s="669" t="s">
        <v>453</v>
      </c>
      <c r="E5850" s="546">
        <v>711.5</v>
      </c>
    </row>
    <row r="5851" spans="2:5" x14ac:dyDescent="0.25">
      <c r="B5851" s="545">
        <v>7113</v>
      </c>
      <c r="C5851" s="545" t="s">
        <v>4049</v>
      </c>
      <c r="D5851" s="669" t="s">
        <v>453</v>
      </c>
      <c r="E5851" s="546">
        <v>748.02000699999996</v>
      </c>
    </row>
    <row r="5852" spans="2:5" x14ac:dyDescent="0.25">
      <c r="B5852" s="545">
        <v>7114</v>
      </c>
      <c r="C5852" s="545" t="s">
        <v>3031</v>
      </c>
      <c r="D5852" s="669" t="s">
        <v>453</v>
      </c>
      <c r="E5852" s="546">
        <v>692.44000200000005</v>
      </c>
    </row>
    <row r="5853" spans="2:5" x14ac:dyDescent="0.25">
      <c r="B5853" s="545">
        <v>7115</v>
      </c>
      <c r="C5853" s="545" t="s">
        <v>3880</v>
      </c>
      <c r="D5853" s="669" t="s">
        <v>453</v>
      </c>
      <c r="E5853" s="546">
        <v>737.65000899999995</v>
      </c>
    </row>
    <row r="5854" spans="2:5" x14ac:dyDescent="0.25">
      <c r="B5854" s="545">
        <v>7116</v>
      </c>
      <c r="C5854" s="545" t="s">
        <v>3559</v>
      </c>
      <c r="D5854" s="669" t="s">
        <v>453</v>
      </c>
      <c r="E5854" s="546">
        <v>719.01818300000002</v>
      </c>
    </row>
    <row r="5855" spans="2:5" x14ac:dyDescent="0.25">
      <c r="B5855" s="545">
        <v>7117</v>
      </c>
      <c r="C5855" s="545" t="s">
        <v>1497</v>
      </c>
      <c r="D5855" s="669" t="s">
        <v>453</v>
      </c>
      <c r="E5855" s="546">
        <v>726.57999299999994</v>
      </c>
    </row>
    <row r="5856" spans="2:5" x14ac:dyDescent="0.25">
      <c r="B5856" s="545">
        <v>7118</v>
      </c>
      <c r="C5856" s="545" t="s">
        <v>3470</v>
      </c>
      <c r="D5856" s="669" t="s">
        <v>453</v>
      </c>
      <c r="E5856" s="546">
        <v>714.23333700000001</v>
      </c>
    </row>
    <row r="5857" spans="2:5" x14ac:dyDescent="0.25">
      <c r="B5857" s="545">
        <v>7119</v>
      </c>
      <c r="C5857" s="545" t="s">
        <v>4015</v>
      </c>
      <c r="D5857" s="669" t="s">
        <v>453</v>
      </c>
      <c r="E5857" s="546">
        <v>745.86667899999998</v>
      </c>
    </row>
    <row r="5858" spans="2:5" x14ac:dyDescent="0.25">
      <c r="B5858" s="545">
        <v>7120</v>
      </c>
      <c r="C5858" s="545" t="s">
        <v>3945</v>
      </c>
      <c r="D5858" s="669" t="s">
        <v>453</v>
      </c>
      <c r="E5858" s="546">
        <v>741.39999399999999</v>
      </c>
    </row>
    <row r="5859" spans="2:5" x14ac:dyDescent="0.25">
      <c r="B5859" s="545">
        <v>7121</v>
      </c>
      <c r="C5859" s="545" t="s">
        <v>6691</v>
      </c>
      <c r="D5859" s="669" t="s">
        <v>453</v>
      </c>
      <c r="E5859" s="546">
        <v>767.01428199999998</v>
      </c>
    </row>
    <row r="5860" spans="2:5" x14ac:dyDescent="0.25">
      <c r="B5860" s="545">
        <v>7122</v>
      </c>
      <c r="C5860" s="545" t="s">
        <v>7187</v>
      </c>
      <c r="D5860" s="669" t="s">
        <v>453</v>
      </c>
      <c r="E5860" s="546">
        <v>742.94998199999998</v>
      </c>
    </row>
    <row r="5861" spans="2:5" x14ac:dyDescent="0.25">
      <c r="B5861" s="545">
        <v>7123</v>
      </c>
      <c r="C5861" s="545" t="s">
        <v>3814</v>
      </c>
      <c r="D5861" s="669" t="s">
        <v>453</v>
      </c>
      <c r="E5861" s="546">
        <v>733.53998999999999</v>
      </c>
    </row>
    <row r="5862" spans="2:5" x14ac:dyDescent="0.25">
      <c r="B5862" s="545">
        <v>7124</v>
      </c>
      <c r="C5862" s="545" t="s">
        <v>4160</v>
      </c>
      <c r="D5862" s="669" t="s">
        <v>453</v>
      </c>
      <c r="E5862" s="546">
        <v>754.59999600000003</v>
      </c>
    </row>
    <row r="5863" spans="2:5" x14ac:dyDescent="0.25">
      <c r="B5863" s="545">
        <v>7125</v>
      </c>
      <c r="C5863" s="545" t="s">
        <v>4498</v>
      </c>
      <c r="D5863" s="669" t="s">
        <v>453</v>
      </c>
      <c r="E5863" s="546">
        <v>779.95713599999999</v>
      </c>
    </row>
    <row r="5864" spans="2:5" x14ac:dyDescent="0.25">
      <c r="B5864" s="545">
        <v>7126</v>
      </c>
      <c r="C5864" s="545" t="s">
        <v>4367</v>
      </c>
      <c r="D5864" s="669" t="s">
        <v>453</v>
      </c>
      <c r="E5864" s="546">
        <v>769.63334099999997</v>
      </c>
    </row>
    <row r="5865" spans="2:5" x14ac:dyDescent="0.25">
      <c r="B5865" s="545">
        <v>7127</v>
      </c>
      <c r="C5865" s="545" t="s">
        <v>4413</v>
      </c>
      <c r="D5865" s="669" t="s">
        <v>453</v>
      </c>
      <c r="E5865" s="546">
        <v>773.83333300000004</v>
      </c>
    </row>
    <row r="5866" spans="2:5" x14ac:dyDescent="0.25">
      <c r="B5866" s="545">
        <v>7128</v>
      </c>
      <c r="C5866" s="545" t="s">
        <v>4053</v>
      </c>
      <c r="D5866" s="669" t="s">
        <v>453</v>
      </c>
      <c r="E5866" s="546">
        <v>770.56001000000003</v>
      </c>
    </row>
    <row r="5867" spans="2:5" x14ac:dyDescent="0.25">
      <c r="B5867" s="545">
        <v>7129</v>
      </c>
      <c r="C5867" s="545" t="s">
        <v>4539</v>
      </c>
      <c r="D5867" s="669" t="s">
        <v>453</v>
      </c>
      <c r="E5867" s="546">
        <v>782.89999799999998</v>
      </c>
    </row>
    <row r="5868" spans="2:5" x14ac:dyDescent="0.25">
      <c r="B5868" s="545">
        <v>7130</v>
      </c>
      <c r="C5868" s="545" t="s">
        <v>7364</v>
      </c>
      <c r="D5868" s="669" t="s">
        <v>453</v>
      </c>
      <c r="E5868" s="546">
        <v>794.43332899999996</v>
      </c>
    </row>
    <row r="5869" spans="2:5" x14ac:dyDescent="0.25">
      <c r="B5869" s="545">
        <v>7131</v>
      </c>
      <c r="C5869" s="545" t="s">
        <v>7382</v>
      </c>
      <c r="D5869" s="669" t="s">
        <v>453</v>
      </c>
      <c r="E5869" s="546">
        <v>801.29998799999998</v>
      </c>
    </row>
    <row r="5870" spans="2:5" x14ac:dyDescent="0.25">
      <c r="B5870" s="545">
        <v>7132</v>
      </c>
      <c r="C5870" s="545" t="s">
        <v>6800</v>
      </c>
      <c r="D5870" s="669" t="s">
        <v>453</v>
      </c>
      <c r="E5870" s="546">
        <v>802.83333300000004</v>
      </c>
    </row>
    <row r="5871" spans="2:5" x14ac:dyDescent="0.25">
      <c r="B5871" s="545">
        <v>7133</v>
      </c>
      <c r="C5871" s="545" t="s">
        <v>4692</v>
      </c>
      <c r="D5871" s="669" t="s">
        <v>453</v>
      </c>
      <c r="E5871" s="546">
        <v>795.21999500000004</v>
      </c>
    </row>
    <row r="5872" spans="2:5" x14ac:dyDescent="0.25">
      <c r="B5872" s="545">
        <v>7134</v>
      </c>
      <c r="C5872" s="545" t="s">
        <v>2787</v>
      </c>
      <c r="D5872" s="669" t="s">
        <v>453</v>
      </c>
      <c r="E5872" s="546">
        <v>680.22500600000001</v>
      </c>
    </row>
    <row r="5873" spans="2:5" x14ac:dyDescent="0.25">
      <c r="B5873" s="545">
        <v>7135</v>
      </c>
      <c r="C5873" s="545" t="s">
        <v>6606</v>
      </c>
      <c r="D5873" s="669" t="s">
        <v>453</v>
      </c>
      <c r="E5873" s="546">
        <v>693.94998199999998</v>
      </c>
    </row>
    <row r="5874" spans="2:5" x14ac:dyDescent="0.25">
      <c r="B5874" s="545">
        <v>7136</v>
      </c>
      <c r="C5874" s="545" t="s">
        <v>3110</v>
      </c>
      <c r="D5874" s="669" t="s">
        <v>453</v>
      </c>
      <c r="E5874" s="546">
        <v>696.75998500000003</v>
      </c>
    </row>
    <row r="5875" spans="2:5" x14ac:dyDescent="0.25">
      <c r="B5875" s="545">
        <v>7137</v>
      </c>
      <c r="C5875" s="545" t="s">
        <v>3498</v>
      </c>
      <c r="D5875" s="669" t="s">
        <v>453</v>
      </c>
      <c r="E5875" s="546">
        <v>715.80000800000005</v>
      </c>
    </row>
    <row r="5876" spans="2:5" x14ac:dyDescent="0.25">
      <c r="B5876" s="545">
        <v>7138</v>
      </c>
      <c r="C5876" s="545" t="s">
        <v>3314</v>
      </c>
      <c r="D5876" s="669" t="s">
        <v>453</v>
      </c>
      <c r="E5876" s="546">
        <v>706.85000600000001</v>
      </c>
    </row>
    <row r="5877" spans="2:5" x14ac:dyDescent="0.25">
      <c r="B5877" s="545">
        <v>7139</v>
      </c>
      <c r="C5877" s="545" t="s">
        <v>6898</v>
      </c>
      <c r="D5877" s="669" t="s">
        <v>453</v>
      </c>
      <c r="E5877" s="546">
        <v>728.13334099999997</v>
      </c>
    </row>
    <row r="5878" spans="2:5" x14ac:dyDescent="0.25">
      <c r="B5878" s="545">
        <v>7140</v>
      </c>
      <c r="C5878" s="545" t="s">
        <v>3821</v>
      </c>
      <c r="D5878" s="669" t="s">
        <v>453</v>
      </c>
      <c r="E5878" s="546">
        <v>733.95001200000002</v>
      </c>
    </row>
    <row r="5879" spans="2:5" x14ac:dyDescent="0.25">
      <c r="B5879" s="545">
        <v>7141</v>
      </c>
      <c r="C5879" s="545" t="s">
        <v>3641</v>
      </c>
      <c r="D5879" s="669" t="s">
        <v>453</v>
      </c>
      <c r="E5879" s="546">
        <v>723.93750799999998</v>
      </c>
    </row>
    <row r="5880" spans="2:5" x14ac:dyDescent="0.25">
      <c r="B5880" s="545">
        <v>7142</v>
      </c>
      <c r="C5880" s="545" t="s">
        <v>2969</v>
      </c>
      <c r="D5880" s="669" t="s">
        <v>453</v>
      </c>
      <c r="E5880" s="546">
        <v>688.90000699999996</v>
      </c>
    </row>
    <row r="5881" spans="2:5" x14ac:dyDescent="0.25">
      <c r="B5881" s="545">
        <v>7143</v>
      </c>
      <c r="C5881" s="545" t="s">
        <v>6903</v>
      </c>
      <c r="D5881" s="669" t="s">
        <v>453</v>
      </c>
      <c r="E5881" s="546">
        <v>703.45555999999999</v>
      </c>
    </row>
    <row r="5882" spans="2:5" x14ac:dyDescent="0.25">
      <c r="B5882" s="545">
        <v>7144</v>
      </c>
      <c r="C5882" s="545" t="s">
        <v>7073</v>
      </c>
      <c r="D5882" s="669" t="s">
        <v>453</v>
      </c>
      <c r="E5882" s="546">
        <v>717</v>
      </c>
    </row>
    <row r="5883" spans="2:5" x14ac:dyDescent="0.25">
      <c r="B5883" s="545">
        <v>7145</v>
      </c>
      <c r="C5883" s="545" t="s">
        <v>1428</v>
      </c>
      <c r="D5883" s="669" t="s">
        <v>453</v>
      </c>
      <c r="E5883" s="546">
        <v>748.73333700000001</v>
      </c>
    </row>
    <row r="5884" spans="2:5" x14ac:dyDescent="0.25">
      <c r="B5884" s="545">
        <v>7146</v>
      </c>
      <c r="C5884" s="545" t="s">
        <v>878</v>
      </c>
      <c r="D5884" s="669" t="s">
        <v>453</v>
      </c>
      <c r="E5884" s="546">
        <v>758.24999000000003</v>
      </c>
    </row>
    <row r="5885" spans="2:5" x14ac:dyDescent="0.25">
      <c r="B5885" s="545">
        <v>7147</v>
      </c>
      <c r="C5885" s="545" t="s">
        <v>6856</v>
      </c>
      <c r="D5885" s="669" t="s">
        <v>453</v>
      </c>
      <c r="E5885" s="546">
        <v>720.02500899999995</v>
      </c>
    </row>
    <row r="5886" spans="2:5" x14ac:dyDescent="0.25">
      <c r="B5886" s="545">
        <v>7148</v>
      </c>
      <c r="C5886" s="545" t="s">
        <v>3890</v>
      </c>
      <c r="D5886" s="669" t="s">
        <v>453</v>
      </c>
      <c r="E5886" s="546">
        <v>738.08500400000003</v>
      </c>
    </row>
    <row r="5887" spans="2:5" x14ac:dyDescent="0.25">
      <c r="B5887" s="545">
        <v>7149</v>
      </c>
      <c r="C5887" s="545" t="s">
        <v>7351</v>
      </c>
      <c r="D5887" s="669" t="s">
        <v>453</v>
      </c>
      <c r="E5887" s="546">
        <v>710.83332299999995</v>
      </c>
    </row>
    <row r="5888" spans="2:5" x14ac:dyDescent="0.25">
      <c r="B5888" s="545">
        <v>7150</v>
      </c>
      <c r="C5888" s="545" t="s">
        <v>3495</v>
      </c>
      <c r="D5888" s="669" t="s">
        <v>453</v>
      </c>
      <c r="E5888" s="546">
        <v>715.73333700000001</v>
      </c>
    </row>
    <row r="5889" spans="2:5" x14ac:dyDescent="0.25">
      <c r="B5889" s="545">
        <v>7151</v>
      </c>
      <c r="C5889" s="545" t="s">
        <v>4362</v>
      </c>
      <c r="D5889" s="669" t="s">
        <v>453</v>
      </c>
      <c r="E5889" s="546">
        <v>768.97502099999997</v>
      </c>
    </row>
    <row r="5890" spans="2:5" x14ac:dyDescent="0.25">
      <c r="B5890" s="545">
        <v>7152</v>
      </c>
      <c r="C5890" s="545" t="s">
        <v>3582</v>
      </c>
      <c r="D5890" s="669" t="s">
        <v>453</v>
      </c>
      <c r="E5890" s="546">
        <v>720.40000399999997</v>
      </c>
    </row>
    <row r="5891" spans="2:5" x14ac:dyDescent="0.25">
      <c r="B5891" s="545">
        <v>7153</v>
      </c>
      <c r="C5891" s="545" t="s">
        <v>3399</v>
      </c>
      <c r="D5891" s="669" t="s">
        <v>453</v>
      </c>
      <c r="E5891" s="546">
        <v>710.92857100000003</v>
      </c>
    </row>
    <row r="5892" spans="2:5" x14ac:dyDescent="0.25">
      <c r="B5892" s="545">
        <v>7154</v>
      </c>
      <c r="C5892" s="545" t="s">
        <v>4189</v>
      </c>
      <c r="D5892" s="669" t="s">
        <v>453</v>
      </c>
      <c r="E5892" s="546">
        <v>756.59999800000003</v>
      </c>
    </row>
    <row r="5893" spans="2:5" x14ac:dyDescent="0.25">
      <c r="B5893" s="545">
        <v>7155</v>
      </c>
      <c r="C5893" s="545" t="s">
        <v>4081</v>
      </c>
      <c r="D5893" s="669" t="s">
        <v>453</v>
      </c>
      <c r="E5893" s="546">
        <v>750.10909200000003</v>
      </c>
    </row>
    <row r="5894" spans="2:5" x14ac:dyDescent="0.25">
      <c r="B5894" s="545">
        <v>7156</v>
      </c>
      <c r="C5894" s="545" t="s">
        <v>4613</v>
      </c>
      <c r="D5894" s="669" t="s">
        <v>453</v>
      </c>
      <c r="E5894" s="546">
        <v>788.90000699999996</v>
      </c>
    </row>
    <row r="5895" spans="2:5" x14ac:dyDescent="0.25">
      <c r="B5895" s="545">
        <v>7157</v>
      </c>
      <c r="C5895" s="545" t="s">
        <v>4494</v>
      </c>
      <c r="D5895" s="669" t="s">
        <v>453</v>
      </c>
      <c r="E5895" s="546">
        <v>779.70001200000002</v>
      </c>
    </row>
    <row r="5896" spans="2:5" x14ac:dyDescent="0.25">
      <c r="B5896" s="545">
        <v>7158</v>
      </c>
      <c r="C5896" s="545" t="s">
        <v>4851</v>
      </c>
      <c r="D5896" s="669" t="s">
        <v>453</v>
      </c>
      <c r="E5896" s="546">
        <v>807.31999499999995</v>
      </c>
    </row>
    <row r="5897" spans="2:5" x14ac:dyDescent="0.25">
      <c r="B5897" s="545">
        <v>7159</v>
      </c>
      <c r="C5897" s="545" t="s">
        <v>3621</v>
      </c>
      <c r="D5897" s="669" t="s">
        <v>453</v>
      </c>
      <c r="E5897" s="546">
        <v>723.20001200000002</v>
      </c>
    </row>
    <row r="5898" spans="2:5" x14ac:dyDescent="0.25">
      <c r="B5898" s="545">
        <v>7160</v>
      </c>
      <c r="C5898" s="545" t="s">
        <v>4039</v>
      </c>
      <c r="D5898" s="669" t="s">
        <v>453</v>
      </c>
      <c r="E5898" s="546">
        <v>747.41428900000005</v>
      </c>
    </row>
    <row r="5899" spans="2:5" x14ac:dyDescent="0.25">
      <c r="B5899" s="545">
        <v>7161</v>
      </c>
      <c r="C5899" s="545" t="s">
        <v>4418</v>
      </c>
      <c r="D5899" s="669" t="s">
        <v>453</v>
      </c>
      <c r="E5899" s="546">
        <v>774.10000600000001</v>
      </c>
    </row>
    <row r="5900" spans="2:5" x14ac:dyDescent="0.25">
      <c r="B5900" s="545">
        <v>7162</v>
      </c>
      <c r="C5900" s="545" t="s">
        <v>4485</v>
      </c>
      <c r="D5900" s="669" t="s">
        <v>453</v>
      </c>
      <c r="E5900" s="546">
        <v>778.83333300000004</v>
      </c>
    </row>
    <row r="5901" spans="2:5" x14ac:dyDescent="0.25">
      <c r="B5901" s="545">
        <v>7163</v>
      </c>
      <c r="C5901" s="545" t="s">
        <v>2932</v>
      </c>
      <c r="D5901" s="669" t="s">
        <v>453</v>
      </c>
      <c r="E5901" s="546">
        <v>772.89999399999999</v>
      </c>
    </row>
    <row r="5902" spans="2:5" x14ac:dyDescent="0.25">
      <c r="B5902" s="545">
        <v>7164</v>
      </c>
      <c r="C5902" s="545" t="s">
        <v>4169</v>
      </c>
      <c r="D5902" s="669" t="s">
        <v>453</v>
      </c>
      <c r="E5902" s="546">
        <v>755.38000499999998</v>
      </c>
    </row>
    <row r="5903" spans="2:5" x14ac:dyDescent="0.25">
      <c r="B5903" s="545">
        <v>7165</v>
      </c>
      <c r="C5903" s="545" t="s">
        <v>4812</v>
      </c>
      <c r="D5903" s="669" t="s">
        <v>453</v>
      </c>
      <c r="E5903" s="546">
        <v>804.25</v>
      </c>
    </row>
    <row r="5904" spans="2:5" x14ac:dyDescent="0.25">
      <c r="B5904" s="545">
        <v>7166</v>
      </c>
      <c r="C5904" s="545" t="s">
        <v>4536</v>
      </c>
      <c r="D5904" s="669" t="s">
        <v>453</v>
      </c>
      <c r="E5904" s="546">
        <v>782.54998799999998</v>
      </c>
    </row>
    <row r="5905" spans="2:5" x14ac:dyDescent="0.25">
      <c r="B5905" s="545">
        <v>7167</v>
      </c>
      <c r="C5905" s="545" t="s">
        <v>4045</v>
      </c>
      <c r="D5905" s="669" t="s">
        <v>453</v>
      </c>
      <c r="E5905" s="546">
        <v>747.79998799999998</v>
      </c>
    </row>
    <row r="5906" spans="2:5" x14ac:dyDescent="0.25">
      <c r="B5906" s="545">
        <v>7168</v>
      </c>
      <c r="C5906" s="545" t="s">
        <v>4358</v>
      </c>
      <c r="D5906" s="669" t="s">
        <v>453</v>
      </c>
      <c r="E5906" s="546">
        <v>768.82501200000002</v>
      </c>
    </row>
    <row r="5907" spans="2:5" x14ac:dyDescent="0.25">
      <c r="B5907" s="545">
        <v>7169</v>
      </c>
      <c r="C5907" s="545" t="s">
        <v>4373</v>
      </c>
      <c r="D5907" s="669" t="s">
        <v>453</v>
      </c>
      <c r="E5907" s="546">
        <v>769.95000200000004</v>
      </c>
    </row>
    <row r="5908" spans="2:5" x14ac:dyDescent="0.25">
      <c r="B5908" s="545">
        <v>7170</v>
      </c>
      <c r="C5908" s="545" t="s">
        <v>4528</v>
      </c>
      <c r="D5908" s="669" t="s">
        <v>453</v>
      </c>
      <c r="E5908" s="546">
        <v>781.69999700000005</v>
      </c>
    </row>
    <row r="5909" spans="2:5" x14ac:dyDescent="0.25">
      <c r="B5909" s="545">
        <v>7171</v>
      </c>
      <c r="C5909" s="545" t="s">
        <v>4722</v>
      </c>
      <c r="D5909" s="669" t="s">
        <v>453</v>
      </c>
      <c r="E5909" s="546">
        <v>797.60400100000004</v>
      </c>
    </row>
    <row r="5910" spans="2:5" x14ac:dyDescent="0.25">
      <c r="B5910" s="545">
        <v>7172</v>
      </c>
      <c r="C5910" s="545" t="s">
        <v>4320</v>
      </c>
      <c r="D5910" s="669" t="s">
        <v>453</v>
      </c>
      <c r="E5910" s="546">
        <v>766.21538399999997</v>
      </c>
    </row>
    <row r="5911" spans="2:5" x14ac:dyDescent="0.25">
      <c r="B5911" s="545">
        <v>7173</v>
      </c>
      <c r="C5911" s="545" t="s">
        <v>4974</v>
      </c>
      <c r="D5911" s="669" t="s">
        <v>453</v>
      </c>
      <c r="E5911" s="546">
        <v>819.7</v>
      </c>
    </row>
    <row r="5912" spans="2:5" x14ac:dyDescent="0.25">
      <c r="B5912" s="545">
        <v>7174</v>
      </c>
      <c r="C5912" s="545" t="s">
        <v>4578</v>
      </c>
      <c r="D5912" s="669" t="s">
        <v>453</v>
      </c>
      <c r="E5912" s="546">
        <v>786.44998199999998</v>
      </c>
    </row>
    <row r="5913" spans="2:5" x14ac:dyDescent="0.25">
      <c r="B5913" s="545">
        <v>7175</v>
      </c>
      <c r="C5913" s="545" t="s">
        <v>7444</v>
      </c>
      <c r="D5913" s="669" t="s">
        <v>453</v>
      </c>
      <c r="E5913" s="546">
        <v>774.25000999999997</v>
      </c>
    </row>
    <row r="5914" spans="2:5" x14ac:dyDescent="0.25">
      <c r="B5914" s="545">
        <v>7176</v>
      </c>
      <c r="C5914" s="545" t="s">
        <v>4921</v>
      </c>
      <c r="D5914" s="669" t="s">
        <v>453</v>
      </c>
      <c r="E5914" s="546">
        <v>814.17857100000003</v>
      </c>
    </row>
    <row r="5915" spans="2:5" x14ac:dyDescent="0.25">
      <c r="B5915" s="545">
        <v>7177</v>
      </c>
      <c r="C5915" s="545" t="s">
        <v>4595</v>
      </c>
      <c r="D5915" s="669" t="s">
        <v>453</v>
      </c>
      <c r="E5915" s="546">
        <v>787.56666099999995</v>
      </c>
    </row>
    <row r="5916" spans="2:5" x14ac:dyDescent="0.25">
      <c r="B5916" s="545">
        <v>7178</v>
      </c>
      <c r="C5916" s="545" t="s">
        <v>4815</v>
      </c>
      <c r="D5916" s="669" t="s">
        <v>453</v>
      </c>
      <c r="E5916" s="546">
        <v>804.48823100000004</v>
      </c>
    </row>
    <row r="5917" spans="2:5" x14ac:dyDescent="0.25">
      <c r="B5917" s="545">
        <v>7179</v>
      </c>
      <c r="C5917" s="545" t="s">
        <v>4761</v>
      </c>
      <c r="D5917" s="669" t="s">
        <v>453</v>
      </c>
      <c r="E5917" s="546">
        <v>801.10000200000002</v>
      </c>
    </row>
    <row r="5918" spans="2:5" x14ac:dyDescent="0.25">
      <c r="B5918" s="545">
        <v>7180</v>
      </c>
      <c r="C5918" s="545" t="s">
        <v>4615</v>
      </c>
      <c r="D5918" s="669" t="s">
        <v>453</v>
      </c>
      <c r="E5918" s="546">
        <v>789.009998</v>
      </c>
    </row>
    <row r="5919" spans="2:5" x14ac:dyDescent="0.25">
      <c r="B5919" s="545">
        <v>7181</v>
      </c>
      <c r="C5919" s="545" t="s">
        <v>4832</v>
      </c>
      <c r="D5919" s="669" t="s">
        <v>453</v>
      </c>
      <c r="E5919" s="546">
        <v>806.35000600000001</v>
      </c>
    </row>
    <row r="5920" spans="2:5" x14ac:dyDescent="0.25">
      <c r="B5920" s="545">
        <v>7182</v>
      </c>
      <c r="C5920" s="545" t="s">
        <v>4915</v>
      </c>
      <c r="D5920" s="669" t="s">
        <v>453</v>
      </c>
      <c r="E5920" s="546">
        <v>813.81429200000002</v>
      </c>
    </row>
    <row r="5921" spans="2:5" x14ac:dyDescent="0.25">
      <c r="B5921" s="545">
        <v>7183</v>
      </c>
      <c r="C5921" s="545" t="s">
        <v>3185</v>
      </c>
      <c r="D5921" s="669" t="s">
        <v>454</v>
      </c>
      <c r="E5921" s="546">
        <v>700.30001800000002</v>
      </c>
    </row>
    <row r="5922" spans="2:5" x14ac:dyDescent="0.25">
      <c r="B5922" s="545">
        <v>7211</v>
      </c>
      <c r="C5922" s="545" t="s">
        <v>6489</v>
      </c>
      <c r="D5922" s="669" t="s">
        <v>445</v>
      </c>
      <c r="E5922" s="546">
        <v>756.05999799999995</v>
      </c>
    </row>
    <row r="5923" spans="2:5" x14ac:dyDescent="0.25">
      <c r="B5923" s="545">
        <v>7212</v>
      </c>
      <c r="C5923" s="545" t="s">
        <v>4563</v>
      </c>
      <c r="D5923" s="669" t="s">
        <v>445</v>
      </c>
      <c r="E5923" s="546">
        <v>785.03000499999996</v>
      </c>
    </row>
    <row r="5924" spans="2:5" x14ac:dyDescent="0.25">
      <c r="B5924" s="545">
        <v>7213</v>
      </c>
      <c r="C5924" s="545" t="s">
        <v>3783</v>
      </c>
      <c r="D5924" s="669" t="s">
        <v>445</v>
      </c>
      <c r="E5924" s="546">
        <v>731.80000299999995</v>
      </c>
    </row>
    <row r="5925" spans="2:5" x14ac:dyDescent="0.25">
      <c r="B5925" s="545">
        <v>7214</v>
      </c>
      <c r="C5925" s="545" t="s">
        <v>4383</v>
      </c>
      <c r="D5925" s="669" t="s">
        <v>445</v>
      </c>
      <c r="E5925" s="546">
        <v>770.81999499999995</v>
      </c>
    </row>
    <row r="5926" spans="2:5" x14ac:dyDescent="0.25">
      <c r="B5926" s="545">
        <v>7215</v>
      </c>
      <c r="C5926" s="545" t="s">
        <v>4334</v>
      </c>
      <c r="D5926" s="669" t="s">
        <v>445</v>
      </c>
      <c r="E5926" s="546">
        <v>767.22499100000005</v>
      </c>
    </row>
    <row r="5927" spans="2:5" x14ac:dyDescent="0.25">
      <c r="B5927" s="545">
        <v>7216</v>
      </c>
      <c r="C5927" s="545" t="s">
        <v>4584</v>
      </c>
      <c r="D5927" s="669" t="s">
        <v>445</v>
      </c>
      <c r="E5927" s="546">
        <v>786.70001200000002</v>
      </c>
    </row>
    <row r="5928" spans="2:5" x14ac:dyDescent="0.25">
      <c r="B5928" s="545">
        <v>7217</v>
      </c>
      <c r="C5928" s="545" t="s">
        <v>7242</v>
      </c>
      <c r="D5928" s="669" t="s">
        <v>445</v>
      </c>
      <c r="E5928" s="546">
        <v>815.259998</v>
      </c>
    </row>
    <row r="5929" spans="2:5" x14ac:dyDescent="0.25">
      <c r="B5929" s="545">
        <v>7218</v>
      </c>
      <c r="C5929" s="545" t="s">
        <v>7558</v>
      </c>
      <c r="D5929" s="669" t="s">
        <v>445</v>
      </c>
      <c r="E5929" s="546">
        <v>769.38000499999998</v>
      </c>
    </row>
    <row r="5930" spans="2:5" x14ac:dyDescent="0.25">
      <c r="B5930" s="545">
        <v>7219</v>
      </c>
      <c r="C5930" s="545" t="s">
        <v>4480</v>
      </c>
      <c r="D5930" s="669" t="s">
        <v>445</v>
      </c>
      <c r="E5930" s="546">
        <v>778.61538499999995</v>
      </c>
    </row>
    <row r="5931" spans="2:5" x14ac:dyDescent="0.25">
      <c r="B5931" s="545">
        <v>7220</v>
      </c>
      <c r="C5931" s="545" t="s">
        <v>2190</v>
      </c>
      <c r="D5931" s="669" t="s">
        <v>445</v>
      </c>
      <c r="E5931" s="546">
        <v>808.26666299999999</v>
      </c>
    </row>
    <row r="5932" spans="2:5" x14ac:dyDescent="0.25">
      <c r="B5932" s="545">
        <v>7221</v>
      </c>
      <c r="C5932" s="545" t="s">
        <v>4359</v>
      </c>
      <c r="D5932" s="669" t="s">
        <v>445</v>
      </c>
      <c r="E5932" s="546">
        <v>768.82728199999997</v>
      </c>
    </row>
    <row r="5933" spans="2:5" x14ac:dyDescent="0.25">
      <c r="B5933" s="545">
        <v>7222</v>
      </c>
      <c r="C5933" s="545" t="s">
        <v>4845</v>
      </c>
      <c r="D5933" s="669" t="s">
        <v>445</v>
      </c>
      <c r="E5933" s="546">
        <v>806.87500799999998</v>
      </c>
    </row>
    <row r="5934" spans="2:5" x14ac:dyDescent="0.25">
      <c r="B5934" s="545">
        <v>7223</v>
      </c>
      <c r="C5934" s="545" t="s">
        <v>4639</v>
      </c>
      <c r="D5934" s="669" t="s">
        <v>445</v>
      </c>
      <c r="E5934" s="546">
        <v>791.45001200000002</v>
      </c>
    </row>
    <row r="5935" spans="2:5" x14ac:dyDescent="0.25">
      <c r="B5935" s="545">
        <v>7224</v>
      </c>
      <c r="C5935" s="545" t="s">
        <v>4666</v>
      </c>
      <c r="D5935" s="669" t="s">
        <v>445</v>
      </c>
      <c r="E5935" s="546">
        <v>793.45000200000004</v>
      </c>
    </row>
    <row r="5936" spans="2:5" x14ac:dyDescent="0.25">
      <c r="B5936" s="545">
        <v>7225</v>
      </c>
      <c r="C5936" s="545" t="s">
        <v>4804</v>
      </c>
      <c r="D5936" s="669" t="s">
        <v>445</v>
      </c>
      <c r="E5936" s="546">
        <v>803.84545300000002</v>
      </c>
    </row>
    <row r="5937" spans="2:5" x14ac:dyDescent="0.25">
      <c r="B5937" s="545">
        <v>7227</v>
      </c>
      <c r="C5937" s="545" t="s">
        <v>3122</v>
      </c>
      <c r="D5937" s="669" t="s">
        <v>445</v>
      </c>
      <c r="E5937" s="546">
        <v>697.26363900000001</v>
      </c>
    </row>
    <row r="5938" spans="2:5" x14ac:dyDescent="0.25">
      <c r="B5938" s="545">
        <v>7228</v>
      </c>
      <c r="C5938" s="545" t="s">
        <v>3845</v>
      </c>
      <c r="D5938" s="669" t="s">
        <v>445</v>
      </c>
      <c r="E5938" s="546">
        <v>735.36923899999999</v>
      </c>
    </row>
    <row r="5939" spans="2:5" x14ac:dyDescent="0.25">
      <c r="B5939" s="545">
        <v>7229</v>
      </c>
      <c r="C5939" s="545" t="s">
        <v>2689</v>
      </c>
      <c r="D5939" s="669" t="s">
        <v>445</v>
      </c>
      <c r="E5939" s="546">
        <v>675.45001200000002</v>
      </c>
    </row>
    <row r="5940" spans="2:5" x14ac:dyDescent="0.25">
      <c r="B5940" s="545">
        <v>7230</v>
      </c>
      <c r="C5940" s="545" t="s">
        <v>3669</v>
      </c>
      <c r="D5940" s="669" t="s">
        <v>445</v>
      </c>
      <c r="E5940" s="546">
        <v>725.472219</v>
      </c>
    </row>
    <row r="5941" spans="2:5" x14ac:dyDescent="0.25">
      <c r="B5941" s="545">
        <v>7231</v>
      </c>
      <c r="C5941" s="545" t="s">
        <v>7147</v>
      </c>
      <c r="D5941" s="669" t="s">
        <v>445</v>
      </c>
      <c r="E5941" s="546">
        <v>769.4375</v>
      </c>
    </row>
    <row r="5942" spans="2:5" x14ac:dyDescent="0.25">
      <c r="B5942" s="545">
        <v>7232</v>
      </c>
      <c r="C5942" s="545" t="s">
        <v>3371</v>
      </c>
      <c r="D5942" s="669" t="s">
        <v>445</v>
      </c>
      <c r="E5942" s="546">
        <v>709.47691499999996</v>
      </c>
    </row>
    <row r="5943" spans="2:5" x14ac:dyDescent="0.25">
      <c r="B5943" s="545">
        <v>7233</v>
      </c>
      <c r="C5943" s="545" t="s">
        <v>4112</v>
      </c>
      <c r="D5943" s="669" t="s">
        <v>445</v>
      </c>
      <c r="E5943" s="546">
        <v>751.46667500000001</v>
      </c>
    </row>
    <row r="5944" spans="2:5" x14ac:dyDescent="0.25">
      <c r="B5944" s="545">
        <v>7234</v>
      </c>
      <c r="C5944" s="545" t="s">
        <v>4687</v>
      </c>
      <c r="D5944" s="669" t="s">
        <v>445</v>
      </c>
      <c r="E5944" s="546">
        <v>794.79090499999995</v>
      </c>
    </row>
    <row r="5945" spans="2:5" x14ac:dyDescent="0.25">
      <c r="B5945" s="545">
        <v>7235</v>
      </c>
      <c r="C5945" s="545" t="s">
        <v>4375</v>
      </c>
      <c r="D5945" s="669" t="s">
        <v>445</v>
      </c>
      <c r="E5945" s="546">
        <v>770.15000899999995</v>
      </c>
    </row>
    <row r="5946" spans="2:5" x14ac:dyDescent="0.25">
      <c r="B5946" s="545">
        <v>7236</v>
      </c>
      <c r="C5946" s="545" t="s">
        <v>3729</v>
      </c>
      <c r="D5946" s="669" t="s">
        <v>445</v>
      </c>
      <c r="E5946" s="546">
        <v>728.67500299999995</v>
      </c>
    </row>
    <row r="5947" spans="2:5" x14ac:dyDescent="0.25">
      <c r="B5947" s="545">
        <v>7238</v>
      </c>
      <c r="C5947" s="545" t="s">
        <v>4673</v>
      </c>
      <c r="D5947" s="669" t="s">
        <v>445</v>
      </c>
      <c r="E5947" s="546">
        <v>794.02666799999997</v>
      </c>
    </row>
    <row r="5948" spans="2:5" x14ac:dyDescent="0.25">
      <c r="B5948" s="545">
        <v>7239</v>
      </c>
      <c r="C5948" s="545" t="s">
        <v>7607</v>
      </c>
      <c r="D5948" s="669" t="s">
        <v>445</v>
      </c>
      <c r="E5948" s="546">
        <v>782.41428900000005</v>
      </c>
    </row>
    <row r="5949" spans="2:5" x14ac:dyDescent="0.25">
      <c r="B5949" s="545">
        <v>7240</v>
      </c>
      <c r="C5949" s="545" t="s">
        <v>1138</v>
      </c>
      <c r="D5949" s="669" t="s">
        <v>445</v>
      </c>
      <c r="E5949" s="546">
        <v>797.10833700000001</v>
      </c>
    </row>
    <row r="5950" spans="2:5" x14ac:dyDescent="0.25">
      <c r="B5950" s="545">
        <v>7241</v>
      </c>
      <c r="C5950" s="545" t="s">
        <v>4745</v>
      </c>
      <c r="D5950" s="669" t="s">
        <v>445</v>
      </c>
      <c r="E5950" s="546">
        <v>799.5</v>
      </c>
    </row>
    <row r="5951" spans="2:5" x14ac:dyDescent="0.25">
      <c r="B5951" s="545">
        <v>7242</v>
      </c>
      <c r="C5951" s="545" t="s">
        <v>5132</v>
      </c>
      <c r="D5951" s="669" t="s">
        <v>445</v>
      </c>
      <c r="E5951" s="546">
        <v>836.87498500000004</v>
      </c>
    </row>
    <row r="5952" spans="2:5" x14ac:dyDescent="0.25">
      <c r="B5952" s="545">
        <v>7243</v>
      </c>
      <c r="C5952" s="545" t="s">
        <v>4865</v>
      </c>
      <c r="D5952" s="669" t="s">
        <v>445</v>
      </c>
      <c r="E5952" s="546">
        <v>808.62857499999996</v>
      </c>
    </row>
    <row r="5953" spans="2:5" x14ac:dyDescent="0.25">
      <c r="B5953" s="545">
        <v>7244</v>
      </c>
      <c r="C5953" s="545" t="s">
        <v>5019</v>
      </c>
      <c r="D5953" s="669" t="s">
        <v>445</v>
      </c>
      <c r="E5953" s="546">
        <v>824.48570900000004</v>
      </c>
    </row>
    <row r="5954" spans="2:5" x14ac:dyDescent="0.25">
      <c r="B5954" s="545">
        <v>7245</v>
      </c>
      <c r="C5954" s="545" t="s">
        <v>4903</v>
      </c>
      <c r="D5954" s="669" t="s">
        <v>445</v>
      </c>
      <c r="E5954" s="546">
        <v>812.61537999999996</v>
      </c>
    </row>
    <row r="5955" spans="2:5" x14ac:dyDescent="0.25">
      <c r="B5955" s="545">
        <v>7246</v>
      </c>
      <c r="C5955" s="545" t="s">
        <v>2347</v>
      </c>
      <c r="D5955" s="669" t="s">
        <v>445</v>
      </c>
      <c r="E5955" s="546">
        <v>796.97999300000004</v>
      </c>
    </row>
    <row r="5956" spans="2:5" x14ac:dyDescent="0.25">
      <c r="B5956" s="545">
        <v>7247</v>
      </c>
      <c r="C5956" s="545" t="s">
        <v>4495</v>
      </c>
      <c r="D5956" s="669" t="s">
        <v>445</v>
      </c>
      <c r="E5956" s="546">
        <v>779.860004</v>
      </c>
    </row>
    <row r="5957" spans="2:5" x14ac:dyDescent="0.25">
      <c r="B5957" s="545">
        <v>7248</v>
      </c>
      <c r="C5957" s="545" t="s">
        <v>4647</v>
      </c>
      <c r="D5957" s="669" t="s">
        <v>445</v>
      </c>
      <c r="E5957" s="546">
        <v>792.177775</v>
      </c>
    </row>
    <row r="5958" spans="2:5" x14ac:dyDescent="0.25">
      <c r="B5958" s="545">
        <v>7249</v>
      </c>
      <c r="C5958" s="545" t="s">
        <v>4801</v>
      </c>
      <c r="D5958" s="669" t="s">
        <v>445</v>
      </c>
      <c r="E5958" s="546">
        <v>803.57000100000005</v>
      </c>
    </row>
    <row r="5959" spans="2:5" x14ac:dyDescent="0.25">
      <c r="B5959" s="545">
        <v>7250</v>
      </c>
      <c r="C5959" s="545" t="s">
        <v>6970</v>
      </c>
      <c r="D5959" s="669" t="s">
        <v>445</v>
      </c>
      <c r="E5959" s="546">
        <v>778.29998799999998</v>
      </c>
    </row>
    <row r="5960" spans="2:5" x14ac:dyDescent="0.25">
      <c r="B5960" s="545">
        <v>7251</v>
      </c>
      <c r="C5960" s="545" t="s">
        <v>4449</v>
      </c>
      <c r="D5960" s="669" t="s">
        <v>445</v>
      </c>
      <c r="E5960" s="546">
        <v>776.75</v>
      </c>
    </row>
    <row r="5961" spans="2:5" x14ac:dyDescent="0.25">
      <c r="B5961" s="545">
        <v>7252</v>
      </c>
      <c r="C5961" s="545" t="s">
        <v>7509</v>
      </c>
      <c r="D5961" s="669" t="s">
        <v>445</v>
      </c>
      <c r="E5961" s="546">
        <v>759.57501200000002</v>
      </c>
    </row>
    <row r="5962" spans="2:5" x14ac:dyDescent="0.25">
      <c r="B5962" s="545">
        <v>7253</v>
      </c>
      <c r="C5962" s="545" t="s">
        <v>4451</v>
      </c>
      <c r="D5962" s="669" t="s">
        <v>445</v>
      </c>
      <c r="E5962" s="546">
        <v>776.85000600000001</v>
      </c>
    </row>
    <row r="5963" spans="2:5" x14ac:dyDescent="0.25">
      <c r="B5963" s="545">
        <v>7254</v>
      </c>
      <c r="C5963" s="545" t="s">
        <v>4646</v>
      </c>
      <c r="D5963" s="669" t="s">
        <v>445</v>
      </c>
      <c r="E5963" s="546">
        <v>792.17500299999995</v>
      </c>
    </row>
    <row r="5964" spans="2:5" x14ac:dyDescent="0.25">
      <c r="B5964" s="545">
        <v>7255</v>
      </c>
      <c r="C5964" s="545" t="s">
        <v>4703</v>
      </c>
      <c r="D5964" s="669" t="s">
        <v>445</v>
      </c>
      <c r="E5964" s="546">
        <v>796.16667700000005</v>
      </c>
    </row>
    <row r="5965" spans="2:5" x14ac:dyDescent="0.25">
      <c r="B5965" s="545">
        <v>7256</v>
      </c>
      <c r="C5965" s="545" t="s">
        <v>4607</v>
      </c>
      <c r="D5965" s="669" t="s">
        <v>445</v>
      </c>
      <c r="E5965" s="546">
        <v>788.40002400000003</v>
      </c>
    </row>
    <row r="5966" spans="2:5" x14ac:dyDescent="0.25">
      <c r="B5966" s="545">
        <v>7257</v>
      </c>
      <c r="C5966" s="545" t="s">
        <v>5096</v>
      </c>
      <c r="D5966" s="669" t="s">
        <v>445</v>
      </c>
      <c r="E5966" s="546">
        <v>832.59997599999997</v>
      </c>
    </row>
    <row r="5967" spans="2:5" x14ac:dyDescent="0.25">
      <c r="B5967" s="545">
        <v>7258</v>
      </c>
      <c r="C5967" s="545" t="s">
        <v>5175</v>
      </c>
      <c r="D5967" s="669" t="s">
        <v>445</v>
      </c>
      <c r="E5967" s="546">
        <v>841.633331</v>
      </c>
    </row>
    <row r="5968" spans="2:5" x14ac:dyDescent="0.25">
      <c r="B5968" s="545">
        <v>7259</v>
      </c>
      <c r="C5968" s="545" t="s">
        <v>6932</v>
      </c>
      <c r="D5968" s="669" t="s">
        <v>445</v>
      </c>
      <c r="E5968" s="546">
        <v>825.04000199999996</v>
      </c>
    </row>
    <row r="5969" spans="2:5" x14ac:dyDescent="0.25">
      <c r="B5969" s="545">
        <v>7260</v>
      </c>
      <c r="C5969" s="545" t="s">
        <v>4897</v>
      </c>
      <c r="D5969" s="669" t="s">
        <v>445</v>
      </c>
      <c r="E5969" s="546">
        <v>811.83333300000004</v>
      </c>
    </row>
    <row r="5970" spans="2:5" x14ac:dyDescent="0.25">
      <c r="B5970" s="545">
        <v>7261</v>
      </c>
      <c r="C5970" s="545" t="s">
        <v>698</v>
      </c>
      <c r="D5970" s="669" t="s">
        <v>445</v>
      </c>
      <c r="E5970" s="546">
        <v>837.46665399999995</v>
      </c>
    </row>
    <row r="5971" spans="2:5" x14ac:dyDescent="0.25">
      <c r="B5971" s="545">
        <v>7262</v>
      </c>
      <c r="C5971" s="545" t="s">
        <v>6961</v>
      </c>
      <c r="D5971" s="669" t="s">
        <v>445</v>
      </c>
      <c r="E5971" s="546">
        <v>813.63749700000005</v>
      </c>
    </row>
    <row r="5972" spans="2:5" x14ac:dyDescent="0.25">
      <c r="B5972" s="545">
        <v>7263</v>
      </c>
      <c r="C5972" s="545" t="s">
        <v>4965</v>
      </c>
      <c r="D5972" s="669" t="s">
        <v>445</v>
      </c>
      <c r="E5972" s="546">
        <v>818.69999199999995</v>
      </c>
    </row>
    <row r="5973" spans="2:5" x14ac:dyDescent="0.25">
      <c r="B5973" s="545">
        <v>7264</v>
      </c>
      <c r="C5973" s="545" t="s">
        <v>4963</v>
      </c>
      <c r="D5973" s="669" t="s">
        <v>445</v>
      </c>
      <c r="E5973" s="546">
        <v>818.13749700000005</v>
      </c>
    </row>
    <row r="5974" spans="2:5" x14ac:dyDescent="0.25">
      <c r="B5974" s="545">
        <v>7265</v>
      </c>
      <c r="C5974" s="545" t="s">
        <v>7289</v>
      </c>
      <c r="D5974" s="669" t="s">
        <v>445</v>
      </c>
      <c r="E5974" s="546">
        <v>811.11111100000005</v>
      </c>
    </row>
    <row r="5975" spans="2:5" x14ac:dyDescent="0.25">
      <c r="B5975" s="545">
        <v>7266</v>
      </c>
      <c r="C5975" s="545" t="s">
        <v>5105</v>
      </c>
      <c r="D5975" s="669" t="s">
        <v>445</v>
      </c>
      <c r="E5975" s="546">
        <v>833.87498500000004</v>
      </c>
    </row>
    <row r="5976" spans="2:5" x14ac:dyDescent="0.25">
      <c r="B5976" s="545">
        <v>7267</v>
      </c>
      <c r="C5976" s="545" t="s">
        <v>5235</v>
      </c>
      <c r="D5976" s="669" t="s">
        <v>445</v>
      </c>
      <c r="E5976" s="546">
        <v>851.39998400000002</v>
      </c>
    </row>
    <row r="5977" spans="2:5" x14ac:dyDescent="0.25">
      <c r="B5977" s="545">
        <v>7268</v>
      </c>
      <c r="C5977" s="545" t="s">
        <v>3001</v>
      </c>
      <c r="D5977" s="669" t="s">
        <v>445</v>
      </c>
      <c r="E5977" s="546">
        <v>846.32000700000003</v>
      </c>
    </row>
    <row r="5978" spans="2:5" x14ac:dyDescent="0.25">
      <c r="B5978" s="545">
        <v>7269</v>
      </c>
      <c r="C5978" s="545" t="s">
        <v>5200</v>
      </c>
      <c r="D5978" s="669" t="s">
        <v>445</v>
      </c>
      <c r="E5978" s="546">
        <v>845.671426</v>
      </c>
    </row>
    <row r="5979" spans="2:5" x14ac:dyDescent="0.25">
      <c r="B5979" s="545">
        <v>7270</v>
      </c>
      <c r="C5979" s="545" t="s">
        <v>4362</v>
      </c>
      <c r="D5979" s="669" t="s">
        <v>445</v>
      </c>
      <c r="E5979" s="546">
        <v>805.21666500000003</v>
      </c>
    </row>
    <row r="5980" spans="2:5" x14ac:dyDescent="0.25">
      <c r="B5980" s="545">
        <v>7271</v>
      </c>
      <c r="C5980" s="545" t="s">
        <v>5138</v>
      </c>
      <c r="D5980" s="669" t="s">
        <v>445</v>
      </c>
      <c r="E5980" s="546">
        <v>837.759998</v>
      </c>
    </row>
    <row r="5981" spans="2:5" x14ac:dyDescent="0.25">
      <c r="B5981" s="545">
        <v>7272</v>
      </c>
      <c r="C5981" s="545" t="s">
        <v>5148</v>
      </c>
      <c r="D5981" s="669" t="s">
        <v>445</v>
      </c>
      <c r="E5981" s="546">
        <v>838.55999799999995</v>
      </c>
    </row>
    <row r="5982" spans="2:5" x14ac:dyDescent="0.25">
      <c r="B5982" s="545">
        <v>7273</v>
      </c>
      <c r="C5982" s="545" t="s">
        <v>6649</v>
      </c>
      <c r="D5982" s="669" t="s">
        <v>445</v>
      </c>
      <c r="E5982" s="546">
        <v>879.28181600000005</v>
      </c>
    </row>
    <row r="5983" spans="2:5" x14ac:dyDescent="0.25">
      <c r="B5983" s="545">
        <v>7274</v>
      </c>
      <c r="C5983" s="545" t="s">
        <v>4714</v>
      </c>
      <c r="D5983" s="669" t="s">
        <v>445</v>
      </c>
      <c r="E5983" s="546">
        <v>797.40001199999995</v>
      </c>
    </row>
    <row r="5984" spans="2:5" x14ac:dyDescent="0.25">
      <c r="B5984" s="545">
        <v>7275</v>
      </c>
      <c r="C5984" s="545" t="s">
        <v>4900</v>
      </c>
      <c r="D5984" s="669" t="s">
        <v>445</v>
      </c>
      <c r="E5984" s="546">
        <v>812.25000799999998</v>
      </c>
    </row>
    <row r="5985" spans="2:5" x14ac:dyDescent="0.25">
      <c r="B5985" s="545">
        <v>7276</v>
      </c>
      <c r="C5985" s="545" t="s">
        <v>4772</v>
      </c>
      <c r="D5985" s="669" t="s">
        <v>445</v>
      </c>
      <c r="E5985" s="546">
        <v>801.87143400000002</v>
      </c>
    </row>
    <row r="5986" spans="2:5" x14ac:dyDescent="0.25">
      <c r="B5986" s="545">
        <v>7277</v>
      </c>
      <c r="C5986" s="545" t="s">
        <v>807</v>
      </c>
      <c r="D5986" s="669" t="s">
        <v>445</v>
      </c>
      <c r="E5986" s="546">
        <v>785.375</v>
      </c>
    </row>
    <row r="5987" spans="2:5" x14ac:dyDescent="0.25">
      <c r="B5987" s="545">
        <v>7278</v>
      </c>
      <c r="C5987" s="545" t="s">
        <v>4927</v>
      </c>
      <c r="D5987" s="669" t="s">
        <v>445</v>
      </c>
      <c r="E5987" s="546">
        <v>814.81667100000004</v>
      </c>
    </row>
    <row r="5988" spans="2:5" x14ac:dyDescent="0.25">
      <c r="B5988" s="545">
        <v>7279</v>
      </c>
      <c r="C5988" s="545" t="s">
        <v>4797</v>
      </c>
      <c r="D5988" s="669" t="s">
        <v>445</v>
      </c>
      <c r="E5988" s="546">
        <v>803.19999700000005</v>
      </c>
    </row>
    <row r="5989" spans="2:5" x14ac:dyDescent="0.25">
      <c r="B5989" s="545">
        <v>7280</v>
      </c>
      <c r="C5989" s="545" t="s">
        <v>3284</v>
      </c>
      <c r="D5989" s="669" t="s">
        <v>445</v>
      </c>
      <c r="E5989" s="546">
        <v>809.48000500000001</v>
      </c>
    </row>
    <row r="5990" spans="2:5" x14ac:dyDescent="0.25">
      <c r="B5990" s="545">
        <v>7281</v>
      </c>
      <c r="C5990" s="545" t="s">
        <v>4976</v>
      </c>
      <c r="D5990" s="669" t="s">
        <v>445</v>
      </c>
      <c r="E5990" s="546">
        <v>819.87142500000004</v>
      </c>
    </row>
    <row r="5991" spans="2:5" x14ac:dyDescent="0.25">
      <c r="B5991" s="545">
        <v>7282</v>
      </c>
      <c r="C5991" s="545" t="s">
        <v>5146</v>
      </c>
      <c r="D5991" s="669" t="s">
        <v>445</v>
      </c>
      <c r="E5991" s="546">
        <v>838.39999799999998</v>
      </c>
    </row>
    <row r="5992" spans="2:5" x14ac:dyDescent="0.25">
      <c r="B5992" s="545">
        <v>7283</v>
      </c>
      <c r="C5992" s="545" t="s">
        <v>4683</v>
      </c>
      <c r="D5992" s="669" t="s">
        <v>445</v>
      </c>
      <c r="E5992" s="546">
        <v>794.46250899999995</v>
      </c>
    </row>
    <row r="5993" spans="2:5" x14ac:dyDescent="0.25">
      <c r="B5993" s="545">
        <v>7284</v>
      </c>
      <c r="C5993" s="545" t="s">
        <v>5150</v>
      </c>
      <c r="D5993" s="669" t="s">
        <v>445</v>
      </c>
      <c r="E5993" s="546">
        <v>838.75</v>
      </c>
    </row>
    <row r="5994" spans="2:5" x14ac:dyDescent="0.25">
      <c r="B5994" s="545">
        <v>7285</v>
      </c>
      <c r="C5994" s="545" t="s">
        <v>4907</v>
      </c>
      <c r="D5994" s="669" t="s">
        <v>445</v>
      </c>
      <c r="E5994" s="546">
        <v>812.85000600000001</v>
      </c>
    </row>
    <row r="5995" spans="2:5" x14ac:dyDescent="0.25">
      <c r="B5995" s="545">
        <v>7286</v>
      </c>
      <c r="C5995" s="545" t="s">
        <v>445</v>
      </c>
      <c r="D5995" s="669" t="s">
        <v>445</v>
      </c>
      <c r="E5995" s="546">
        <v>767.179169</v>
      </c>
    </row>
    <row r="5996" spans="2:5" x14ac:dyDescent="0.25">
      <c r="B5996" s="545">
        <v>7287</v>
      </c>
      <c r="C5996" s="545" t="s">
        <v>3044</v>
      </c>
      <c r="D5996" s="669" t="s">
        <v>445</v>
      </c>
      <c r="E5996" s="546">
        <v>758.75000799999998</v>
      </c>
    </row>
    <row r="5997" spans="2:5" x14ac:dyDescent="0.25">
      <c r="B5997" s="545">
        <v>7288</v>
      </c>
      <c r="C5997" s="545" t="s">
        <v>3871</v>
      </c>
      <c r="D5997" s="669" t="s">
        <v>445</v>
      </c>
      <c r="E5997" s="546">
        <v>737.14482599999997</v>
      </c>
    </row>
    <row r="5998" spans="2:5" x14ac:dyDescent="0.25">
      <c r="B5998" s="545">
        <v>7289</v>
      </c>
      <c r="C5998" s="545" t="s">
        <v>4483</v>
      </c>
      <c r="D5998" s="669" t="s">
        <v>445</v>
      </c>
      <c r="E5998" s="546">
        <v>778.69999199999995</v>
      </c>
    </row>
    <row r="5999" spans="2:5" x14ac:dyDescent="0.25">
      <c r="B5999" s="545">
        <v>7290</v>
      </c>
      <c r="C5999" s="545" t="s">
        <v>4346</v>
      </c>
      <c r="D5999" s="669" t="s">
        <v>445</v>
      </c>
      <c r="E5999" s="546">
        <v>767.96665399999995</v>
      </c>
    </row>
    <row r="6000" spans="2:5" x14ac:dyDescent="0.25">
      <c r="B6000" s="545">
        <v>7291</v>
      </c>
      <c r="C6000" s="545" t="s">
        <v>4550</v>
      </c>
      <c r="D6000" s="669" t="s">
        <v>445</v>
      </c>
      <c r="E6000" s="546">
        <v>784.01667299999997</v>
      </c>
    </row>
    <row r="6001" spans="2:5" x14ac:dyDescent="0.25">
      <c r="B6001" s="545">
        <v>7292</v>
      </c>
      <c r="C6001" s="545" t="s">
        <v>6805</v>
      </c>
      <c r="D6001" s="669" t="s">
        <v>445</v>
      </c>
      <c r="E6001" s="546">
        <v>788.76153999999997</v>
      </c>
    </row>
    <row r="6002" spans="2:5" x14ac:dyDescent="0.25">
      <c r="B6002" s="545">
        <v>7293</v>
      </c>
      <c r="C6002" s="545" t="s">
        <v>1915</v>
      </c>
      <c r="D6002" s="669" t="s">
        <v>445</v>
      </c>
      <c r="E6002" s="546">
        <v>842.726315</v>
      </c>
    </row>
    <row r="6003" spans="2:5" x14ac:dyDescent="0.25">
      <c r="B6003" s="545">
        <v>7294</v>
      </c>
      <c r="C6003" s="545" t="s">
        <v>4838</v>
      </c>
      <c r="D6003" s="669" t="s">
        <v>445</v>
      </c>
      <c r="E6003" s="546">
        <v>806.56153800000004</v>
      </c>
    </row>
    <row r="6004" spans="2:5" x14ac:dyDescent="0.25">
      <c r="B6004" s="545">
        <v>7295</v>
      </c>
      <c r="C6004" s="545" t="s">
        <v>3593</v>
      </c>
      <c r="D6004" s="669" t="s">
        <v>445</v>
      </c>
      <c r="E6004" s="546">
        <v>812.80715899999996</v>
      </c>
    </row>
    <row r="6005" spans="2:5" x14ac:dyDescent="0.25">
      <c r="B6005" s="545">
        <v>7296</v>
      </c>
      <c r="C6005" s="545" t="s">
        <v>4810</v>
      </c>
      <c r="D6005" s="669" t="s">
        <v>445</v>
      </c>
      <c r="E6005" s="546">
        <v>804.09999600000003</v>
      </c>
    </row>
    <row r="6006" spans="2:5" x14ac:dyDescent="0.25">
      <c r="B6006" s="545">
        <v>7297</v>
      </c>
      <c r="C6006" s="545" t="s">
        <v>5051</v>
      </c>
      <c r="D6006" s="669" t="s">
        <v>445</v>
      </c>
      <c r="E6006" s="546">
        <v>828.53332499999999</v>
      </c>
    </row>
    <row r="6007" spans="2:5" x14ac:dyDescent="0.25">
      <c r="B6007" s="545">
        <v>7298</v>
      </c>
      <c r="C6007" s="545" t="s">
        <v>5121</v>
      </c>
      <c r="D6007" s="669" t="s">
        <v>445</v>
      </c>
      <c r="E6007" s="546">
        <v>835.29998799999998</v>
      </c>
    </row>
    <row r="6008" spans="2:5" x14ac:dyDescent="0.25">
      <c r="B6008" s="545">
        <v>7299</v>
      </c>
      <c r="C6008" s="545" t="s">
        <v>4946</v>
      </c>
      <c r="D6008" s="669" t="s">
        <v>445</v>
      </c>
      <c r="E6008" s="546">
        <v>816.20001200000002</v>
      </c>
    </row>
    <row r="6009" spans="2:5" x14ac:dyDescent="0.25">
      <c r="B6009" s="545">
        <v>7300</v>
      </c>
      <c r="C6009" s="545" t="s">
        <v>5301</v>
      </c>
      <c r="D6009" s="669" t="s">
        <v>445</v>
      </c>
      <c r="E6009" s="546">
        <v>862.22500600000001</v>
      </c>
    </row>
    <row r="6010" spans="2:5" x14ac:dyDescent="0.25">
      <c r="B6010" s="545">
        <v>7301</v>
      </c>
      <c r="C6010" s="545" t="s">
        <v>5418</v>
      </c>
      <c r="D6010" s="669" t="s">
        <v>445</v>
      </c>
      <c r="E6010" s="546">
        <v>882</v>
      </c>
    </row>
    <row r="6011" spans="2:5" x14ac:dyDescent="0.25">
      <c r="B6011" s="545">
        <v>7302</v>
      </c>
      <c r="C6011" s="545" t="s">
        <v>5289</v>
      </c>
      <c r="D6011" s="669" t="s">
        <v>445</v>
      </c>
      <c r="E6011" s="546">
        <v>859.63334099999997</v>
      </c>
    </row>
    <row r="6012" spans="2:5" x14ac:dyDescent="0.25">
      <c r="B6012" s="545">
        <v>7303</v>
      </c>
      <c r="C6012" s="545" t="s">
        <v>5670</v>
      </c>
      <c r="D6012" s="669" t="s">
        <v>445</v>
      </c>
      <c r="E6012" s="546">
        <v>930.78333499999997</v>
      </c>
    </row>
    <row r="6013" spans="2:5" x14ac:dyDescent="0.25">
      <c r="B6013" s="545">
        <v>7304</v>
      </c>
      <c r="C6013" s="545" t="s">
        <v>5141</v>
      </c>
      <c r="D6013" s="669" t="s">
        <v>445</v>
      </c>
      <c r="E6013" s="546">
        <v>837.78928699999994</v>
      </c>
    </row>
    <row r="6014" spans="2:5" x14ac:dyDescent="0.25">
      <c r="B6014" s="545">
        <v>7305</v>
      </c>
      <c r="C6014" s="545" t="s">
        <v>5599</v>
      </c>
      <c r="D6014" s="669" t="s">
        <v>445</v>
      </c>
      <c r="E6014" s="546">
        <v>911.16667700000005</v>
      </c>
    </row>
    <row r="6015" spans="2:5" x14ac:dyDescent="0.25">
      <c r="B6015" s="545">
        <v>7306</v>
      </c>
      <c r="C6015" s="545" t="s">
        <v>3303</v>
      </c>
      <c r="D6015" s="669" t="s">
        <v>445</v>
      </c>
      <c r="E6015" s="546">
        <v>914.23333700000001</v>
      </c>
    </row>
    <row r="6016" spans="2:5" x14ac:dyDescent="0.25">
      <c r="B6016" s="545">
        <v>7307</v>
      </c>
      <c r="C6016" s="545" t="s">
        <v>5390</v>
      </c>
      <c r="D6016" s="669" t="s">
        <v>445</v>
      </c>
      <c r="E6016" s="546">
        <v>876.73076900000001</v>
      </c>
    </row>
    <row r="6017" spans="2:5" x14ac:dyDescent="0.25">
      <c r="B6017" s="545">
        <v>7308</v>
      </c>
      <c r="C6017" s="545" t="s">
        <v>7492</v>
      </c>
      <c r="D6017" s="669" t="s">
        <v>445</v>
      </c>
      <c r="E6017" s="546">
        <v>878.43333900000005</v>
      </c>
    </row>
    <row r="6018" spans="2:5" x14ac:dyDescent="0.25">
      <c r="B6018" s="545">
        <v>7309</v>
      </c>
      <c r="C6018" s="545" t="s">
        <v>7085</v>
      </c>
      <c r="D6018" s="669" t="s">
        <v>445</v>
      </c>
      <c r="E6018" s="546">
        <v>831.75263700000005</v>
      </c>
    </row>
    <row r="6019" spans="2:5" x14ac:dyDescent="0.25">
      <c r="B6019" s="545">
        <v>7310</v>
      </c>
      <c r="C6019" s="545" t="s">
        <v>5523</v>
      </c>
      <c r="D6019" s="669" t="s">
        <v>445</v>
      </c>
      <c r="E6019" s="546">
        <v>899.20910100000003</v>
      </c>
    </row>
    <row r="6020" spans="2:5" x14ac:dyDescent="0.25">
      <c r="B6020" s="545">
        <v>7311</v>
      </c>
      <c r="C6020" s="545" t="s">
        <v>5473</v>
      </c>
      <c r="D6020" s="669" t="s">
        <v>445</v>
      </c>
      <c r="E6020" s="546">
        <v>892.39999399999999</v>
      </c>
    </row>
    <row r="6021" spans="2:5" x14ac:dyDescent="0.25">
      <c r="B6021" s="545">
        <v>7312</v>
      </c>
      <c r="C6021" s="545" t="s">
        <v>3796</v>
      </c>
      <c r="D6021" s="669" t="s">
        <v>445</v>
      </c>
      <c r="E6021" s="546">
        <v>893.56153800000004</v>
      </c>
    </row>
    <row r="6022" spans="2:5" x14ac:dyDescent="0.25">
      <c r="B6022" s="545">
        <v>7313</v>
      </c>
      <c r="C6022" s="545" t="s">
        <v>5744</v>
      </c>
      <c r="D6022" s="669" t="s">
        <v>445</v>
      </c>
      <c r="E6022" s="546">
        <v>952.04000199999996</v>
      </c>
    </row>
    <row r="6023" spans="2:5" x14ac:dyDescent="0.25">
      <c r="B6023" s="545">
        <v>7314</v>
      </c>
      <c r="C6023" s="545" t="s">
        <v>7229</v>
      </c>
      <c r="D6023" s="669" t="s">
        <v>445</v>
      </c>
      <c r="E6023" s="546">
        <v>916.28000499999996</v>
      </c>
    </row>
    <row r="6024" spans="2:5" x14ac:dyDescent="0.25">
      <c r="B6024" s="545">
        <v>7315</v>
      </c>
      <c r="C6024" s="545" t="s">
        <v>5591</v>
      </c>
      <c r="D6024" s="669" t="s">
        <v>445</v>
      </c>
      <c r="E6024" s="546">
        <v>909.95000200000004</v>
      </c>
    </row>
    <row r="6025" spans="2:5" x14ac:dyDescent="0.25">
      <c r="B6025" s="545">
        <v>7316</v>
      </c>
      <c r="C6025" s="545" t="s">
        <v>5592</v>
      </c>
      <c r="D6025" s="669" t="s">
        <v>445</v>
      </c>
      <c r="E6025" s="546">
        <v>910.08235400000001</v>
      </c>
    </row>
    <row r="6026" spans="2:5" x14ac:dyDescent="0.25">
      <c r="B6026" s="545">
        <v>7317</v>
      </c>
      <c r="C6026" s="545" t="s">
        <v>2458</v>
      </c>
      <c r="D6026" s="669" t="s">
        <v>445</v>
      </c>
      <c r="E6026" s="546">
        <v>888.19998199999998</v>
      </c>
    </row>
    <row r="6027" spans="2:5" x14ac:dyDescent="0.25">
      <c r="B6027" s="545">
        <v>7318</v>
      </c>
      <c r="C6027" s="545" t="s">
        <v>5628</v>
      </c>
      <c r="D6027" s="669" t="s">
        <v>445</v>
      </c>
      <c r="E6027" s="546">
        <v>918.22727799999996</v>
      </c>
    </row>
    <row r="6028" spans="2:5" x14ac:dyDescent="0.25">
      <c r="B6028" s="545">
        <v>7319</v>
      </c>
      <c r="C6028" s="545" t="s">
        <v>5633</v>
      </c>
      <c r="D6028" s="669" t="s">
        <v>445</v>
      </c>
      <c r="E6028" s="546">
        <v>919.79998799999998</v>
      </c>
    </row>
    <row r="6029" spans="2:5" x14ac:dyDescent="0.25">
      <c r="B6029" s="545">
        <v>7320</v>
      </c>
      <c r="C6029" s="545" t="s">
        <v>6853</v>
      </c>
      <c r="D6029" s="669" t="s">
        <v>445</v>
      </c>
      <c r="E6029" s="546">
        <v>861.63636399999996</v>
      </c>
    </row>
    <row r="6030" spans="2:5" x14ac:dyDescent="0.25">
      <c r="B6030" s="545">
        <v>7321</v>
      </c>
      <c r="C6030" s="545" t="s">
        <v>5663</v>
      </c>
      <c r="D6030" s="669" t="s">
        <v>445</v>
      </c>
      <c r="E6030" s="546">
        <v>928.44374800000003</v>
      </c>
    </row>
    <row r="6031" spans="2:5" x14ac:dyDescent="0.25">
      <c r="B6031" s="545">
        <v>7322</v>
      </c>
      <c r="C6031" s="545" t="s">
        <v>5179</v>
      </c>
      <c r="D6031" s="669" t="s">
        <v>445</v>
      </c>
      <c r="E6031" s="546">
        <v>842.24667599999998</v>
      </c>
    </row>
    <row r="6032" spans="2:5" x14ac:dyDescent="0.25">
      <c r="B6032" s="545">
        <v>7323</v>
      </c>
      <c r="C6032" s="545" t="s">
        <v>5140</v>
      </c>
      <c r="D6032" s="669" t="s">
        <v>445</v>
      </c>
      <c r="E6032" s="546">
        <v>837.78571399999998</v>
      </c>
    </row>
    <row r="6033" spans="2:5" x14ac:dyDescent="0.25">
      <c r="B6033" s="545">
        <v>7324</v>
      </c>
      <c r="C6033" s="545" t="s">
        <v>5130</v>
      </c>
      <c r="D6033" s="669" t="s">
        <v>445</v>
      </c>
      <c r="E6033" s="546">
        <v>836.62500399999999</v>
      </c>
    </row>
    <row r="6034" spans="2:5" x14ac:dyDescent="0.25">
      <c r="B6034" s="545">
        <v>7326</v>
      </c>
      <c r="C6034" s="545" t="s">
        <v>6560</v>
      </c>
      <c r="D6034" s="669" t="s">
        <v>445</v>
      </c>
      <c r="E6034" s="546">
        <v>875.05516899999998</v>
      </c>
    </row>
    <row r="6035" spans="2:5" x14ac:dyDescent="0.25">
      <c r="B6035" s="545">
        <v>7327</v>
      </c>
      <c r="C6035" s="545" t="s">
        <v>1501</v>
      </c>
      <c r="D6035" s="669" t="s">
        <v>445</v>
      </c>
      <c r="E6035" s="546">
        <v>952.89998400000002</v>
      </c>
    </row>
    <row r="6036" spans="2:5" x14ac:dyDescent="0.25">
      <c r="B6036" s="545">
        <v>7328</v>
      </c>
      <c r="C6036" s="545" t="s">
        <v>5691</v>
      </c>
      <c r="D6036" s="669" t="s">
        <v>445</v>
      </c>
      <c r="E6036" s="546">
        <v>935.76667599999996</v>
      </c>
    </row>
    <row r="6037" spans="2:5" x14ac:dyDescent="0.25">
      <c r="B6037" s="545">
        <v>7329</v>
      </c>
      <c r="C6037" s="545" t="s">
        <v>2919</v>
      </c>
      <c r="D6037" s="669" t="s">
        <v>445</v>
      </c>
      <c r="E6037" s="546">
        <v>868.34000200000003</v>
      </c>
    </row>
    <row r="6038" spans="2:5" x14ac:dyDescent="0.25">
      <c r="B6038" s="545">
        <v>7330</v>
      </c>
      <c r="C6038" s="545" t="s">
        <v>5689</v>
      </c>
      <c r="D6038" s="669" t="s">
        <v>445</v>
      </c>
      <c r="E6038" s="546">
        <v>935.55001100000004</v>
      </c>
    </row>
    <row r="6039" spans="2:5" x14ac:dyDescent="0.25">
      <c r="B6039" s="545">
        <v>7331</v>
      </c>
      <c r="C6039" s="545" t="s">
        <v>5271</v>
      </c>
      <c r="D6039" s="669" t="s">
        <v>445</v>
      </c>
      <c r="E6039" s="546">
        <v>856.85000300000002</v>
      </c>
    </row>
    <row r="6040" spans="2:5" x14ac:dyDescent="0.25">
      <c r="B6040" s="545">
        <v>7332</v>
      </c>
      <c r="C6040" s="545" t="s">
        <v>2137</v>
      </c>
      <c r="D6040" s="669" t="s">
        <v>445</v>
      </c>
      <c r="E6040" s="546">
        <v>848.18125499999996</v>
      </c>
    </row>
    <row r="6041" spans="2:5" x14ac:dyDescent="0.25">
      <c r="B6041" s="545">
        <v>7333</v>
      </c>
      <c r="C6041" s="545" t="s">
        <v>5470</v>
      </c>
      <c r="D6041" s="669" t="s">
        <v>445</v>
      </c>
      <c r="E6041" s="546">
        <v>891.54000499999995</v>
      </c>
    </row>
    <row r="6042" spans="2:5" x14ac:dyDescent="0.25">
      <c r="B6042" s="545">
        <v>7334</v>
      </c>
      <c r="C6042" s="545" t="s">
        <v>5515</v>
      </c>
      <c r="D6042" s="669" t="s">
        <v>445</v>
      </c>
      <c r="E6042" s="546">
        <v>897.4375</v>
      </c>
    </row>
    <row r="6043" spans="2:5" x14ac:dyDescent="0.25">
      <c r="B6043" s="545">
        <v>7335</v>
      </c>
      <c r="C6043" s="545" t="s">
        <v>7460</v>
      </c>
      <c r="D6043" s="669" t="s">
        <v>445</v>
      </c>
      <c r="E6043" s="546">
        <v>892.97272299999997</v>
      </c>
    </row>
    <row r="6044" spans="2:5" x14ac:dyDescent="0.25">
      <c r="B6044" s="545">
        <v>7336</v>
      </c>
      <c r="C6044" s="545" t="s">
        <v>5490</v>
      </c>
      <c r="D6044" s="669" t="s">
        <v>445</v>
      </c>
      <c r="E6044" s="546">
        <v>894.06874100000005</v>
      </c>
    </row>
    <row r="6045" spans="2:5" x14ac:dyDescent="0.25">
      <c r="B6045" s="545">
        <v>7337</v>
      </c>
      <c r="C6045" s="545" t="s">
        <v>7153</v>
      </c>
      <c r="D6045" s="669" t="s">
        <v>445</v>
      </c>
      <c r="E6045" s="546">
        <v>814.66666699999996</v>
      </c>
    </row>
    <row r="6046" spans="2:5" x14ac:dyDescent="0.25">
      <c r="B6046" s="545">
        <v>7351</v>
      </c>
      <c r="C6046" s="545" t="s">
        <v>4657</v>
      </c>
      <c r="D6046" s="669" t="s">
        <v>450</v>
      </c>
      <c r="E6046" s="546">
        <v>792.78000499999996</v>
      </c>
    </row>
    <row r="6047" spans="2:5" x14ac:dyDescent="0.25">
      <c r="B6047" s="545">
        <v>7352</v>
      </c>
      <c r="C6047" s="545" t="s">
        <v>4667</v>
      </c>
      <c r="D6047" s="669" t="s">
        <v>450</v>
      </c>
      <c r="E6047" s="546">
        <v>793.56666099999995</v>
      </c>
    </row>
    <row r="6048" spans="2:5" x14ac:dyDescent="0.25">
      <c r="B6048" s="545">
        <v>7353</v>
      </c>
      <c r="C6048" s="545" t="s">
        <v>4800</v>
      </c>
      <c r="D6048" s="669" t="s">
        <v>450</v>
      </c>
      <c r="E6048" s="546">
        <v>803.42000099999996</v>
      </c>
    </row>
    <row r="6049" spans="2:5" x14ac:dyDescent="0.25">
      <c r="B6049" s="545">
        <v>7354</v>
      </c>
      <c r="C6049" s="545" t="s">
        <v>7523</v>
      </c>
      <c r="D6049" s="669" t="s">
        <v>450</v>
      </c>
      <c r="E6049" s="546">
        <v>808.65714800000001</v>
      </c>
    </row>
    <row r="6050" spans="2:5" x14ac:dyDescent="0.25">
      <c r="B6050" s="545">
        <v>7355</v>
      </c>
      <c r="C6050" s="545" t="s">
        <v>4545</v>
      </c>
      <c r="D6050" s="669" t="s">
        <v>450</v>
      </c>
      <c r="E6050" s="546">
        <v>783.61111100000005</v>
      </c>
    </row>
    <row r="6051" spans="2:5" x14ac:dyDescent="0.25">
      <c r="B6051" s="545">
        <v>7356</v>
      </c>
      <c r="C6051" s="545" t="s">
        <v>4783</v>
      </c>
      <c r="D6051" s="669" t="s">
        <v>450</v>
      </c>
      <c r="E6051" s="546">
        <v>802.21666500000003</v>
      </c>
    </row>
    <row r="6052" spans="2:5" x14ac:dyDescent="0.25">
      <c r="B6052" s="545">
        <v>7357</v>
      </c>
      <c r="C6052" s="545" t="s">
        <v>1047</v>
      </c>
      <c r="D6052" s="669" t="s">
        <v>450</v>
      </c>
      <c r="E6052" s="546">
        <v>821.81427900000006</v>
      </c>
    </row>
    <row r="6053" spans="2:5" x14ac:dyDescent="0.25">
      <c r="B6053" s="545">
        <v>7358</v>
      </c>
      <c r="C6053" s="545" t="s">
        <v>4505</v>
      </c>
      <c r="D6053" s="669" t="s">
        <v>450</v>
      </c>
      <c r="E6053" s="546">
        <v>780.32498899999996</v>
      </c>
    </row>
    <row r="6054" spans="2:5" x14ac:dyDescent="0.25">
      <c r="B6054" s="545">
        <v>7359</v>
      </c>
      <c r="C6054" s="545" t="s">
        <v>4885</v>
      </c>
      <c r="D6054" s="669" t="s">
        <v>450</v>
      </c>
      <c r="E6054" s="546">
        <v>810.00001499999996</v>
      </c>
    </row>
    <row r="6055" spans="2:5" x14ac:dyDescent="0.25">
      <c r="B6055" s="545">
        <v>7360</v>
      </c>
      <c r="C6055" s="545" t="s">
        <v>5081</v>
      </c>
      <c r="D6055" s="669" t="s">
        <v>450</v>
      </c>
      <c r="E6055" s="546">
        <v>831.21999500000004</v>
      </c>
    </row>
    <row r="6056" spans="2:5" x14ac:dyDescent="0.25">
      <c r="B6056" s="545">
        <v>7361</v>
      </c>
      <c r="C6056" s="545" t="s">
        <v>5028</v>
      </c>
      <c r="D6056" s="669" t="s">
        <v>450</v>
      </c>
      <c r="E6056" s="546">
        <v>825.79998799999998</v>
      </c>
    </row>
    <row r="6057" spans="2:5" x14ac:dyDescent="0.25">
      <c r="B6057" s="545">
        <v>7362</v>
      </c>
      <c r="C6057" s="545" t="s">
        <v>5127</v>
      </c>
      <c r="D6057" s="669" t="s">
        <v>450</v>
      </c>
      <c r="E6057" s="546">
        <v>836.48571800000002</v>
      </c>
    </row>
    <row r="6058" spans="2:5" x14ac:dyDescent="0.25">
      <c r="B6058" s="545">
        <v>7363</v>
      </c>
      <c r="C6058" s="545" t="s">
        <v>5067</v>
      </c>
      <c r="D6058" s="669" t="s">
        <v>450</v>
      </c>
      <c r="E6058" s="546">
        <v>830.31428700000004</v>
      </c>
    </row>
    <row r="6059" spans="2:5" x14ac:dyDescent="0.25">
      <c r="B6059" s="545">
        <v>7364</v>
      </c>
      <c r="C6059" s="545" t="s">
        <v>5240</v>
      </c>
      <c r="D6059" s="669" t="s">
        <v>450</v>
      </c>
      <c r="E6059" s="546">
        <v>852.0625</v>
      </c>
    </row>
    <row r="6060" spans="2:5" x14ac:dyDescent="0.25">
      <c r="B6060" s="545">
        <v>7365</v>
      </c>
      <c r="C6060" s="545" t="s">
        <v>5280</v>
      </c>
      <c r="D6060" s="669" t="s">
        <v>450</v>
      </c>
      <c r="E6060" s="546">
        <v>858.36666500000001</v>
      </c>
    </row>
    <row r="6061" spans="2:5" x14ac:dyDescent="0.25">
      <c r="B6061" s="545">
        <v>7366</v>
      </c>
      <c r="C6061" s="545" t="s">
        <v>4443</v>
      </c>
      <c r="D6061" s="669" t="s">
        <v>450</v>
      </c>
      <c r="E6061" s="546">
        <v>776.40000399999997</v>
      </c>
    </row>
    <row r="6062" spans="2:5" x14ac:dyDescent="0.25">
      <c r="B6062" s="545">
        <v>7367</v>
      </c>
      <c r="C6062" s="545" t="s">
        <v>4303</v>
      </c>
      <c r="D6062" s="669" t="s">
        <v>450</v>
      </c>
      <c r="E6062" s="546">
        <v>764.94998199999998</v>
      </c>
    </row>
    <row r="6063" spans="2:5" x14ac:dyDescent="0.25">
      <c r="B6063" s="545">
        <v>7368</v>
      </c>
      <c r="C6063" s="545" t="s">
        <v>7480</v>
      </c>
      <c r="D6063" s="669" t="s">
        <v>450</v>
      </c>
      <c r="E6063" s="546">
        <v>779.32000700000003</v>
      </c>
    </row>
    <row r="6064" spans="2:5" x14ac:dyDescent="0.25">
      <c r="B6064" s="545">
        <v>7369</v>
      </c>
      <c r="C6064" s="545" t="s">
        <v>4599</v>
      </c>
      <c r="D6064" s="669" t="s">
        <v>450</v>
      </c>
      <c r="E6064" s="546">
        <v>787.81667100000004</v>
      </c>
    </row>
    <row r="6065" spans="2:5" x14ac:dyDescent="0.25">
      <c r="B6065" s="545">
        <v>7370</v>
      </c>
      <c r="C6065" s="545" t="s">
        <v>4681</v>
      </c>
      <c r="D6065" s="669" t="s">
        <v>450</v>
      </c>
      <c r="E6065" s="546">
        <v>794.36665900000003</v>
      </c>
    </row>
    <row r="6066" spans="2:5" x14ac:dyDescent="0.25">
      <c r="B6066" s="545">
        <v>7371</v>
      </c>
      <c r="C6066" s="545" t="s">
        <v>4720</v>
      </c>
      <c r="D6066" s="669" t="s">
        <v>450</v>
      </c>
      <c r="E6066" s="546">
        <v>797.59231299999999</v>
      </c>
    </row>
    <row r="6067" spans="2:5" x14ac:dyDescent="0.25">
      <c r="B6067" s="545">
        <v>7372</v>
      </c>
      <c r="C6067" s="545" t="s">
        <v>4641</v>
      </c>
      <c r="D6067" s="669" t="s">
        <v>450</v>
      </c>
      <c r="E6067" s="546">
        <v>791.65713900000003</v>
      </c>
    </row>
    <row r="6068" spans="2:5" x14ac:dyDescent="0.25">
      <c r="B6068" s="545">
        <v>7373</v>
      </c>
      <c r="C6068" s="545" t="s">
        <v>4739</v>
      </c>
      <c r="D6068" s="669" t="s">
        <v>450</v>
      </c>
      <c r="E6068" s="546">
        <v>799.32501200000002</v>
      </c>
    </row>
    <row r="6069" spans="2:5" x14ac:dyDescent="0.25">
      <c r="B6069" s="545">
        <v>7374</v>
      </c>
      <c r="C6069" s="545" t="s">
        <v>4015</v>
      </c>
      <c r="D6069" s="669" t="s">
        <v>450</v>
      </c>
      <c r="E6069" s="546">
        <v>825.92500299999995</v>
      </c>
    </row>
    <row r="6070" spans="2:5" x14ac:dyDescent="0.25">
      <c r="B6070" s="545">
        <v>7375</v>
      </c>
      <c r="C6070" s="545" t="s">
        <v>4891</v>
      </c>
      <c r="D6070" s="669" t="s">
        <v>450</v>
      </c>
      <c r="E6070" s="546">
        <v>811.240002</v>
      </c>
    </row>
    <row r="6071" spans="2:5" x14ac:dyDescent="0.25">
      <c r="B6071" s="545">
        <v>7376</v>
      </c>
      <c r="C6071" s="545" t="s">
        <v>1160</v>
      </c>
      <c r="D6071" s="669" t="s">
        <v>450</v>
      </c>
      <c r="E6071" s="546">
        <v>818.85555699999998</v>
      </c>
    </row>
    <row r="6072" spans="2:5" x14ac:dyDescent="0.25">
      <c r="B6072" s="545">
        <v>7377</v>
      </c>
      <c r="C6072" s="545" t="s">
        <v>4868</v>
      </c>
      <c r="D6072" s="669" t="s">
        <v>450</v>
      </c>
      <c r="E6072" s="546">
        <v>808.69999199999995</v>
      </c>
    </row>
    <row r="6073" spans="2:5" x14ac:dyDescent="0.25">
      <c r="B6073" s="545">
        <v>7378</v>
      </c>
      <c r="C6073" s="545" t="s">
        <v>5074</v>
      </c>
      <c r="D6073" s="669" t="s">
        <v>450</v>
      </c>
      <c r="E6073" s="546">
        <v>830.92498799999998</v>
      </c>
    </row>
    <row r="6074" spans="2:5" x14ac:dyDescent="0.25">
      <c r="B6074" s="545">
        <v>7379</v>
      </c>
      <c r="C6074" s="545" t="s">
        <v>2086</v>
      </c>
      <c r="D6074" s="669" t="s">
        <v>450</v>
      </c>
      <c r="E6074" s="546">
        <v>827.14999399999999</v>
      </c>
    </row>
    <row r="6075" spans="2:5" x14ac:dyDescent="0.25">
      <c r="B6075" s="545">
        <v>7380</v>
      </c>
      <c r="C6075" s="545" t="s">
        <v>5163</v>
      </c>
      <c r="D6075" s="669" t="s">
        <v>450</v>
      </c>
      <c r="E6075" s="546">
        <v>839.63999000000001</v>
      </c>
    </row>
    <row r="6076" spans="2:5" x14ac:dyDescent="0.25">
      <c r="B6076" s="545">
        <v>7381</v>
      </c>
      <c r="C6076" s="545" t="s">
        <v>4908</v>
      </c>
      <c r="D6076" s="669" t="s">
        <v>450</v>
      </c>
      <c r="E6076" s="546">
        <v>812.88750700000003</v>
      </c>
    </row>
    <row r="6077" spans="2:5" x14ac:dyDescent="0.25">
      <c r="B6077" s="545">
        <v>7382</v>
      </c>
      <c r="C6077" s="545" t="s">
        <v>4332</v>
      </c>
      <c r="D6077" s="669" t="s">
        <v>450</v>
      </c>
      <c r="E6077" s="546">
        <v>853.24999000000003</v>
      </c>
    </row>
    <row r="6078" spans="2:5" x14ac:dyDescent="0.25">
      <c r="B6078" s="545">
        <v>7383</v>
      </c>
      <c r="C6078" s="545" t="s">
        <v>7030</v>
      </c>
      <c r="D6078" s="669" t="s">
        <v>450</v>
      </c>
      <c r="E6078" s="546">
        <v>849.72499100000005</v>
      </c>
    </row>
    <row r="6079" spans="2:5" x14ac:dyDescent="0.25">
      <c r="B6079" s="545">
        <v>7384</v>
      </c>
      <c r="C6079" s="545" t="s">
        <v>3001</v>
      </c>
      <c r="D6079" s="669" t="s">
        <v>450</v>
      </c>
      <c r="E6079" s="546">
        <v>852.97500600000001</v>
      </c>
    </row>
    <row r="6080" spans="2:5" x14ac:dyDescent="0.25">
      <c r="B6080" s="545">
        <v>7385</v>
      </c>
      <c r="C6080" s="545" t="s">
        <v>5294</v>
      </c>
      <c r="D6080" s="669" t="s">
        <v>450</v>
      </c>
      <c r="E6080" s="546">
        <v>860.79998799999998</v>
      </c>
    </row>
    <row r="6081" spans="2:5" x14ac:dyDescent="0.25">
      <c r="B6081" s="545">
        <v>7386</v>
      </c>
      <c r="C6081" s="545" t="s">
        <v>7009</v>
      </c>
      <c r="D6081" s="669" t="s">
        <v>450</v>
      </c>
      <c r="E6081" s="546">
        <v>853.30000800000005</v>
      </c>
    </row>
    <row r="6082" spans="2:5" x14ac:dyDescent="0.25">
      <c r="B6082" s="545">
        <v>7387</v>
      </c>
      <c r="C6082" s="545" t="s">
        <v>5277</v>
      </c>
      <c r="D6082" s="669" t="s">
        <v>450</v>
      </c>
      <c r="E6082" s="546">
        <v>857.76666299999999</v>
      </c>
    </row>
    <row r="6083" spans="2:5" x14ac:dyDescent="0.25">
      <c r="B6083" s="545">
        <v>7388</v>
      </c>
      <c r="C6083" s="545" t="s">
        <v>5245</v>
      </c>
      <c r="D6083" s="669" t="s">
        <v>450</v>
      </c>
      <c r="E6083" s="546">
        <v>853.17142200000001</v>
      </c>
    </row>
    <row r="6084" spans="2:5" x14ac:dyDescent="0.25">
      <c r="B6084" s="545">
        <v>7389</v>
      </c>
      <c r="C6084" s="545" t="s">
        <v>5097</v>
      </c>
      <c r="D6084" s="669" t="s">
        <v>450</v>
      </c>
      <c r="E6084" s="546">
        <v>832.668182</v>
      </c>
    </row>
    <row r="6085" spans="2:5" x14ac:dyDescent="0.25">
      <c r="B6085" s="545">
        <v>7390</v>
      </c>
      <c r="C6085" s="545" t="s">
        <v>5260</v>
      </c>
      <c r="D6085" s="669" t="s">
        <v>450</v>
      </c>
      <c r="E6085" s="546">
        <v>855</v>
      </c>
    </row>
    <row r="6086" spans="2:5" x14ac:dyDescent="0.25">
      <c r="B6086" s="545">
        <v>7391</v>
      </c>
      <c r="C6086" s="545" t="s">
        <v>5031</v>
      </c>
      <c r="D6086" s="669" t="s">
        <v>450</v>
      </c>
      <c r="E6086" s="546">
        <v>826.03332499999999</v>
      </c>
    </row>
    <row r="6087" spans="2:5" x14ac:dyDescent="0.25">
      <c r="B6087" s="545">
        <v>7392</v>
      </c>
      <c r="C6087" s="545" t="s">
        <v>2888</v>
      </c>
      <c r="D6087" s="669" t="s">
        <v>450</v>
      </c>
      <c r="E6087" s="546">
        <v>840.75</v>
      </c>
    </row>
    <row r="6088" spans="2:5" x14ac:dyDescent="0.25">
      <c r="B6088" s="545">
        <v>7393</v>
      </c>
      <c r="C6088" s="545" t="s">
        <v>7482</v>
      </c>
      <c r="D6088" s="669" t="s">
        <v>450</v>
      </c>
      <c r="E6088" s="546">
        <v>853.56667100000004</v>
      </c>
    </row>
    <row r="6089" spans="2:5" x14ac:dyDescent="0.25">
      <c r="B6089" s="545">
        <v>7394</v>
      </c>
      <c r="C6089" s="545" t="s">
        <v>3474</v>
      </c>
      <c r="D6089" s="669" t="s">
        <v>450</v>
      </c>
      <c r="E6089" s="546">
        <v>858.90002400000003</v>
      </c>
    </row>
    <row r="6090" spans="2:5" x14ac:dyDescent="0.25">
      <c r="B6090" s="545">
        <v>7395</v>
      </c>
      <c r="C6090" s="545" t="s">
        <v>5014</v>
      </c>
      <c r="D6090" s="669" t="s">
        <v>450</v>
      </c>
      <c r="E6090" s="546">
        <v>824.08571099999995</v>
      </c>
    </row>
    <row r="6091" spans="2:5" x14ac:dyDescent="0.25">
      <c r="B6091" s="545">
        <v>7396</v>
      </c>
      <c r="C6091" s="545" t="s">
        <v>5160</v>
      </c>
      <c r="D6091" s="669" t="s">
        <v>450</v>
      </c>
      <c r="E6091" s="546">
        <v>839.51666299999999</v>
      </c>
    </row>
    <row r="6092" spans="2:5" x14ac:dyDescent="0.25">
      <c r="B6092" s="545">
        <v>7397</v>
      </c>
      <c r="C6092" s="545" t="s">
        <v>5254</v>
      </c>
      <c r="D6092" s="669" t="s">
        <v>450</v>
      </c>
      <c r="E6092" s="546">
        <v>854.31999499999995</v>
      </c>
    </row>
    <row r="6093" spans="2:5" x14ac:dyDescent="0.25">
      <c r="B6093" s="545">
        <v>7398</v>
      </c>
      <c r="C6093" s="545" t="s">
        <v>5305</v>
      </c>
      <c r="D6093" s="669" t="s">
        <v>450</v>
      </c>
      <c r="E6093" s="546">
        <v>863.13334099999997</v>
      </c>
    </row>
    <row r="6094" spans="2:5" x14ac:dyDescent="0.25">
      <c r="B6094" s="545">
        <v>7399</v>
      </c>
      <c r="C6094" s="545" t="s">
        <v>5316</v>
      </c>
      <c r="D6094" s="669" t="s">
        <v>450</v>
      </c>
      <c r="E6094" s="546">
        <v>865.125</v>
      </c>
    </row>
    <row r="6095" spans="2:5" x14ac:dyDescent="0.25">
      <c r="B6095" s="545">
        <v>7400</v>
      </c>
      <c r="C6095" s="545" t="s">
        <v>5420</v>
      </c>
      <c r="D6095" s="669" t="s">
        <v>450</v>
      </c>
      <c r="E6095" s="546">
        <v>882.68000500000005</v>
      </c>
    </row>
    <row r="6096" spans="2:5" x14ac:dyDescent="0.25">
      <c r="B6096" s="545">
        <v>7401</v>
      </c>
      <c r="C6096" s="545" t="s">
        <v>3504</v>
      </c>
      <c r="D6096" s="669" t="s">
        <v>450</v>
      </c>
      <c r="E6096" s="546">
        <v>716.19998199999998</v>
      </c>
    </row>
    <row r="6097" spans="2:5" x14ac:dyDescent="0.25">
      <c r="B6097" s="545">
        <v>7402</v>
      </c>
      <c r="C6097" s="545" t="s">
        <v>3536</v>
      </c>
      <c r="D6097" s="669" t="s">
        <v>450</v>
      </c>
      <c r="E6097" s="546">
        <v>718.19999499999994</v>
      </c>
    </row>
    <row r="6098" spans="2:5" x14ac:dyDescent="0.25">
      <c r="B6098" s="545">
        <v>7403</v>
      </c>
      <c r="C6098" s="545" t="s">
        <v>3376</v>
      </c>
      <c r="D6098" s="669" t="s">
        <v>450</v>
      </c>
      <c r="E6098" s="546">
        <v>709.59999600000003</v>
      </c>
    </row>
    <row r="6099" spans="2:5" x14ac:dyDescent="0.25">
      <c r="B6099" s="545">
        <v>7404</v>
      </c>
      <c r="C6099" s="545" t="s">
        <v>3568</v>
      </c>
      <c r="D6099" s="669" t="s">
        <v>450</v>
      </c>
      <c r="E6099" s="546">
        <v>719.58000500000003</v>
      </c>
    </row>
    <row r="6100" spans="2:5" x14ac:dyDescent="0.25">
      <c r="B6100" s="545">
        <v>7405</v>
      </c>
      <c r="C6100" s="545" t="s">
        <v>7112</v>
      </c>
      <c r="D6100" s="669" t="s">
        <v>450</v>
      </c>
      <c r="E6100" s="546">
        <v>751.54998799999998</v>
      </c>
    </row>
    <row r="6101" spans="2:5" x14ac:dyDescent="0.25">
      <c r="B6101" s="545">
        <v>7406</v>
      </c>
      <c r="C6101" s="545" t="s">
        <v>6695</v>
      </c>
      <c r="D6101" s="669" t="s">
        <v>450</v>
      </c>
      <c r="E6101" s="546">
        <v>728.83332900000005</v>
      </c>
    </row>
    <row r="6102" spans="2:5" x14ac:dyDescent="0.25">
      <c r="B6102" s="545">
        <v>7407</v>
      </c>
      <c r="C6102" s="545" t="s">
        <v>3397</v>
      </c>
      <c r="D6102" s="669" t="s">
        <v>450</v>
      </c>
      <c r="E6102" s="546">
        <v>710.82999900000004</v>
      </c>
    </row>
    <row r="6103" spans="2:5" x14ac:dyDescent="0.25">
      <c r="B6103" s="545">
        <v>7408</v>
      </c>
      <c r="C6103" s="545" t="s">
        <v>3170</v>
      </c>
      <c r="D6103" s="669" t="s">
        <v>450</v>
      </c>
      <c r="E6103" s="546">
        <v>699.76666299999999</v>
      </c>
    </row>
    <row r="6104" spans="2:5" x14ac:dyDescent="0.25">
      <c r="B6104" s="545">
        <v>7409</v>
      </c>
      <c r="C6104" s="545" t="s">
        <v>3743</v>
      </c>
      <c r="D6104" s="669" t="s">
        <v>450</v>
      </c>
      <c r="E6104" s="546">
        <v>729.40000399999997</v>
      </c>
    </row>
    <row r="6105" spans="2:5" x14ac:dyDescent="0.25">
      <c r="B6105" s="545">
        <v>7410</v>
      </c>
      <c r="C6105" s="545" t="s">
        <v>3361</v>
      </c>
      <c r="D6105" s="669" t="s">
        <v>450</v>
      </c>
      <c r="E6105" s="546">
        <v>767</v>
      </c>
    </row>
    <row r="6106" spans="2:5" x14ac:dyDescent="0.25">
      <c r="B6106" s="545">
        <v>7411</v>
      </c>
      <c r="C6106" s="545" t="s">
        <v>3579</v>
      </c>
      <c r="D6106" s="669" t="s">
        <v>450</v>
      </c>
      <c r="E6106" s="546">
        <v>720.25714100000005</v>
      </c>
    </row>
    <row r="6107" spans="2:5" x14ac:dyDescent="0.25">
      <c r="B6107" s="545">
        <v>7412</v>
      </c>
      <c r="C6107" s="545" t="s">
        <v>3777</v>
      </c>
      <c r="D6107" s="669" t="s">
        <v>450</v>
      </c>
      <c r="E6107" s="546">
        <v>731.58572000000004</v>
      </c>
    </row>
    <row r="6108" spans="2:5" x14ac:dyDescent="0.25">
      <c r="B6108" s="545">
        <v>7413</v>
      </c>
      <c r="C6108" s="545" t="s">
        <v>3856</v>
      </c>
      <c r="D6108" s="669" t="s">
        <v>450</v>
      </c>
      <c r="E6108" s="546">
        <v>746.52857300000005</v>
      </c>
    </row>
    <row r="6109" spans="2:5" x14ac:dyDescent="0.25">
      <c r="B6109" s="545">
        <v>7414</v>
      </c>
      <c r="C6109" s="545" t="s">
        <v>1904</v>
      </c>
      <c r="D6109" s="669" t="s">
        <v>450</v>
      </c>
      <c r="E6109" s="546">
        <v>734.883331</v>
      </c>
    </row>
    <row r="6110" spans="2:5" x14ac:dyDescent="0.25">
      <c r="B6110" s="545">
        <v>7415</v>
      </c>
      <c r="C6110" s="545" t="s">
        <v>4111</v>
      </c>
      <c r="D6110" s="669" t="s">
        <v>450</v>
      </c>
      <c r="E6110" s="546">
        <v>751.41427999999996</v>
      </c>
    </row>
    <row r="6111" spans="2:5" x14ac:dyDescent="0.25">
      <c r="B6111" s="545">
        <v>7416</v>
      </c>
      <c r="C6111" s="545" t="s">
        <v>7453</v>
      </c>
      <c r="D6111" s="669" t="s">
        <v>450</v>
      </c>
      <c r="E6111" s="546">
        <v>723</v>
      </c>
    </row>
    <row r="6112" spans="2:5" x14ac:dyDescent="0.25">
      <c r="B6112" s="545">
        <v>7417</v>
      </c>
      <c r="C6112" s="545" t="s">
        <v>3297</v>
      </c>
      <c r="D6112" s="669" t="s">
        <v>450</v>
      </c>
      <c r="E6112" s="546">
        <v>705.61428100000001</v>
      </c>
    </row>
    <row r="6113" spans="2:5" x14ac:dyDescent="0.25">
      <c r="B6113" s="545">
        <v>7418</v>
      </c>
      <c r="C6113" s="545" t="s">
        <v>4011</v>
      </c>
      <c r="D6113" s="669" t="s">
        <v>450</v>
      </c>
      <c r="E6113" s="546">
        <v>745.59999600000003</v>
      </c>
    </row>
    <row r="6114" spans="2:5" x14ac:dyDescent="0.25">
      <c r="B6114" s="545">
        <v>7419</v>
      </c>
      <c r="C6114" s="545" t="s">
        <v>3785</v>
      </c>
      <c r="D6114" s="669" t="s">
        <v>450</v>
      </c>
      <c r="E6114" s="546">
        <v>731.95001200000002</v>
      </c>
    </row>
    <row r="6115" spans="2:5" x14ac:dyDescent="0.25">
      <c r="B6115" s="545">
        <v>7420</v>
      </c>
      <c r="C6115" s="545" t="s">
        <v>3901</v>
      </c>
      <c r="D6115" s="669" t="s">
        <v>450</v>
      </c>
      <c r="E6115" s="546">
        <v>739.125</v>
      </c>
    </row>
    <row r="6116" spans="2:5" x14ac:dyDescent="0.25">
      <c r="B6116" s="545">
        <v>7421</v>
      </c>
      <c r="C6116" s="545" t="s">
        <v>3906</v>
      </c>
      <c r="D6116" s="669" t="s">
        <v>450</v>
      </c>
      <c r="E6116" s="546">
        <v>739.49998800000003</v>
      </c>
    </row>
    <row r="6117" spans="2:5" x14ac:dyDescent="0.25">
      <c r="B6117" s="545">
        <v>7422</v>
      </c>
      <c r="C6117" s="545" t="s">
        <v>3418</v>
      </c>
      <c r="D6117" s="669" t="s">
        <v>450</v>
      </c>
      <c r="E6117" s="546">
        <v>712.18400399999996</v>
      </c>
    </row>
    <row r="6118" spans="2:5" x14ac:dyDescent="0.25">
      <c r="B6118" s="545">
        <v>7423</v>
      </c>
      <c r="C6118" s="545" t="s">
        <v>963</v>
      </c>
      <c r="D6118" s="669" t="s">
        <v>450</v>
      </c>
      <c r="E6118" s="546">
        <v>748.33750199999997</v>
      </c>
    </row>
    <row r="6119" spans="2:5" x14ac:dyDescent="0.25">
      <c r="B6119" s="545">
        <v>7424</v>
      </c>
      <c r="C6119" s="545" t="s">
        <v>3909</v>
      </c>
      <c r="D6119" s="669" t="s">
        <v>450</v>
      </c>
      <c r="E6119" s="546">
        <v>739.53334600000005</v>
      </c>
    </row>
    <row r="6120" spans="2:5" x14ac:dyDescent="0.25">
      <c r="B6120" s="545">
        <v>7425</v>
      </c>
      <c r="C6120" s="545" t="s">
        <v>4088</v>
      </c>
      <c r="D6120" s="669" t="s">
        <v>450</v>
      </c>
      <c r="E6120" s="546">
        <v>750.43332899999996</v>
      </c>
    </row>
    <row r="6121" spans="2:5" x14ac:dyDescent="0.25">
      <c r="B6121" s="545">
        <v>7426</v>
      </c>
      <c r="C6121" s="545" t="s">
        <v>3645</v>
      </c>
      <c r="D6121" s="669" t="s">
        <v>450</v>
      </c>
      <c r="E6121" s="546">
        <v>724.19999700000005</v>
      </c>
    </row>
    <row r="6122" spans="2:5" x14ac:dyDescent="0.25">
      <c r="B6122" s="545">
        <v>7427</v>
      </c>
      <c r="C6122" s="545" t="s">
        <v>4202</v>
      </c>
      <c r="D6122" s="669" t="s">
        <v>450</v>
      </c>
      <c r="E6122" s="546">
        <v>757.82221100000004</v>
      </c>
    </row>
    <row r="6123" spans="2:5" x14ac:dyDescent="0.25">
      <c r="B6123" s="545">
        <v>7428</v>
      </c>
      <c r="C6123" s="545" t="s">
        <v>3999</v>
      </c>
      <c r="D6123" s="669" t="s">
        <v>450</v>
      </c>
      <c r="E6123" s="546">
        <v>744.8</v>
      </c>
    </row>
    <row r="6124" spans="2:5" x14ac:dyDescent="0.25">
      <c r="B6124" s="545">
        <v>7429</v>
      </c>
      <c r="C6124" s="545" t="s">
        <v>4365</v>
      </c>
      <c r="D6124" s="669" t="s">
        <v>450</v>
      </c>
      <c r="E6124" s="546">
        <v>769.46001000000001</v>
      </c>
    </row>
    <row r="6125" spans="2:5" x14ac:dyDescent="0.25">
      <c r="B6125" s="545">
        <v>7430</v>
      </c>
      <c r="C6125" s="545" t="s">
        <v>7438</v>
      </c>
      <c r="D6125" s="669" t="s">
        <v>450</v>
      </c>
      <c r="E6125" s="546">
        <v>774.90001199999995</v>
      </c>
    </row>
    <row r="6126" spans="2:5" x14ac:dyDescent="0.25">
      <c r="B6126" s="545">
        <v>7431</v>
      </c>
      <c r="C6126" s="545" t="s">
        <v>2154</v>
      </c>
      <c r="D6126" s="669" t="s">
        <v>450</v>
      </c>
      <c r="E6126" s="546">
        <v>771.67778199999998</v>
      </c>
    </row>
    <row r="6127" spans="2:5" x14ac:dyDescent="0.25">
      <c r="B6127" s="545">
        <v>7432</v>
      </c>
      <c r="C6127" s="545" t="s">
        <v>4247</v>
      </c>
      <c r="D6127" s="669" t="s">
        <v>450</v>
      </c>
      <c r="E6127" s="546">
        <v>760.79998799999998</v>
      </c>
    </row>
    <row r="6128" spans="2:5" x14ac:dyDescent="0.25">
      <c r="B6128" s="545">
        <v>7433</v>
      </c>
      <c r="C6128" s="545" t="s">
        <v>4608</v>
      </c>
      <c r="D6128" s="669" t="s">
        <v>450</v>
      </c>
      <c r="E6128" s="546">
        <v>788.5</v>
      </c>
    </row>
    <row r="6129" spans="2:5" x14ac:dyDescent="0.25">
      <c r="B6129" s="545">
        <v>7434</v>
      </c>
      <c r="C6129" s="545" t="s">
        <v>3502</v>
      </c>
      <c r="D6129" s="669" t="s">
        <v>450</v>
      </c>
      <c r="E6129" s="546">
        <v>716.10001</v>
      </c>
    </row>
    <row r="6130" spans="2:5" x14ac:dyDescent="0.25">
      <c r="B6130" s="545">
        <v>7435</v>
      </c>
      <c r="C6130" s="545" t="s">
        <v>3790</v>
      </c>
      <c r="D6130" s="669" t="s">
        <v>450</v>
      </c>
      <c r="E6130" s="546">
        <v>732.15998500000001</v>
      </c>
    </row>
    <row r="6131" spans="2:5" x14ac:dyDescent="0.25">
      <c r="B6131" s="545">
        <v>7436</v>
      </c>
      <c r="C6131" s="545" t="s">
        <v>3772</v>
      </c>
      <c r="D6131" s="669" t="s">
        <v>450</v>
      </c>
      <c r="E6131" s="546">
        <v>731.27692100000002</v>
      </c>
    </row>
    <row r="6132" spans="2:5" x14ac:dyDescent="0.25">
      <c r="B6132" s="545">
        <v>7437</v>
      </c>
      <c r="C6132" s="545" t="s">
        <v>6976</v>
      </c>
      <c r="D6132" s="669" t="s">
        <v>450</v>
      </c>
      <c r="E6132" s="546">
        <v>787.77500199999997</v>
      </c>
    </row>
    <row r="6133" spans="2:5" x14ac:dyDescent="0.25">
      <c r="B6133" s="545">
        <v>7438</v>
      </c>
      <c r="C6133" s="545" t="s">
        <v>7287</v>
      </c>
      <c r="D6133" s="669" t="s">
        <v>450</v>
      </c>
      <c r="E6133" s="546">
        <v>770.25</v>
      </c>
    </row>
    <row r="6134" spans="2:5" x14ac:dyDescent="0.25">
      <c r="B6134" s="545">
        <v>7439</v>
      </c>
      <c r="C6134" s="545" t="s">
        <v>4531</v>
      </c>
      <c r="D6134" s="669" t="s">
        <v>450</v>
      </c>
      <c r="E6134" s="546">
        <v>782.23333700000001</v>
      </c>
    </row>
    <row r="6135" spans="2:5" x14ac:dyDescent="0.25">
      <c r="B6135" s="545">
        <v>7440</v>
      </c>
      <c r="C6135" s="545" t="s">
        <v>4504</v>
      </c>
      <c r="D6135" s="669" t="s">
        <v>450</v>
      </c>
      <c r="E6135" s="546">
        <v>780.24284999999998</v>
      </c>
    </row>
    <row r="6136" spans="2:5" x14ac:dyDescent="0.25">
      <c r="B6136" s="545">
        <v>7441</v>
      </c>
      <c r="C6136" s="545" t="s">
        <v>4923</v>
      </c>
      <c r="D6136" s="669" t="s">
        <v>450</v>
      </c>
      <c r="E6136" s="546">
        <v>814.41428900000005</v>
      </c>
    </row>
    <row r="6137" spans="2:5" x14ac:dyDescent="0.25">
      <c r="B6137" s="545">
        <v>7442</v>
      </c>
      <c r="C6137" s="545" t="s">
        <v>4837</v>
      </c>
      <c r="D6137" s="669" t="s">
        <v>450</v>
      </c>
      <c r="E6137" s="546">
        <v>806.54998799999998</v>
      </c>
    </row>
    <row r="6138" spans="2:5" x14ac:dyDescent="0.25">
      <c r="B6138" s="545">
        <v>7443</v>
      </c>
      <c r="C6138" s="545" t="s">
        <v>2447</v>
      </c>
      <c r="D6138" s="669" t="s">
        <v>450</v>
      </c>
      <c r="E6138" s="546">
        <v>806.8</v>
      </c>
    </row>
    <row r="6139" spans="2:5" x14ac:dyDescent="0.25">
      <c r="B6139" s="545">
        <v>7444</v>
      </c>
      <c r="C6139" s="545" t="s">
        <v>3222</v>
      </c>
      <c r="D6139" s="669" t="s">
        <v>450</v>
      </c>
      <c r="E6139" s="546">
        <v>702.23749499999997</v>
      </c>
    </row>
    <row r="6140" spans="2:5" x14ac:dyDescent="0.25">
      <c r="B6140" s="545">
        <v>7445</v>
      </c>
      <c r="C6140" s="545" t="s">
        <v>4061</v>
      </c>
      <c r="D6140" s="669" t="s">
        <v>450</v>
      </c>
      <c r="E6140" s="546">
        <v>748.91666699999996</v>
      </c>
    </row>
    <row r="6141" spans="2:5" x14ac:dyDescent="0.25">
      <c r="B6141" s="545">
        <v>7446</v>
      </c>
      <c r="C6141" s="545" t="s">
        <v>4234</v>
      </c>
      <c r="D6141" s="669" t="s">
        <v>450</v>
      </c>
      <c r="E6141" s="546">
        <v>759.98889199999996</v>
      </c>
    </row>
    <row r="6142" spans="2:5" x14ac:dyDescent="0.25">
      <c r="B6142" s="545">
        <v>7447</v>
      </c>
      <c r="C6142" s="545" t="s">
        <v>4310</v>
      </c>
      <c r="D6142" s="669" t="s">
        <v>450</v>
      </c>
      <c r="E6142" s="546">
        <v>765.46249399999999</v>
      </c>
    </row>
    <row r="6143" spans="2:5" x14ac:dyDescent="0.25">
      <c r="B6143" s="545">
        <v>7448</v>
      </c>
      <c r="C6143" s="545" t="s">
        <v>6530</v>
      </c>
      <c r="D6143" s="669" t="s">
        <v>450</v>
      </c>
      <c r="E6143" s="546">
        <v>727.85833200000002</v>
      </c>
    </row>
    <row r="6144" spans="2:5" x14ac:dyDescent="0.25">
      <c r="B6144" s="545">
        <v>7449</v>
      </c>
      <c r="C6144" s="545" t="s">
        <v>3882</v>
      </c>
      <c r="D6144" s="669" t="s">
        <v>450</v>
      </c>
      <c r="E6144" s="546">
        <v>737.83335399999999</v>
      </c>
    </row>
    <row r="6145" spans="2:5" x14ac:dyDescent="0.25">
      <c r="B6145" s="545">
        <v>7450</v>
      </c>
      <c r="C6145" s="545" t="s">
        <v>4204</v>
      </c>
      <c r="D6145" s="669" t="s">
        <v>450</v>
      </c>
      <c r="E6145" s="546">
        <v>757.94000200000005</v>
      </c>
    </row>
    <row r="6146" spans="2:5" x14ac:dyDescent="0.25">
      <c r="B6146" s="545">
        <v>7451</v>
      </c>
      <c r="C6146" s="545" t="s">
        <v>4917</v>
      </c>
      <c r="D6146" s="669" t="s">
        <v>450</v>
      </c>
      <c r="E6146" s="546">
        <v>813.98333700000001</v>
      </c>
    </row>
    <row r="6147" spans="2:5" x14ac:dyDescent="0.25">
      <c r="B6147" s="545">
        <v>7452</v>
      </c>
      <c r="C6147" s="545" t="s">
        <v>4632</v>
      </c>
      <c r="D6147" s="669" t="s">
        <v>450</v>
      </c>
      <c r="E6147" s="546">
        <v>791</v>
      </c>
    </row>
    <row r="6148" spans="2:5" x14ac:dyDescent="0.25">
      <c r="B6148" s="545">
        <v>7453</v>
      </c>
      <c r="C6148" s="545" t="s">
        <v>5076</v>
      </c>
      <c r="D6148" s="669" t="s">
        <v>450</v>
      </c>
      <c r="E6148" s="546">
        <v>830.96666500000003</v>
      </c>
    </row>
    <row r="6149" spans="2:5" x14ac:dyDescent="0.25">
      <c r="B6149" s="545">
        <v>7454</v>
      </c>
      <c r="C6149" s="545" t="s">
        <v>4877</v>
      </c>
      <c r="D6149" s="669" t="s">
        <v>450</v>
      </c>
      <c r="E6149" s="546">
        <v>809.5</v>
      </c>
    </row>
    <row r="6150" spans="2:5" x14ac:dyDescent="0.25">
      <c r="B6150" s="545">
        <v>7455</v>
      </c>
      <c r="C6150" s="545" t="s">
        <v>5164</v>
      </c>
      <c r="D6150" s="669" t="s">
        <v>450</v>
      </c>
      <c r="E6150" s="546">
        <v>839.70001200000002</v>
      </c>
    </row>
    <row r="6151" spans="2:5" x14ac:dyDescent="0.25">
      <c r="B6151" s="545">
        <v>7456</v>
      </c>
      <c r="C6151" s="545" t="s">
        <v>5007</v>
      </c>
      <c r="D6151" s="669" t="s">
        <v>450</v>
      </c>
      <c r="E6151" s="546">
        <v>823.67142999999999</v>
      </c>
    </row>
    <row r="6152" spans="2:5" x14ac:dyDescent="0.25">
      <c r="B6152" s="545">
        <v>7457</v>
      </c>
      <c r="C6152" s="545" t="s">
        <v>4754</v>
      </c>
      <c r="D6152" s="669" t="s">
        <v>450</v>
      </c>
      <c r="E6152" s="546">
        <v>800.09997599999997</v>
      </c>
    </row>
    <row r="6153" spans="2:5" x14ac:dyDescent="0.25">
      <c r="B6153" s="545">
        <v>7458</v>
      </c>
      <c r="C6153" s="545" t="s">
        <v>4529</v>
      </c>
      <c r="D6153" s="669" t="s">
        <v>450</v>
      </c>
      <c r="E6153" s="546">
        <v>781.70001200000002</v>
      </c>
    </row>
    <row r="6154" spans="2:5" x14ac:dyDescent="0.25">
      <c r="B6154" s="545">
        <v>7459</v>
      </c>
      <c r="C6154" s="545" t="s">
        <v>4863</v>
      </c>
      <c r="D6154" s="669" t="s">
        <v>450</v>
      </c>
      <c r="E6154" s="546">
        <v>808.51428199999998</v>
      </c>
    </row>
    <row r="6155" spans="2:5" x14ac:dyDescent="0.25">
      <c r="B6155" s="545">
        <v>7460</v>
      </c>
      <c r="C6155" s="545" t="s">
        <v>1776</v>
      </c>
      <c r="D6155" s="669" t="s">
        <v>450</v>
      </c>
      <c r="E6155" s="546">
        <v>803.90002400000003</v>
      </c>
    </row>
    <row r="6156" spans="2:5" x14ac:dyDescent="0.25">
      <c r="B6156" s="545">
        <v>7461</v>
      </c>
      <c r="C6156" s="545" t="s">
        <v>4795</v>
      </c>
      <c r="D6156" s="669" t="s">
        <v>450</v>
      </c>
      <c r="E6156" s="546">
        <v>803.02499399999999</v>
      </c>
    </row>
    <row r="6157" spans="2:5" x14ac:dyDescent="0.25">
      <c r="B6157" s="545">
        <v>7462</v>
      </c>
      <c r="C6157" s="545" t="s">
        <v>5147</v>
      </c>
      <c r="D6157" s="669" t="s">
        <v>450</v>
      </c>
      <c r="E6157" s="546">
        <v>838.53635499999996</v>
      </c>
    </row>
    <row r="6158" spans="2:5" x14ac:dyDescent="0.25">
      <c r="B6158" s="545">
        <v>7463</v>
      </c>
      <c r="C6158" s="545" t="s">
        <v>5010</v>
      </c>
      <c r="D6158" s="669" t="s">
        <v>450</v>
      </c>
      <c r="E6158" s="546">
        <v>823.92499499999997</v>
      </c>
    </row>
    <row r="6159" spans="2:5" x14ac:dyDescent="0.25">
      <c r="B6159" s="545">
        <v>7464</v>
      </c>
      <c r="C6159" s="545" t="s">
        <v>2052</v>
      </c>
      <c r="D6159" s="669" t="s">
        <v>450</v>
      </c>
      <c r="E6159" s="546">
        <v>823.87691099999995</v>
      </c>
    </row>
    <row r="6160" spans="2:5" x14ac:dyDescent="0.25">
      <c r="B6160" s="545">
        <v>7465</v>
      </c>
      <c r="C6160" s="545" t="s">
        <v>5139</v>
      </c>
      <c r="D6160" s="669" t="s">
        <v>450</v>
      </c>
      <c r="E6160" s="546">
        <v>837.76250500000003</v>
      </c>
    </row>
    <row r="6161" spans="2:5" x14ac:dyDescent="0.25">
      <c r="B6161" s="545">
        <v>7501</v>
      </c>
      <c r="C6161" s="545" t="s">
        <v>3911</v>
      </c>
      <c r="D6161" s="669" t="s">
        <v>454</v>
      </c>
      <c r="E6161" s="546">
        <v>739.66666699999996</v>
      </c>
    </row>
    <row r="6162" spans="2:5" x14ac:dyDescent="0.25">
      <c r="B6162" s="545">
        <v>7502</v>
      </c>
      <c r="C6162" s="545" t="s">
        <v>7048</v>
      </c>
      <c r="D6162" s="669" t="s">
        <v>454</v>
      </c>
      <c r="E6162" s="546">
        <v>766.18571299999996</v>
      </c>
    </row>
    <row r="6163" spans="2:5" x14ac:dyDescent="0.25">
      <c r="B6163" s="545">
        <v>7503</v>
      </c>
      <c r="C6163" s="545" t="s">
        <v>4427</v>
      </c>
      <c r="D6163" s="669" t="s">
        <v>454</v>
      </c>
      <c r="E6163" s="546">
        <v>774.97500600000001</v>
      </c>
    </row>
    <row r="6164" spans="2:5" x14ac:dyDescent="0.25">
      <c r="B6164" s="545">
        <v>7504</v>
      </c>
      <c r="C6164" s="545" t="s">
        <v>4587</v>
      </c>
      <c r="D6164" s="669" t="s">
        <v>454</v>
      </c>
      <c r="E6164" s="546">
        <v>786.82223199999999</v>
      </c>
    </row>
    <row r="6165" spans="2:5" x14ac:dyDescent="0.25">
      <c r="B6165" s="545">
        <v>7506</v>
      </c>
      <c r="C6165" s="545" t="s">
        <v>4831</v>
      </c>
      <c r="D6165" s="669" t="s">
        <v>454</v>
      </c>
      <c r="E6165" s="546">
        <v>806.29999799999996</v>
      </c>
    </row>
    <row r="6166" spans="2:5" x14ac:dyDescent="0.25">
      <c r="B6166" s="545">
        <v>7507</v>
      </c>
      <c r="C6166" s="545" t="s">
        <v>5049</v>
      </c>
      <c r="D6166" s="669" t="s">
        <v>454</v>
      </c>
      <c r="E6166" s="546">
        <v>828.36665900000003</v>
      </c>
    </row>
    <row r="6167" spans="2:5" x14ac:dyDescent="0.25">
      <c r="B6167" s="545">
        <v>7508</v>
      </c>
      <c r="C6167" s="545" t="s">
        <v>1741</v>
      </c>
      <c r="D6167" s="669" t="s">
        <v>454</v>
      </c>
      <c r="E6167" s="546">
        <v>816.76666299999999</v>
      </c>
    </row>
    <row r="6168" spans="2:5" x14ac:dyDescent="0.25">
      <c r="B6168" s="545">
        <v>7509</v>
      </c>
      <c r="C6168" s="545" t="s">
        <v>5082</v>
      </c>
      <c r="D6168" s="669" t="s">
        <v>454</v>
      </c>
      <c r="E6168" s="546">
        <v>831.29998799999998</v>
      </c>
    </row>
    <row r="6169" spans="2:5" x14ac:dyDescent="0.25">
      <c r="B6169" s="545">
        <v>7510</v>
      </c>
      <c r="C6169" s="545" t="s">
        <v>2328</v>
      </c>
      <c r="D6169" s="669" t="s">
        <v>454</v>
      </c>
      <c r="E6169" s="546">
        <v>818.37142500000004</v>
      </c>
    </row>
    <row r="6170" spans="2:5" x14ac:dyDescent="0.25">
      <c r="B6170" s="545">
        <v>7511</v>
      </c>
      <c r="C6170" s="545" t="s">
        <v>5116</v>
      </c>
      <c r="D6170" s="669" t="s">
        <v>454</v>
      </c>
      <c r="E6170" s="546">
        <v>834.98570900000004</v>
      </c>
    </row>
    <row r="6171" spans="2:5" x14ac:dyDescent="0.25">
      <c r="B6171" s="545">
        <v>7512</v>
      </c>
      <c r="C6171" s="545" t="s">
        <v>5195</v>
      </c>
      <c r="D6171" s="669" t="s">
        <v>454</v>
      </c>
      <c r="E6171" s="546">
        <v>845.072721</v>
      </c>
    </row>
    <row r="6172" spans="2:5" x14ac:dyDescent="0.25">
      <c r="B6172" s="545">
        <v>7513</v>
      </c>
      <c r="C6172" s="545" t="s">
        <v>5155</v>
      </c>
      <c r="D6172" s="669" t="s">
        <v>454</v>
      </c>
      <c r="E6172" s="546">
        <v>839.27499399999999</v>
      </c>
    </row>
    <row r="6173" spans="2:5" x14ac:dyDescent="0.25">
      <c r="B6173" s="545">
        <v>7514</v>
      </c>
      <c r="C6173" s="545" t="s">
        <v>5288</v>
      </c>
      <c r="D6173" s="669" t="s">
        <v>454</v>
      </c>
      <c r="E6173" s="546">
        <v>859.5</v>
      </c>
    </row>
    <row r="6174" spans="2:5" x14ac:dyDescent="0.25">
      <c r="B6174" s="545">
        <v>7515</v>
      </c>
      <c r="C6174" s="545" t="s">
        <v>5133</v>
      </c>
      <c r="D6174" s="669" t="s">
        <v>454</v>
      </c>
      <c r="E6174" s="546">
        <v>836.88000499999998</v>
      </c>
    </row>
    <row r="6175" spans="2:5" x14ac:dyDescent="0.25">
      <c r="B6175" s="545">
        <v>7516</v>
      </c>
      <c r="C6175" s="545" t="s">
        <v>5310</v>
      </c>
      <c r="D6175" s="669" t="s">
        <v>454</v>
      </c>
      <c r="E6175" s="546">
        <v>863.67500299999995</v>
      </c>
    </row>
    <row r="6176" spans="2:5" x14ac:dyDescent="0.25">
      <c r="B6176" s="545">
        <v>7517</v>
      </c>
      <c r="C6176" s="545" t="s">
        <v>1919</v>
      </c>
      <c r="D6176" s="669" t="s">
        <v>454</v>
      </c>
      <c r="E6176" s="546">
        <v>870.03334600000005</v>
      </c>
    </row>
    <row r="6177" spans="2:5" x14ac:dyDescent="0.25">
      <c r="B6177" s="545">
        <v>7518</v>
      </c>
      <c r="C6177" s="545" t="s">
        <v>807</v>
      </c>
      <c r="D6177" s="669" t="s">
        <v>454</v>
      </c>
      <c r="E6177" s="546">
        <v>879.353341</v>
      </c>
    </row>
    <row r="6178" spans="2:5" x14ac:dyDescent="0.25">
      <c r="B6178" s="545">
        <v>7519</v>
      </c>
      <c r="C6178" s="545" t="s">
        <v>5534</v>
      </c>
      <c r="D6178" s="669" t="s">
        <v>454</v>
      </c>
      <c r="E6178" s="546">
        <v>901.19998799999996</v>
      </c>
    </row>
    <row r="6179" spans="2:5" x14ac:dyDescent="0.25">
      <c r="B6179" s="545">
        <v>7520</v>
      </c>
      <c r="C6179" s="545" t="s">
        <v>5452</v>
      </c>
      <c r="D6179" s="669" t="s">
        <v>454</v>
      </c>
      <c r="E6179" s="546">
        <v>888.16666699999996</v>
      </c>
    </row>
    <row r="6180" spans="2:5" x14ac:dyDescent="0.25">
      <c r="B6180" s="545">
        <v>7521</v>
      </c>
      <c r="C6180" s="545" t="s">
        <v>5419</v>
      </c>
      <c r="D6180" s="669" t="s">
        <v>454</v>
      </c>
      <c r="E6180" s="546">
        <v>882.20000100000004</v>
      </c>
    </row>
    <row r="6181" spans="2:5" x14ac:dyDescent="0.25">
      <c r="B6181" s="545">
        <v>7522</v>
      </c>
      <c r="C6181" s="545" t="s">
        <v>4937</v>
      </c>
      <c r="D6181" s="669" t="s">
        <v>454</v>
      </c>
      <c r="E6181" s="546">
        <v>879.366669</v>
      </c>
    </row>
    <row r="6182" spans="2:5" x14ac:dyDescent="0.25">
      <c r="B6182" s="545">
        <v>7523</v>
      </c>
      <c r="C6182" s="545" t="s">
        <v>5274</v>
      </c>
      <c r="D6182" s="669" t="s">
        <v>454</v>
      </c>
      <c r="E6182" s="546">
        <v>857.07777899999996</v>
      </c>
    </row>
    <row r="6183" spans="2:5" x14ac:dyDescent="0.25">
      <c r="B6183" s="545">
        <v>7524</v>
      </c>
      <c r="C6183" s="545" t="s">
        <v>5236</v>
      </c>
      <c r="D6183" s="669" t="s">
        <v>454</v>
      </c>
      <c r="E6183" s="546">
        <v>851.77499399999999</v>
      </c>
    </row>
    <row r="6184" spans="2:5" x14ac:dyDescent="0.25">
      <c r="B6184" s="545">
        <v>7525</v>
      </c>
      <c r="C6184" s="545" t="s">
        <v>5413</v>
      </c>
      <c r="D6184" s="669" t="s">
        <v>454</v>
      </c>
      <c r="E6184" s="546">
        <v>880.70713999999998</v>
      </c>
    </row>
    <row r="6185" spans="2:5" x14ac:dyDescent="0.25">
      <c r="B6185" s="545">
        <v>7526</v>
      </c>
      <c r="C6185" s="545" t="s">
        <v>7062</v>
      </c>
      <c r="D6185" s="669" t="s">
        <v>454</v>
      </c>
      <c r="E6185" s="546">
        <v>875.85000600000001</v>
      </c>
    </row>
    <row r="6186" spans="2:5" x14ac:dyDescent="0.25">
      <c r="B6186" s="545">
        <v>7527</v>
      </c>
      <c r="C6186" s="545" t="s">
        <v>5304</v>
      </c>
      <c r="D6186" s="669" t="s">
        <v>454</v>
      </c>
      <c r="E6186" s="546">
        <v>863.04998799999998</v>
      </c>
    </row>
    <row r="6187" spans="2:5" x14ac:dyDescent="0.25">
      <c r="B6187" s="545">
        <v>7528</v>
      </c>
      <c r="C6187" s="545" t="s">
        <v>5325</v>
      </c>
      <c r="D6187" s="669" t="s">
        <v>454</v>
      </c>
      <c r="E6187" s="546">
        <v>866.759998</v>
      </c>
    </row>
    <row r="6188" spans="2:5" x14ac:dyDescent="0.25">
      <c r="B6188" s="545">
        <v>7529</v>
      </c>
      <c r="C6188" s="545" t="s">
        <v>5466</v>
      </c>
      <c r="D6188" s="669" t="s">
        <v>454</v>
      </c>
      <c r="E6188" s="546">
        <v>891.35000600000001</v>
      </c>
    </row>
    <row r="6189" spans="2:5" x14ac:dyDescent="0.25">
      <c r="B6189" s="545">
        <v>7530</v>
      </c>
      <c r="C6189" s="545" t="s">
        <v>5458</v>
      </c>
      <c r="D6189" s="669" t="s">
        <v>459</v>
      </c>
      <c r="E6189" s="546">
        <v>889.52499399999999</v>
      </c>
    </row>
    <row r="6190" spans="2:5" x14ac:dyDescent="0.25">
      <c r="B6190" s="545">
        <v>7531</v>
      </c>
      <c r="C6190" s="545" t="s">
        <v>5335</v>
      </c>
      <c r="D6190" s="669" t="s">
        <v>459</v>
      </c>
      <c r="E6190" s="546">
        <v>868.53332499999999</v>
      </c>
    </row>
    <row r="6191" spans="2:5" x14ac:dyDescent="0.25">
      <c r="B6191" s="545">
        <v>7532</v>
      </c>
      <c r="C6191" s="545" t="s">
        <v>5449</v>
      </c>
      <c r="D6191" s="669" t="s">
        <v>459</v>
      </c>
      <c r="E6191" s="546">
        <v>887.45001200000002</v>
      </c>
    </row>
    <row r="6192" spans="2:5" x14ac:dyDescent="0.25">
      <c r="B6192" s="545">
        <v>7533</v>
      </c>
      <c r="C6192" s="545" t="s">
        <v>5430</v>
      </c>
      <c r="D6192" s="669" t="s">
        <v>459</v>
      </c>
      <c r="E6192" s="546">
        <v>884.29166699999996</v>
      </c>
    </row>
    <row r="6193" spans="2:5" x14ac:dyDescent="0.25">
      <c r="B6193" s="545">
        <v>7534</v>
      </c>
      <c r="C6193" s="545" t="s">
        <v>5439</v>
      </c>
      <c r="D6193" s="669" t="s">
        <v>459</v>
      </c>
      <c r="E6193" s="546">
        <v>885.71665399999995</v>
      </c>
    </row>
    <row r="6194" spans="2:5" x14ac:dyDescent="0.25">
      <c r="B6194" s="545">
        <v>7535</v>
      </c>
      <c r="C6194" s="545" t="s">
        <v>5454</v>
      </c>
      <c r="D6194" s="669" t="s">
        <v>459</v>
      </c>
      <c r="E6194" s="546">
        <v>888.47499100000005</v>
      </c>
    </row>
    <row r="6195" spans="2:5" x14ac:dyDescent="0.25">
      <c r="B6195" s="545">
        <v>7536</v>
      </c>
      <c r="C6195" s="545" t="s">
        <v>5551</v>
      </c>
      <c r="D6195" s="669" t="s">
        <v>459</v>
      </c>
      <c r="E6195" s="546">
        <v>904.68750799999998</v>
      </c>
    </row>
    <row r="6196" spans="2:5" x14ac:dyDescent="0.25">
      <c r="B6196" s="545">
        <v>7537</v>
      </c>
      <c r="C6196" s="545" t="s">
        <v>5451</v>
      </c>
      <c r="D6196" s="669" t="s">
        <v>459</v>
      </c>
      <c r="E6196" s="546">
        <v>887.70833300000004</v>
      </c>
    </row>
    <row r="6197" spans="2:5" x14ac:dyDescent="0.25">
      <c r="B6197" s="545">
        <v>7538</v>
      </c>
      <c r="C6197" s="545" t="s">
        <v>5437</v>
      </c>
      <c r="D6197" s="669" t="s">
        <v>459</v>
      </c>
      <c r="E6197" s="546">
        <v>885.42858000000001</v>
      </c>
    </row>
    <row r="6198" spans="2:5" x14ac:dyDescent="0.25">
      <c r="B6198" s="545">
        <v>7539</v>
      </c>
      <c r="C6198" s="545" t="s">
        <v>5287</v>
      </c>
      <c r="D6198" s="669" t="s">
        <v>459</v>
      </c>
      <c r="E6198" s="546">
        <v>859.3</v>
      </c>
    </row>
    <row r="6199" spans="2:5" x14ac:dyDescent="0.25">
      <c r="B6199" s="545">
        <v>7540</v>
      </c>
      <c r="C6199" s="545" t="s">
        <v>5362</v>
      </c>
      <c r="D6199" s="669" t="s">
        <v>459</v>
      </c>
      <c r="E6199" s="546">
        <v>873.25556800000004</v>
      </c>
    </row>
    <row r="6200" spans="2:5" x14ac:dyDescent="0.25">
      <c r="B6200" s="545">
        <v>7541</v>
      </c>
      <c r="C6200" s="545" t="s">
        <v>5406</v>
      </c>
      <c r="D6200" s="669" t="s">
        <v>459</v>
      </c>
      <c r="E6200" s="546">
        <v>880.07778299999995</v>
      </c>
    </row>
    <row r="6201" spans="2:5" x14ac:dyDescent="0.25">
      <c r="B6201" s="545">
        <v>7542</v>
      </c>
      <c r="C6201" s="545" t="s">
        <v>5482</v>
      </c>
      <c r="D6201" s="669" t="s">
        <v>459</v>
      </c>
      <c r="E6201" s="546">
        <v>893.35999800000002</v>
      </c>
    </row>
    <row r="6202" spans="2:5" x14ac:dyDescent="0.25">
      <c r="B6202" s="545">
        <v>7543</v>
      </c>
      <c r="C6202" s="545" t="s">
        <v>6636</v>
      </c>
      <c r="D6202" s="669" t="s">
        <v>459</v>
      </c>
      <c r="E6202" s="546">
        <v>899.79999799999996</v>
      </c>
    </row>
    <row r="6203" spans="2:5" x14ac:dyDescent="0.25">
      <c r="B6203" s="545">
        <v>7544</v>
      </c>
      <c r="C6203" s="545" t="s">
        <v>5646</v>
      </c>
      <c r="D6203" s="669" t="s">
        <v>459</v>
      </c>
      <c r="E6203" s="546">
        <v>924.24000899999999</v>
      </c>
    </row>
    <row r="6204" spans="2:5" x14ac:dyDescent="0.25">
      <c r="B6204" s="545">
        <v>7545</v>
      </c>
      <c r="C6204" s="545" t="s">
        <v>5328</v>
      </c>
      <c r="D6204" s="669" t="s">
        <v>459</v>
      </c>
      <c r="E6204" s="546">
        <v>867.125</v>
      </c>
    </row>
    <row r="6205" spans="2:5" x14ac:dyDescent="0.25">
      <c r="B6205" s="545">
        <v>7546</v>
      </c>
      <c r="C6205" s="545" t="s">
        <v>5522</v>
      </c>
      <c r="D6205" s="669" t="s">
        <v>459</v>
      </c>
      <c r="E6205" s="546">
        <v>899.20001200000002</v>
      </c>
    </row>
    <row r="6206" spans="2:5" x14ac:dyDescent="0.25">
      <c r="B6206" s="545">
        <v>7547</v>
      </c>
      <c r="C6206" s="545" t="s">
        <v>6699</v>
      </c>
      <c r="D6206" s="669" t="s">
        <v>459</v>
      </c>
      <c r="E6206" s="546">
        <v>885.07000700000003</v>
      </c>
    </row>
    <row r="6207" spans="2:5" x14ac:dyDescent="0.25">
      <c r="B6207" s="545">
        <v>7548</v>
      </c>
      <c r="C6207" s="545" t="s">
        <v>5627</v>
      </c>
      <c r="D6207" s="669" t="s">
        <v>459</v>
      </c>
      <c r="E6207" s="546">
        <v>918.14999399999999</v>
      </c>
    </row>
    <row r="6208" spans="2:5" x14ac:dyDescent="0.25">
      <c r="B6208" s="545">
        <v>7549</v>
      </c>
      <c r="C6208" s="545" t="s">
        <v>7312</v>
      </c>
      <c r="D6208" s="669" t="s">
        <v>459</v>
      </c>
      <c r="E6208" s="546">
        <v>860.36000200000001</v>
      </c>
    </row>
    <row r="6209" spans="2:5" x14ac:dyDescent="0.25">
      <c r="B6209" s="545">
        <v>7550</v>
      </c>
      <c r="C6209" s="545" t="s">
        <v>5312</v>
      </c>
      <c r="D6209" s="669" t="s">
        <v>459</v>
      </c>
      <c r="E6209" s="546">
        <v>863.79998799999998</v>
      </c>
    </row>
    <row r="6210" spans="2:5" x14ac:dyDescent="0.25">
      <c r="B6210" s="545">
        <v>7551</v>
      </c>
      <c r="C6210" s="545" t="s">
        <v>5510</v>
      </c>
      <c r="D6210" s="669" t="s">
        <v>459</v>
      </c>
      <c r="E6210" s="546">
        <v>896.80909899999995</v>
      </c>
    </row>
    <row r="6211" spans="2:5" x14ac:dyDescent="0.25">
      <c r="B6211" s="545">
        <v>7552</v>
      </c>
      <c r="C6211" s="545" t="s">
        <v>5650</v>
      </c>
      <c r="D6211" s="669" t="s">
        <v>459</v>
      </c>
      <c r="E6211" s="546">
        <v>925.08000500000003</v>
      </c>
    </row>
    <row r="6212" spans="2:5" x14ac:dyDescent="0.25">
      <c r="B6212" s="545">
        <v>7553</v>
      </c>
      <c r="C6212" s="545" t="s">
        <v>5533</v>
      </c>
      <c r="D6212" s="669" t="s">
        <v>459</v>
      </c>
      <c r="E6212" s="546">
        <v>901.08333300000004</v>
      </c>
    </row>
    <row r="6213" spans="2:5" x14ac:dyDescent="0.25">
      <c r="B6213" s="545">
        <v>7554</v>
      </c>
      <c r="C6213" s="545" t="s">
        <v>5662</v>
      </c>
      <c r="D6213" s="669" t="s">
        <v>459</v>
      </c>
      <c r="E6213" s="546">
        <v>928.16875100000004</v>
      </c>
    </row>
    <row r="6214" spans="2:5" x14ac:dyDescent="0.25">
      <c r="B6214" s="545">
        <v>7555</v>
      </c>
      <c r="C6214" s="545" t="s">
        <v>5635</v>
      </c>
      <c r="D6214" s="669" t="s">
        <v>459</v>
      </c>
      <c r="E6214" s="546">
        <v>920.10768900000005</v>
      </c>
    </row>
    <row r="6215" spans="2:5" x14ac:dyDescent="0.25">
      <c r="B6215" s="545">
        <v>7556</v>
      </c>
      <c r="C6215" s="545" t="s">
        <v>1723</v>
      </c>
      <c r="D6215" s="669" t="s">
        <v>459</v>
      </c>
      <c r="E6215" s="546">
        <v>898.66249800000003</v>
      </c>
    </row>
    <row r="6216" spans="2:5" x14ac:dyDescent="0.25">
      <c r="B6216" s="545">
        <v>7557</v>
      </c>
      <c r="C6216" s="545" t="s">
        <v>5681</v>
      </c>
      <c r="D6216" s="669" t="s">
        <v>459</v>
      </c>
      <c r="E6216" s="546">
        <v>933.95999800000004</v>
      </c>
    </row>
    <row r="6217" spans="2:5" x14ac:dyDescent="0.25">
      <c r="B6217" s="545">
        <v>7558</v>
      </c>
      <c r="C6217" s="545" t="s">
        <v>4627</v>
      </c>
      <c r="D6217" s="669" t="s">
        <v>459</v>
      </c>
      <c r="E6217" s="546">
        <v>929.72500600000001</v>
      </c>
    </row>
    <row r="6218" spans="2:5" x14ac:dyDescent="0.25">
      <c r="B6218" s="545">
        <v>7559</v>
      </c>
      <c r="C6218" s="545" t="s">
        <v>5704</v>
      </c>
      <c r="D6218" s="669" t="s">
        <v>459</v>
      </c>
      <c r="E6218" s="546">
        <v>940.03750200000002</v>
      </c>
    </row>
    <row r="6219" spans="2:5" x14ac:dyDescent="0.25">
      <c r="B6219" s="545">
        <v>7560</v>
      </c>
      <c r="C6219" s="545" t="s">
        <v>5763</v>
      </c>
      <c r="D6219" s="669" t="s">
        <v>459</v>
      </c>
      <c r="E6219" s="546">
        <v>956.96249399999999</v>
      </c>
    </row>
    <row r="6220" spans="2:5" x14ac:dyDescent="0.25">
      <c r="B6220" s="545">
        <v>7561</v>
      </c>
      <c r="C6220" s="545" t="s">
        <v>6953</v>
      </c>
      <c r="D6220" s="669" t="s">
        <v>459</v>
      </c>
      <c r="E6220" s="546">
        <v>931.99998600000004</v>
      </c>
    </row>
    <row r="6221" spans="2:5" x14ac:dyDescent="0.25">
      <c r="B6221" s="545">
        <v>7562</v>
      </c>
      <c r="C6221" s="545" t="s">
        <v>5712</v>
      </c>
      <c r="D6221" s="669" t="s">
        <v>459</v>
      </c>
      <c r="E6221" s="546">
        <v>942.36666400000001</v>
      </c>
    </row>
    <row r="6222" spans="2:5" x14ac:dyDescent="0.25">
      <c r="B6222" s="545">
        <v>7563</v>
      </c>
      <c r="C6222" s="545" t="s">
        <v>3977</v>
      </c>
      <c r="D6222" s="669" t="s">
        <v>459</v>
      </c>
      <c r="E6222" s="546">
        <v>954.97776999999996</v>
      </c>
    </row>
    <row r="6223" spans="2:5" x14ac:dyDescent="0.25">
      <c r="B6223" s="545">
        <v>7564</v>
      </c>
      <c r="C6223" s="545" t="s">
        <v>3946</v>
      </c>
      <c r="D6223" s="669" t="s">
        <v>459</v>
      </c>
      <c r="E6223" s="546">
        <v>953.44000200000005</v>
      </c>
    </row>
    <row r="6224" spans="2:5" x14ac:dyDescent="0.25">
      <c r="B6224" s="545">
        <v>7565</v>
      </c>
      <c r="C6224" s="545" t="s">
        <v>1460</v>
      </c>
      <c r="D6224" s="669" t="s">
        <v>459</v>
      </c>
      <c r="E6224" s="546">
        <v>911.59000200000003</v>
      </c>
    </row>
    <row r="6225" spans="2:5" x14ac:dyDescent="0.25">
      <c r="B6225" s="545">
        <v>7566</v>
      </c>
      <c r="C6225" s="545" t="s">
        <v>2610</v>
      </c>
      <c r="D6225" s="669" t="s">
        <v>449</v>
      </c>
      <c r="E6225" s="546">
        <v>939.38333599999999</v>
      </c>
    </row>
    <row r="6226" spans="2:5" x14ac:dyDescent="0.25">
      <c r="B6226" s="545">
        <v>7567</v>
      </c>
      <c r="C6226" s="545" t="s">
        <v>5619</v>
      </c>
      <c r="D6226" s="669" t="s">
        <v>449</v>
      </c>
      <c r="E6226" s="546">
        <v>916.14285700000005</v>
      </c>
    </row>
    <row r="6227" spans="2:5" x14ac:dyDescent="0.25">
      <c r="B6227" s="545">
        <v>7568</v>
      </c>
      <c r="C6227" s="545" t="s">
        <v>5790</v>
      </c>
      <c r="D6227" s="669" t="s">
        <v>449</v>
      </c>
      <c r="E6227" s="546">
        <v>963.54000199999996</v>
      </c>
    </row>
    <row r="6228" spans="2:5" x14ac:dyDescent="0.25">
      <c r="B6228" s="545">
        <v>7569</v>
      </c>
      <c r="C6228" s="545" t="s">
        <v>5707</v>
      </c>
      <c r="D6228" s="669" t="s">
        <v>449</v>
      </c>
      <c r="E6228" s="546">
        <v>940.46250199999997</v>
      </c>
    </row>
    <row r="6229" spans="2:5" x14ac:dyDescent="0.25">
      <c r="B6229" s="545">
        <v>7570</v>
      </c>
      <c r="C6229" s="545" t="s">
        <v>449</v>
      </c>
      <c r="D6229" s="669" t="s">
        <v>449</v>
      </c>
      <c r="E6229" s="546">
        <v>935.47142199999996</v>
      </c>
    </row>
    <row r="6230" spans="2:5" x14ac:dyDescent="0.25">
      <c r="B6230" s="545">
        <v>7571</v>
      </c>
      <c r="C6230" s="545" t="s">
        <v>5815</v>
      </c>
      <c r="D6230" s="669" t="s">
        <v>449</v>
      </c>
      <c r="E6230" s="546">
        <v>969.15713900000003</v>
      </c>
    </row>
    <row r="6231" spans="2:5" x14ac:dyDescent="0.25">
      <c r="B6231" s="545">
        <v>7572</v>
      </c>
      <c r="C6231" s="545" t="s">
        <v>5843</v>
      </c>
      <c r="D6231" s="669" t="s">
        <v>449</v>
      </c>
      <c r="E6231" s="546">
        <v>979.87142900000003</v>
      </c>
    </row>
    <row r="6232" spans="2:5" x14ac:dyDescent="0.25">
      <c r="B6232" s="545">
        <v>7573</v>
      </c>
      <c r="C6232" s="545" t="s">
        <v>5902</v>
      </c>
      <c r="D6232" s="669" t="s">
        <v>449</v>
      </c>
      <c r="E6232" s="546">
        <v>999.77500399999997</v>
      </c>
    </row>
    <row r="6233" spans="2:5" x14ac:dyDescent="0.25">
      <c r="B6233" s="545">
        <v>7574</v>
      </c>
      <c r="C6233" s="545" t="s">
        <v>5759</v>
      </c>
      <c r="D6233" s="669" t="s">
        <v>459</v>
      </c>
      <c r="E6233" s="546">
        <v>956.40002400000003</v>
      </c>
    </row>
    <row r="6234" spans="2:5" x14ac:dyDescent="0.25">
      <c r="B6234" s="545">
        <v>7575</v>
      </c>
      <c r="C6234" s="545" t="s">
        <v>5742</v>
      </c>
      <c r="D6234" s="669" t="s">
        <v>459</v>
      </c>
      <c r="E6234" s="546">
        <v>951.86667899999998</v>
      </c>
    </row>
    <row r="6235" spans="2:5" x14ac:dyDescent="0.25">
      <c r="B6235" s="545">
        <v>7576</v>
      </c>
      <c r="C6235" s="545" t="s">
        <v>7024</v>
      </c>
      <c r="D6235" s="669" t="s">
        <v>459</v>
      </c>
      <c r="E6235" s="546">
        <v>943.883331</v>
      </c>
    </row>
    <row r="6236" spans="2:5" x14ac:dyDescent="0.25">
      <c r="B6236" s="545">
        <v>7577</v>
      </c>
      <c r="C6236" s="545" t="s">
        <v>5765</v>
      </c>
      <c r="D6236" s="669" t="s">
        <v>459</v>
      </c>
      <c r="E6236" s="546">
        <v>957.06666099999995</v>
      </c>
    </row>
    <row r="6237" spans="2:5" x14ac:dyDescent="0.25">
      <c r="B6237" s="545">
        <v>7578</v>
      </c>
      <c r="C6237" s="545" t="s">
        <v>5751</v>
      </c>
      <c r="D6237" s="669" t="s">
        <v>459</v>
      </c>
      <c r="E6237" s="546">
        <v>953.67500299999995</v>
      </c>
    </row>
    <row r="6238" spans="2:5" x14ac:dyDescent="0.25">
      <c r="B6238" s="545">
        <v>7579</v>
      </c>
      <c r="C6238" s="545" t="s">
        <v>5789</v>
      </c>
      <c r="D6238" s="669" t="s">
        <v>459</v>
      </c>
      <c r="E6238" s="546">
        <v>963.14999399999999</v>
      </c>
    </row>
    <row r="6239" spans="2:5" x14ac:dyDescent="0.25">
      <c r="B6239" s="545">
        <v>7580</v>
      </c>
      <c r="C6239" s="545" t="s">
        <v>5942</v>
      </c>
      <c r="D6239" s="669" t="s">
        <v>459</v>
      </c>
      <c r="E6239" s="546">
        <v>1023.100008</v>
      </c>
    </row>
    <row r="6240" spans="2:5" x14ac:dyDescent="0.25">
      <c r="B6240" s="545">
        <v>7581</v>
      </c>
      <c r="C6240" s="545" t="s">
        <v>5795</v>
      </c>
      <c r="D6240" s="669" t="s">
        <v>459</v>
      </c>
      <c r="E6240" s="546">
        <v>964.79998799999998</v>
      </c>
    </row>
    <row r="6241" spans="2:5" x14ac:dyDescent="0.25">
      <c r="B6241" s="545">
        <v>7582</v>
      </c>
      <c r="C6241" s="545" t="s">
        <v>5866</v>
      </c>
      <c r="D6241" s="669" t="s">
        <v>459</v>
      </c>
      <c r="E6241" s="546">
        <v>986.85881900000004</v>
      </c>
    </row>
    <row r="6242" spans="2:5" x14ac:dyDescent="0.25">
      <c r="B6242" s="545">
        <v>7583</v>
      </c>
      <c r="C6242" s="545" t="s">
        <v>6036</v>
      </c>
      <c r="D6242" s="669" t="s">
        <v>459</v>
      </c>
      <c r="E6242" s="546">
        <v>1071.0333350000001</v>
      </c>
    </row>
    <row r="6243" spans="2:5" x14ac:dyDescent="0.25">
      <c r="B6243" s="545">
        <v>7584</v>
      </c>
      <c r="C6243" s="545" t="s">
        <v>5946</v>
      </c>
      <c r="D6243" s="669" t="s">
        <v>459</v>
      </c>
      <c r="E6243" s="546">
        <v>1025.037491</v>
      </c>
    </row>
    <row r="6244" spans="2:5" x14ac:dyDescent="0.25">
      <c r="B6244" s="545">
        <v>7585</v>
      </c>
      <c r="C6244" s="545" t="s">
        <v>5984</v>
      </c>
      <c r="D6244" s="669" t="s">
        <v>459</v>
      </c>
      <c r="E6244" s="546">
        <v>1041.0875020000001</v>
      </c>
    </row>
    <row r="6245" spans="2:5" x14ac:dyDescent="0.25">
      <c r="B6245" s="545">
        <v>7586</v>
      </c>
      <c r="C6245" s="545" t="s">
        <v>6052</v>
      </c>
      <c r="D6245" s="669" t="s">
        <v>459</v>
      </c>
      <c r="E6245" s="546">
        <v>1080.045443</v>
      </c>
    </row>
    <row r="6246" spans="2:5" x14ac:dyDescent="0.25">
      <c r="B6246" s="545">
        <v>7587</v>
      </c>
      <c r="C6246" s="545" t="s">
        <v>6132</v>
      </c>
      <c r="D6246" s="669" t="s">
        <v>459</v>
      </c>
      <c r="E6246" s="546">
        <v>1145.9000020000001</v>
      </c>
    </row>
    <row r="6247" spans="2:5" x14ac:dyDescent="0.25">
      <c r="B6247" s="545">
        <v>7588</v>
      </c>
      <c r="C6247" s="545" t="s">
        <v>6573</v>
      </c>
      <c r="D6247" s="669" t="s">
        <v>459</v>
      </c>
      <c r="E6247" s="546">
        <v>1158.6000100000001</v>
      </c>
    </row>
    <row r="6248" spans="2:5" x14ac:dyDescent="0.25">
      <c r="B6248" s="545">
        <v>7589</v>
      </c>
      <c r="C6248" s="545" t="s">
        <v>5903</v>
      </c>
      <c r="D6248" s="669" t="s">
        <v>459</v>
      </c>
      <c r="E6248" s="546">
        <v>1000.671426</v>
      </c>
    </row>
    <row r="6249" spans="2:5" x14ac:dyDescent="0.25">
      <c r="B6249" s="545">
        <v>7590</v>
      </c>
      <c r="C6249" s="545" t="s">
        <v>5926</v>
      </c>
      <c r="D6249" s="669" t="s">
        <v>459</v>
      </c>
      <c r="E6249" s="546">
        <v>1013.2166539999999</v>
      </c>
    </row>
    <row r="6250" spans="2:5" x14ac:dyDescent="0.25">
      <c r="B6250" s="545">
        <v>7591</v>
      </c>
      <c r="C6250" s="545" t="s">
        <v>5916</v>
      </c>
      <c r="D6250" s="669" t="s">
        <v>459</v>
      </c>
      <c r="E6250" s="546">
        <v>1007.199992</v>
      </c>
    </row>
    <row r="6251" spans="2:5" x14ac:dyDescent="0.25">
      <c r="B6251" s="545">
        <v>7592</v>
      </c>
      <c r="C6251" s="545" t="s">
        <v>6007</v>
      </c>
      <c r="D6251" s="669" t="s">
        <v>459</v>
      </c>
      <c r="E6251" s="546">
        <v>1052.733348</v>
      </c>
    </row>
    <row r="6252" spans="2:5" x14ac:dyDescent="0.25">
      <c r="B6252" s="545">
        <v>7593</v>
      </c>
      <c r="C6252" s="545" t="s">
        <v>6032</v>
      </c>
      <c r="D6252" s="669" t="s">
        <v>459</v>
      </c>
      <c r="E6252" s="546">
        <v>1068.5428469999999</v>
      </c>
    </row>
    <row r="6253" spans="2:5" x14ac:dyDescent="0.25">
      <c r="B6253" s="545">
        <v>7594</v>
      </c>
      <c r="C6253" s="545" t="s">
        <v>5994</v>
      </c>
      <c r="D6253" s="669" t="s">
        <v>459</v>
      </c>
      <c r="E6253" s="546">
        <v>1044.6000160000001</v>
      </c>
    </row>
    <row r="6254" spans="2:5" x14ac:dyDescent="0.25">
      <c r="B6254" s="545">
        <v>7595</v>
      </c>
      <c r="C6254" s="545" t="s">
        <v>6090</v>
      </c>
      <c r="D6254" s="669" t="s">
        <v>459</v>
      </c>
      <c r="E6254" s="546">
        <v>1106.971436</v>
      </c>
    </row>
    <row r="6255" spans="2:5" x14ac:dyDescent="0.25">
      <c r="B6255" s="545">
        <v>7596</v>
      </c>
      <c r="C6255" s="545" t="s">
        <v>6113</v>
      </c>
      <c r="D6255" s="669" t="s">
        <v>459</v>
      </c>
      <c r="E6255" s="546">
        <v>1125.3599850000001</v>
      </c>
    </row>
    <row r="6256" spans="2:5" x14ac:dyDescent="0.25">
      <c r="B6256" s="545">
        <v>7597</v>
      </c>
      <c r="C6256" s="545" t="s">
        <v>6152</v>
      </c>
      <c r="D6256" s="669" t="s">
        <v>459</v>
      </c>
      <c r="E6256" s="546">
        <v>1153.599976</v>
      </c>
    </row>
    <row r="6257" spans="2:5" x14ac:dyDescent="0.25">
      <c r="B6257" s="545">
        <v>7598</v>
      </c>
      <c r="C6257" s="545" t="s">
        <v>5924</v>
      </c>
      <c r="D6257" s="669" t="s">
        <v>459</v>
      </c>
      <c r="E6257" s="546">
        <v>1012.533325</v>
      </c>
    </row>
    <row r="6258" spans="2:5" x14ac:dyDescent="0.25">
      <c r="B6258" s="545">
        <v>7599</v>
      </c>
      <c r="C6258" s="545" t="s">
        <v>6016</v>
      </c>
      <c r="D6258" s="669" t="s">
        <v>459</v>
      </c>
      <c r="E6258" s="546">
        <v>1055.4368609999999</v>
      </c>
    </row>
    <row r="6259" spans="2:5" x14ac:dyDescent="0.25">
      <c r="B6259" s="545">
        <v>7600</v>
      </c>
      <c r="C6259" s="545" t="s">
        <v>6045</v>
      </c>
      <c r="D6259" s="669" t="s">
        <v>459</v>
      </c>
      <c r="E6259" s="546">
        <v>1077.625</v>
      </c>
    </row>
    <row r="6260" spans="2:5" x14ac:dyDescent="0.25">
      <c r="B6260" s="545">
        <v>7601</v>
      </c>
      <c r="C6260" s="545" t="s">
        <v>6051</v>
      </c>
      <c r="D6260" s="669" t="s">
        <v>459</v>
      </c>
      <c r="E6260" s="546">
        <v>1079.919995</v>
      </c>
    </row>
    <row r="6261" spans="2:5" x14ac:dyDescent="0.25">
      <c r="B6261" s="545">
        <v>7602</v>
      </c>
      <c r="C6261" s="545" t="s">
        <v>6122</v>
      </c>
      <c r="D6261" s="669" t="s">
        <v>459</v>
      </c>
      <c r="E6261" s="546">
        <v>1137.265629</v>
      </c>
    </row>
    <row r="6262" spans="2:5" x14ac:dyDescent="0.25">
      <c r="B6262" s="545">
        <v>7603</v>
      </c>
      <c r="C6262" s="545" t="s">
        <v>5954</v>
      </c>
      <c r="D6262" s="669" t="s">
        <v>459</v>
      </c>
      <c r="E6262" s="546">
        <v>1028.3941219999999</v>
      </c>
    </row>
    <row r="6263" spans="2:5" x14ac:dyDescent="0.25">
      <c r="B6263" s="545">
        <v>7604</v>
      </c>
      <c r="C6263" s="545" t="s">
        <v>1204</v>
      </c>
      <c r="D6263" s="669" t="s">
        <v>459</v>
      </c>
      <c r="E6263" s="546">
        <v>1070.271432</v>
      </c>
    </row>
    <row r="6264" spans="2:5" x14ac:dyDescent="0.25">
      <c r="B6264" s="545">
        <v>7605</v>
      </c>
      <c r="C6264" s="545" t="s">
        <v>6534</v>
      </c>
      <c r="D6264" s="669" t="s">
        <v>459</v>
      </c>
      <c r="E6264" s="546">
        <v>1144.184851</v>
      </c>
    </row>
    <row r="6265" spans="2:5" x14ac:dyDescent="0.25">
      <c r="B6265" s="545">
        <v>7606</v>
      </c>
      <c r="C6265" s="545" t="s">
        <v>6008</v>
      </c>
      <c r="D6265" s="669" t="s">
        <v>459</v>
      </c>
      <c r="E6265" s="546">
        <v>1053.049988</v>
      </c>
    </row>
    <row r="6266" spans="2:5" x14ac:dyDescent="0.25">
      <c r="B6266" s="545">
        <v>7607</v>
      </c>
      <c r="C6266" s="545" t="s">
        <v>6071</v>
      </c>
      <c r="D6266" s="669" t="s">
        <v>459</v>
      </c>
      <c r="E6266" s="546">
        <v>1093.03999</v>
      </c>
    </row>
    <row r="6267" spans="2:5" x14ac:dyDescent="0.25">
      <c r="B6267" s="545">
        <v>7608</v>
      </c>
      <c r="C6267" s="545" t="s">
        <v>6079</v>
      </c>
      <c r="D6267" s="669" t="s">
        <v>459</v>
      </c>
      <c r="E6267" s="546">
        <v>1098.816671</v>
      </c>
    </row>
    <row r="6268" spans="2:5" x14ac:dyDescent="0.25">
      <c r="B6268" s="545">
        <v>7609</v>
      </c>
      <c r="C6268" s="545" t="s">
        <v>5296</v>
      </c>
      <c r="D6268" s="669" t="s">
        <v>454</v>
      </c>
      <c r="E6268" s="546">
        <v>861.03334600000005</v>
      </c>
    </row>
    <row r="6269" spans="2:5" x14ac:dyDescent="0.25">
      <c r="B6269" s="545">
        <v>7651</v>
      </c>
      <c r="C6269" s="545" t="s">
        <v>4926</v>
      </c>
      <c r="D6269" s="669" t="s">
        <v>462</v>
      </c>
      <c r="E6269" s="546">
        <v>1375.008331</v>
      </c>
    </row>
    <row r="6270" spans="2:5" x14ac:dyDescent="0.25">
      <c r="B6270" s="545">
        <v>7652</v>
      </c>
      <c r="C6270" s="545" t="s">
        <v>6278</v>
      </c>
      <c r="D6270" s="669" t="s">
        <v>462</v>
      </c>
      <c r="E6270" s="546">
        <v>1313.5333390000001</v>
      </c>
    </row>
    <row r="6271" spans="2:5" x14ac:dyDescent="0.25">
      <c r="B6271" s="545">
        <v>7653</v>
      </c>
      <c r="C6271" s="545" t="s">
        <v>6339</v>
      </c>
      <c r="D6271" s="669" t="s">
        <v>462</v>
      </c>
      <c r="E6271" s="546">
        <v>1476.125</v>
      </c>
    </row>
    <row r="6272" spans="2:5" x14ac:dyDescent="0.25">
      <c r="B6272" s="545">
        <v>7654</v>
      </c>
      <c r="C6272" s="545" t="s">
        <v>6294</v>
      </c>
      <c r="D6272" s="669" t="s">
        <v>462</v>
      </c>
      <c r="E6272" s="546">
        <v>1339.7999990000001</v>
      </c>
    </row>
    <row r="6273" spans="2:5" x14ac:dyDescent="0.25">
      <c r="B6273" s="545">
        <v>7655</v>
      </c>
      <c r="C6273" s="545" t="s">
        <v>6233</v>
      </c>
      <c r="D6273" s="669" t="s">
        <v>462</v>
      </c>
      <c r="E6273" s="546">
        <v>1232.952935</v>
      </c>
    </row>
    <row r="6274" spans="2:5" x14ac:dyDescent="0.25">
      <c r="B6274" s="545">
        <v>7656</v>
      </c>
      <c r="C6274" s="545" t="s">
        <v>6194</v>
      </c>
      <c r="D6274" s="669" t="s">
        <v>462</v>
      </c>
      <c r="E6274" s="546">
        <v>1192.266656</v>
      </c>
    </row>
    <row r="6275" spans="2:5" x14ac:dyDescent="0.25">
      <c r="B6275" s="545">
        <v>7657</v>
      </c>
      <c r="C6275" s="545" t="s">
        <v>6183</v>
      </c>
      <c r="D6275" s="669" t="s">
        <v>462</v>
      </c>
      <c r="E6275" s="546">
        <v>1186.2466549999999</v>
      </c>
    </row>
    <row r="6276" spans="2:5" x14ac:dyDescent="0.25">
      <c r="B6276" s="545">
        <v>7658</v>
      </c>
      <c r="C6276" s="545" t="s">
        <v>6181</v>
      </c>
      <c r="D6276" s="669" t="s">
        <v>462</v>
      </c>
      <c r="E6276" s="546">
        <v>1184.415377</v>
      </c>
    </row>
    <row r="6277" spans="2:5" x14ac:dyDescent="0.25">
      <c r="B6277" s="545">
        <v>7659</v>
      </c>
      <c r="C6277" s="545" t="s">
        <v>6245</v>
      </c>
      <c r="D6277" s="669" t="s">
        <v>462</v>
      </c>
      <c r="E6277" s="546">
        <v>1244.6312640000001</v>
      </c>
    </row>
    <row r="6278" spans="2:5" x14ac:dyDescent="0.25">
      <c r="B6278" s="545">
        <v>7660</v>
      </c>
      <c r="C6278" s="545" t="s">
        <v>6182</v>
      </c>
      <c r="D6278" s="669" t="s">
        <v>462</v>
      </c>
      <c r="E6278" s="546">
        <v>1185.4000040000001</v>
      </c>
    </row>
    <row r="6279" spans="2:5" x14ac:dyDescent="0.25">
      <c r="B6279" s="545">
        <v>7661</v>
      </c>
      <c r="C6279" s="545" t="s">
        <v>7543</v>
      </c>
      <c r="D6279" s="669" t="s">
        <v>462</v>
      </c>
      <c r="E6279" s="546">
        <v>1211.25</v>
      </c>
    </row>
    <row r="6280" spans="2:5" x14ac:dyDescent="0.25">
      <c r="B6280" s="545">
        <v>7662</v>
      </c>
      <c r="C6280" s="545" t="s">
        <v>5635</v>
      </c>
      <c r="D6280" s="669" t="s">
        <v>462</v>
      </c>
      <c r="E6280" s="546">
        <v>1206.0571460000001</v>
      </c>
    </row>
    <row r="6281" spans="2:5" x14ac:dyDescent="0.25">
      <c r="B6281" s="545">
        <v>7663</v>
      </c>
      <c r="C6281" s="545" t="s">
        <v>4539</v>
      </c>
      <c r="D6281" s="669" t="s">
        <v>462</v>
      </c>
      <c r="E6281" s="546">
        <v>1278.711538</v>
      </c>
    </row>
    <row r="6282" spans="2:5" x14ac:dyDescent="0.25">
      <c r="B6282" s="545">
        <v>7664</v>
      </c>
      <c r="C6282" s="545" t="s">
        <v>6274</v>
      </c>
      <c r="D6282" s="669" t="s">
        <v>462</v>
      </c>
      <c r="E6282" s="546">
        <v>1299.613625</v>
      </c>
    </row>
    <row r="6283" spans="2:5" x14ac:dyDescent="0.25">
      <c r="B6283" s="545">
        <v>7665</v>
      </c>
      <c r="C6283" s="545" t="s">
        <v>6290</v>
      </c>
      <c r="D6283" s="669" t="s">
        <v>462</v>
      </c>
      <c r="E6283" s="546">
        <v>1336.3892949999999</v>
      </c>
    </row>
    <row r="6284" spans="2:5" x14ac:dyDescent="0.25">
      <c r="B6284" s="545">
        <v>7666</v>
      </c>
      <c r="C6284" s="545" t="s">
        <v>6383</v>
      </c>
      <c r="D6284" s="669" t="s">
        <v>462</v>
      </c>
      <c r="E6284" s="546">
        <v>1602.0799930000001</v>
      </c>
    </row>
    <row r="6285" spans="2:5" x14ac:dyDescent="0.25">
      <c r="B6285" s="545">
        <v>7667</v>
      </c>
      <c r="C6285" s="545" t="s">
        <v>7119</v>
      </c>
      <c r="D6285" s="669" t="s">
        <v>462</v>
      </c>
      <c r="E6285" s="546">
        <v>1687.2823490000001</v>
      </c>
    </row>
    <row r="6286" spans="2:5" x14ac:dyDescent="0.25">
      <c r="B6286" s="545">
        <v>7668</v>
      </c>
      <c r="C6286" s="545" t="s">
        <v>6368</v>
      </c>
      <c r="D6286" s="669" t="s">
        <v>462</v>
      </c>
      <c r="E6286" s="546">
        <v>1562.0750009999999</v>
      </c>
    </row>
    <row r="6287" spans="2:5" x14ac:dyDescent="0.25">
      <c r="B6287" s="545">
        <v>7669</v>
      </c>
      <c r="C6287" s="545" t="s">
        <v>6334</v>
      </c>
      <c r="D6287" s="669" t="s">
        <v>462</v>
      </c>
      <c r="E6287" s="546">
        <v>1454.306456</v>
      </c>
    </row>
    <row r="6288" spans="2:5" x14ac:dyDescent="0.25">
      <c r="B6288" s="545">
        <v>7670</v>
      </c>
      <c r="C6288" s="545" t="s">
        <v>448</v>
      </c>
      <c r="D6288" s="669" t="s">
        <v>448</v>
      </c>
      <c r="E6288" s="546">
        <v>1282.524999</v>
      </c>
    </row>
    <row r="6289" spans="2:5" x14ac:dyDescent="0.25">
      <c r="B6289" s="545">
        <v>7671</v>
      </c>
      <c r="C6289" s="545" t="s">
        <v>6256</v>
      </c>
      <c r="D6289" s="669" t="s">
        <v>448</v>
      </c>
      <c r="E6289" s="546">
        <v>1272.942119</v>
      </c>
    </row>
    <row r="6290" spans="2:5" x14ac:dyDescent="0.25">
      <c r="B6290" s="545">
        <v>7672</v>
      </c>
      <c r="C6290" s="545" t="s">
        <v>6248</v>
      </c>
      <c r="D6290" s="669" t="s">
        <v>448</v>
      </c>
      <c r="E6290" s="546">
        <v>1248.7791749999999</v>
      </c>
    </row>
    <row r="6291" spans="2:5" x14ac:dyDescent="0.25">
      <c r="B6291" s="545">
        <v>7673</v>
      </c>
      <c r="C6291" s="545" t="s">
        <v>6277</v>
      </c>
      <c r="D6291" s="669" t="s">
        <v>462</v>
      </c>
      <c r="E6291" s="546">
        <v>1312.8133459999999</v>
      </c>
    </row>
    <row r="6292" spans="2:5" x14ac:dyDescent="0.25">
      <c r="B6292" s="545">
        <v>7674</v>
      </c>
      <c r="C6292" s="545" t="s">
        <v>6322</v>
      </c>
      <c r="D6292" s="669" t="s">
        <v>462</v>
      </c>
      <c r="E6292" s="546">
        <v>1428.9399900000001</v>
      </c>
    </row>
    <row r="6293" spans="2:5" x14ac:dyDescent="0.25">
      <c r="B6293" s="545">
        <v>7675</v>
      </c>
      <c r="C6293" s="545" t="s">
        <v>6319</v>
      </c>
      <c r="D6293" s="669" t="s">
        <v>462</v>
      </c>
      <c r="E6293" s="546">
        <v>1418.581809</v>
      </c>
    </row>
    <row r="6294" spans="2:5" x14ac:dyDescent="0.25">
      <c r="B6294" s="545">
        <v>7676</v>
      </c>
      <c r="C6294" s="545" t="s">
        <v>3521</v>
      </c>
      <c r="D6294" s="669" t="s">
        <v>462</v>
      </c>
      <c r="E6294" s="546">
        <v>1693.252383</v>
      </c>
    </row>
    <row r="6295" spans="2:5" x14ac:dyDescent="0.25">
      <c r="B6295" s="545">
        <v>7677</v>
      </c>
      <c r="C6295" s="545" t="s">
        <v>6403</v>
      </c>
      <c r="D6295" s="669" t="s">
        <v>462</v>
      </c>
      <c r="E6295" s="546">
        <v>1675.2166609999999</v>
      </c>
    </row>
    <row r="6296" spans="2:5" x14ac:dyDescent="0.25">
      <c r="B6296" s="545">
        <v>7678</v>
      </c>
      <c r="C6296" s="545" t="s">
        <v>6388</v>
      </c>
      <c r="D6296" s="669" t="s">
        <v>462</v>
      </c>
      <c r="E6296" s="546">
        <v>1628.8999839999999</v>
      </c>
    </row>
    <row r="6297" spans="2:5" x14ac:dyDescent="0.25">
      <c r="B6297" s="545">
        <v>7679</v>
      </c>
      <c r="C6297" s="545" t="s">
        <v>6414</v>
      </c>
      <c r="D6297" s="669" t="s">
        <v>462</v>
      </c>
      <c r="E6297" s="546">
        <v>1709.749969</v>
      </c>
    </row>
    <row r="6298" spans="2:5" x14ac:dyDescent="0.25">
      <c r="B6298" s="545">
        <v>7680</v>
      </c>
      <c r="C6298" s="545" t="s">
        <v>6302</v>
      </c>
      <c r="D6298" s="669" t="s">
        <v>462</v>
      </c>
      <c r="E6298" s="546">
        <v>1356.9444510000001</v>
      </c>
    </row>
    <row r="6299" spans="2:5" x14ac:dyDescent="0.25">
      <c r="B6299" s="545">
        <v>7681</v>
      </c>
      <c r="C6299" s="545" t="s">
        <v>7165</v>
      </c>
      <c r="D6299" s="669" t="s">
        <v>462</v>
      </c>
      <c r="E6299" s="546">
        <v>1444.950012</v>
      </c>
    </row>
    <row r="6300" spans="2:5" x14ac:dyDescent="0.25">
      <c r="B6300" s="545">
        <v>7682</v>
      </c>
      <c r="C6300" s="545" t="s">
        <v>6377</v>
      </c>
      <c r="D6300" s="669" t="s">
        <v>462</v>
      </c>
      <c r="E6300" s="546">
        <v>1583.7846119999999</v>
      </c>
    </row>
    <row r="6301" spans="2:5" x14ac:dyDescent="0.25">
      <c r="B6301" s="545">
        <v>7683</v>
      </c>
      <c r="C6301" s="545" t="s">
        <v>7158</v>
      </c>
      <c r="D6301" s="669" t="s">
        <v>462</v>
      </c>
      <c r="E6301" s="546">
        <v>1363.546171</v>
      </c>
    </row>
    <row r="6302" spans="2:5" x14ac:dyDescent="0.25">
      <c r="B6302" s="545">
        <v>7684</v>
      </c>
      <c r="C6302" s="545" t="s">
        <v>6303</v>
      </c>
      <c r="D6302" s="669" t="s">
        <v>462</v>
      </c>
      <c r="E6302" s="546">
        <v>1364.660719</v>
      </c>
    </row>
    <row r="6303" spans="2:5" x14ac:dyDescent="0.25">
      <c r="B6303" s="545">
        <v>7685</v>
      </c>
      <c r="C6303" s="545" t="s">
        <v>6327</v>
      </c>
      <c r="D6303" s="669" t="s">
        <v>462</v>
      </c>
      <c r="E6303" s="546">
        <v>1439.959985</v>
      </c>
    </row>
    <row r="6304" spans="2:5" x14ac:dyDescent="0.25">
      <c r="B6304" s="545">
        <v>7686</v>
      </c>
      <c r="C6304" s="545" t="s">
        <v>1920</v>
      </c>
      <c r="D6304" s="669" t="s">
        <v>462</v>
      </c>
      <c r="E6304" s="546">
        <v>1484.0832929999999</v>
      </c>
    </row>
    <row r="6305" spans="2:5" x14ac:dyDescent="0.25">
      <c r="B6305" s="545">
        <v>7687</v>
      </c>
      <c r="C6305" s="545" t="s">
        <v>6344</v>
      </c>
      <c r="D6305" s="669" t="s">
        <v>462</v>
      </c>
      <c r="E6305" s="546">
        <v>1503.2647059999999</v>
      </c>
    </row>
    <row r="6306" spans="2:5" x14ac:dyDescent="0.25">
      <c r="B6306" s="545">
        <v>7688</v>
      </c>
      <c r="C6306" s="545" t="s">
        <v>3666</v>
      </c>
      <c r="D6306" s="669" t="s">
        <v>462</v>
      </c>
      <c r="E6306" s="546">
        <v>1423.778251</v>
      </c>
    </row>
    <row r="6307" spans="2:5" x14ac:dyDescent="0.25">
      <c r="B6307" s="545">
        <v>7689</v>
      </c>
      <c r="C6307" s="545" t="s">
        <v>6399</v>
      </c>
      <c r="D6307" s="669" t="s">
        <v>462</v>
      </c>
      <c r="E6307" s="546">
        <v>1651.288638</v>
      </c>
    </row>
    <row r="6308" spans="2:5" x14ac:dyDescent="0.25">
      <c r="B6308" s="545">
        <v>7690</v>
      </c>
      <c r="C6308" s="545" t="s">
        <v>6263</v>
      </c>
      <c r="D6308" s="669" t="s">
        <v>457</v>
      </c>
      <c r="E6308" s="546">
        <v>1283.0999919999999</v>
      </c>
    </row>
    <row r="6309" spans="2:5" x14ac:dyDescent="0.25">
      <c r="B6309" s="545">
        <v>7691</v>
      </c>
      <c r="C6309" s="545" t="s">
        <v>6218</v>
      </c>
      <c r="D6309" s="669" t="s">
        <v>457</v>
      </c>
      <c r="E6309" s="546">
        <v>1218.518188</v>
      </c>
    </row>
    <row r="6310" spans="2:5" x14ac:dyDescent="0.25">
      <c r="B6310" s="545">
        <v>7692</v>
      </c>
      <c r="C6310" s="545" t="s">
        <v>6165</v>
      </c>
      <c r="D6310" s="669" t="s">
        <v>457</v>
      </c>
      <c r="E6310" s="546">
        <v>1164.1437530000001</v>
      </c>
    </row>
    <row r="6311" spans="2:5" x14ac:dyDescent="0.25">
      <c r="B6311" s="545">
        <v>7693</v>
      </c>
      <c r="C6311" s="545" t="s">
        <v>6214</v>
      </c>
      <c r="D6311" s="669" t="s">
        <v>457</v>
      </c>
      <c r="E6311" s="546">
        <v>1213.7833459999999</v>
      </c>
    </row>
    <row r="6312" spans="2:5" x14ac:dyDescent="0.25">
      <c r="B6312" s="545">
        <v>7694</v>
      </c>
      <c r="C6312" s="545" t="s">
        <v>5079</v>
      </c>
      <c r="D6312" s="669" t="s">
        <v>457</v>
      </c>
      <c r="E6312" s="546">
        <v>1241.646146</v>
      </c>
    </row>
    <row r="6313" spans="2:5" x14ac:dyDescent="0.25">
      <c r="B6313" s="545">
        <v>7695</v>
      </c>
      <c r="C6313" s="545" t="s">
        <v>6610</v>
      </c>
      <c r="D6313" s="669" t="s">
        <v>457</v>
      </c>
      <c r="E6313" s="546">
        <v>1199.3</v>
      </c>
    </row>
    <row r="6314" spans="2:5" x14ac:dyDescent="0.25">
      <c r="B6314" s="545">
        <v>7696</v>
      </c>
      <c r="C6314" s="545" t="s">
        <v>1428</v>
      </c>
      <c r="D6314" s="669" t="s">
        <v>457</v>
      </c>
      <c r="E6314" s="546">
        <v>1222.3631660000001</v>
      </c>
    </row>
    <row r="6315" spans="2:5" x14ac:dyDescent="0.25">
      <c r="B6315" s="545">
        <v>7697</v>
      </c>
      <c r="C6315" s="545" t="s">
        <v>6954</v>
      </c>
      <c r="D6315" s="669" t="s">
        <v>457</v>
      </c>
      <c r="E6315" s="546">
        <v>1267.611539</v>
      </c>
    </row>
    <row r="6316" spans="2:5" x14ac:dyDescent="0.25">
      <c r="B6316" s="545">
        <v>7701</v>
      </c>
      <c r="C6316" s="545" t="s">
        <v>4890</v>
      </c>
      <c r="D6316" s="669" t="s">
        <v>453</v>
      </c>
      <c r="E6316" s="546">
        <v>811.21999500000004</v>
      </c>
    </row>
    <row r="6317" spans="2:5" x14ac:dyDescent="0.25">
      <c r="B6317" s="545">
        <v>7702</v>
      </c>
      <c r="C6317" s="545" t="s">
        <v>4945</v>
      </c>
      <c r="D6317" s="669" t="s">
        <v>453</v>
      </c>
      <c r="E6317" s="546">
        <v>816</v>
      </c>
    </row>
    <row r="6318" spans="2:5" x14ac:dyDescent="0.25">
      <c r="B6318" s="545">
        <v>7703</v>
      </c>
      <c r="C6318" s="545" t="s">
        <v>5009</v>
      </c>
      <c r="D6318" s="669" t="s">
        <v>453</v>
      </c>
      <c r="E6318" s="546">
        <v>823.88000499999998</v>
      </c>
    </row>
    <row r="6319" spans="2:5" x14ac:dyDescent="0.25">
      <c r="B6319" s="545">
        <v>7704</v>
      </c>
      <c r="C6319" s="545" t="s">
        <v>4760</v>
      </c>
      <c r="D6319" s="669" t="s">
        <v>453</v>
      </c>
      <c r="E6319" s="546">
        <v>800.80001800000002</v>
      </c>
    </row>
    <row r="6320" spans="2:5" x14ac:dyDescent="0.25">
      <c r="B6320" s="545">
        <v>7705</v>
      </c>
      <c r="C6320" s="545" t="s">
        <v>4920</v>
      </c>
      <c r="D6320" s="669" t="s">
        <v>453</v>
      </c>
      <c r="E6320" s="546">
        <v>814.09997599999997</v>
      </c>
    </row>
    <row r="6321" spans="2:5" x14ac:dyDescent="0.25">
      <c r="B6321" s="545">
        <v>7706</v>
      </c>
      <c r="C6321" s="545" t="s">
        <v>5125</v>
      </c>
      <c r="D6321" s="669" t="s">
        <v>453</v>
      </c>
      <c r="E6321" s="546">
        <v>835.91667700000005</v>
      </c>
    </row>
    <row r="6322" spans="2:5" x14ac:dyDescent="0.25">
      <c r="B6322" s="545">
        <v>7707</v>
      </c>
      <c r="C6322" s="545" t="s">
        <v>5238</v>
      </c>
      <c r="D6322" s="669" t="s">
        <v>453</v>
      </c>
      <c r="E6322" s="546">
        <v>851.88181899999995</v>
      </c>
    </row>
    <row r="6323" spans="2:5" x14ac:dyDescent="0.25">
      <c r="B6323" s="545">
        <v>7708</v>
      </c>
      <c r="C6323" s="545" t="s">
        <v>5299</v>
      </c>
      <c r="D6323" s="669" t="s">
        <v>453</v>
      </c>
      <c r="E6323" s="546">
        <v>862.02000699999996</v>
      </c>
    </row>
    <row r="6324" spans="2:5" x14ac:dyDescent="0.25">
      <c r="B6324" s="545">
        <v>7709</v>
      </c>
      <c r="C6324" s="545" t="s">
        <v>5468</v>
      </c>
      <c r="D6324" s="669" t="s">
        <v>453</v>
      </c>
      <c r="E6324" s="546">
        <v>891.51999499999999</v>
      </c>
    </row>
    <row r="6325" spans="2:5" x14ac:dyDescent="0.25">
      <c r="B6325" s="545">
        <v>7710</v>
      </c>
      <c r="C6325" s="545" t="s">
        <v>5396</v>
      </c>
      <c r="D6325" s="669" t="s">
        <v>453</v>
      </c>
      <c r="E6325" s="546">
        <v>878.88000499999998</v>
      </c>
    </row>
    <row r="6326" spans="2:5" x14ac:dyDescent="0.25">
      <c r="B6326" s="545">
        <v>7711</v>
      </c>
      <c r="C6326" s="545" t="s">
        <v>5455</v>
      </c>
      <c r="D6326" s="669" t="s">
        <v>453</v>
      </c>
      <c r="E6326" s="546">
        <v>888.73333700000001</v>
      </c>
    </row>
    <row r="6327" spans="2:5" x14ac:dyDescent="0.25">
      <c r="B6327" s="545">
        <v>7712</v>
      </c>
      <c r="C6327" s="545" t="s">
        <v>5445</v>
      </c>
      <c r="D6327" s="669" t="s">
        <v>453</v>
      </c>
      <c r="E6327" s="546">
        <v>886.73333700000001</v>
      </c>
    </row>
    <row r="6328" spans="2:5" x14ac:dyDescent="0.25">
      <c r="B6328" s="545">
        <v>7713</v>
      </c>
      <c r="C6328" s="545" t="s">
        <v>5484</v>
      </c>
      <c r="D6328" s="669" t="s">
        <v>453</v>
      </c>
      <c r="E6328" s="546">
        <v>893.65002400000003</v>
      </c>
    </row>
    <row r="6329" spans="2:5" x14ac:dyDescent="0.25">
      <c r="B6329" s="545">
        <v>7714</v>
      </c>
      <c r="C6329" s="545" t="s">
        <v>5336</v>
      </c>
      <c r="D6329" s="669" t="s">
        <v>453</v>
      </c>
      <c r="E6329" s="546">
        <v>868.79999699999996</v>
      </c>
    </row>
    <row r="6330" spans="2:5" x14ac:dyDescent="0.25">
      <c r="B6330" s="545">
        <v>7715</v>
      </c>
      <c r="C6330" s="545" t="s">
        <v>2455</v>
      </c>
      <c r="D6330" s="669" t="s">
        <v>453</v>
      </c>
      <c r="E6330" s="546">
        <v>881.17142999999999</v>
      </c>
    </row>
    <row r="6331" spans="2:5" x14ac:dyDescent="0.25">
      <c r="B6331" s="545">
        <v>7716</v>
      </c>
      <c r="C6331" s="545" t="s">
        <v>5261</v>
      </c>
      <c r="D6331" s="669" t="s">
        <v>453</v>
      </c>
      <c r="E6331" s="546">
        <v>855.20001200000002</v>
      </c>
    </row>
    <row r="6332" spans="2:5" x14ac:dyDescent="0.25">
      <c r="B6332" s="545">
        <v>7717</v>
      </c>
      <c r="C6332" s="545" t="s">
        <v>5143</v>
      </c>
      <c r="D6332" s="669" t="s">
        <v>453</v>
      </c>
      <c r="E6332" s="546">
        <v>837.91427999999996</v>
      </c>
    </row>
    <row r="6333" spans="2:5" x14ac:dyDescent="0.25">
      <c r="B6333" s="545">
        <v>7718</v>
      </c>
      <c r="C6333" s="545" t="s">
        <v>5597</v>
      </c>
      <c r="D6333" s="669" t="s">
        <v>453</v>
      </c>
      <c r="E6333" s="546">
        <v>910.74001499999997</v>
      </c>
    </row>
    <row r="6334" spans="2:5" x14ac:dyDescent="0.25">
      <c r="B6334" s="545">
        <v>7719</v>
      </c>
      <c r="C6334" s="545" t="s">
        <v>3977</v>
      </c>
      <c r="D6334" s="669" t="s">
        <v>453</v>
      </c>
      <c r="E6334" s="546">
        <v>883.97500600000001</v>
      </c>
    </row>
    <row r="6335" spans="2:5" x14ac:dyDescent="0.25">
      <c r="B6335" s="545">
        <v>7720</v>
      </c>
      <c r="C6335" s="545" t="s">
        <v>5399</v>
      </c>
      <c r="D6335" s="669" t="s">
        <v>453</v>
      </c>
      <c r="E6335" s="546">
        <v>879.19998899999996</v>
      </c>
    </row>
    <row r="6336" spans="2:5" x14ac:dyDescent="0.25">
      <c r="B6336" s="545">
        <v>7721</v>
      </c>
      <c r="C6336" s="545" t="s">
        <v>7038</v>
      </c>
      <c r="D6336" s="669" t="s">
        <v>453</v>
      </c>
      <c r="E6336" s="546">
        <v>854.95000200000004</v>
      </c>
    </row>
    <row r="6337" spans="2:5" x14ac:dyDescent="0.25">
      <c r="B6337" s="545">
        <v>7722</v>
      </c>
      <c r="C6337" s="545" t="s">
        <v>5360</v>
      </c>
      <c r="D6337" s="669" t="s">
        <v>453</v>
      </c>
      <c r="E6337" s="546">
        <v>872.38888899999995</v>
      </c>
    </row>
    <row r="6338" spans="2:5" x14ac:dyDescent="0.25">
      <c r="B6338" s="545">
        <v>7723</v>
      </c>
      <c r="C6338" s="545" t="s">
        <v>5456</v>
      </c>
      <c r="D6338" s="669" t="s">
        <v>453</v>
      </c>
      <c r="E6338" s="546">
        <v>888.89999399999999</v>
      </c>
    </row>
    <row r="6339" spans="2:5" x14ac:dyDescent="0.25">
      <c r="B6339" s="545">
        <v>7724</v>
      </c>
      <c r="C6339" s="545" t="s">
        <v>4400</v>
      </c>
      <c r="D6339" s="669" t="s">
        <v>453</v>
      </c>
      <c r="E6339" s="546">
        <v>772.22000700000001</v>
      </c>
    </row>
    <row r="6340" spans="2:5" x14ac:dyDescent="0.25">
      <c r="B6340" s="545">
        <v>7725</v>
      </c>
      <c r="C6340" s="545" t="s">
        <v>6963</v>
      </c>
      <c r="D6340" s="669" t="s">
        <v>453</v>
      </c>
      <c r="E6340" s="546">
        <v>807.22499800000003</v>
      </c>
    </row>
    <row r="6341" spans="2:5" x14ac:dyDescent="0.25">
      <c r="B6341" s="545">
        <v>7726</v>
      </c>
      <c r="C6341" s="545" t="s">
        <v>1598</v>
      </c>
      <c r="D6341" s="669" t="s">
        <v>453</v>
      </c>
      <c r="E6341" s="546">
        <v>825.39999899999998</v>
      </c>
    </row>
    <row r="6342" spans="2:5" x14ac:dyDescent="0.25">
      <c r="B6342" s="545">
        <v>7727</v>
      </c>
      <c r="C6342" s="545" t="s">
        <v>5079</v>
      </c>
      <c r="D6342" s="669" t="s">
        <v>453</v>
      </c>
      <c r="E6342" s="546">
        <v>831.11249499999997</v>
      </c>
    </row>
    <row r="6343" spans="2:5" x14ac:dyDescent="0.25">
      <c r="B6343" s="545">
        <v>7728</v>
      </c>
      <c r="C6343" s="545" t="s">
        <v>5003</v>
      </c>
      <c r="D6343" s="669" t="s">
        <v>453</v>
      </c>
      <c r="E6343" s="546">
        <v>823.259998</v>
      </c>
    </row>
    <row r="6344" spans="2:5" x14ac:dyDescent="0.25">
      <c r="B6344" s="545">
        <v>7729</v>
      </c>
      <c r="C6344" s="545" t="s">
        <v>5213</v>
      </c>
      <c r="D6344" s="669" t="s">
        <v>453</v>
      </c>
      <c r="E6344" s="546">
        <v>847.43332899999996</v>
      </c>
    </row>
    <row r="6345" spans="2:5" x14ac:dyDescent="0.25">
      <c r="B6345" s="545">
        <v>7730</v>
      </c>
      <c r="C6345" s="545" t="s">
        <v>5286</v>
      </c>
      <c r="D6345" s="669" t="s">
        <v>453</v>
      </c>
      <c r="E6345" s="546">
        <v>859.10001199999999</v>
      </c>
    </row>
    <row r="6346" spans="2:5" x14ac:dyDescent="0.25">
      <c r="B6346" s="545">
        <v>7731</v>
      </c>
      <c r="C6346" s="545" t="s">
        <v>5395</v>
      </c>
      <c r="D6346" s="669" t="s">
        <v>453</v>
      </c>
      <c r="E6346" s="546">
        <v>878.86667899999998</v>
      </c>
    </row>
    <row r="6347" spans="2:5" x14ac:dyDescent="0.25">
      <c r="B6347" s="545">
        <v>7732</v>
      </c>
      <c r="C6347" s="545" t="s">
        <v>5381</v>
      </c>
      <c r="D6347" s="669" t="s">
        <v>453</v>
      </c>
      <c r="E6347" s="546">
        <v>875.35999800000002</v>
      </c>
    </row>
    <row r="6348" spans="2:5" x14ac:dyDescent="0.25">
      <c r="B6348" s="545">
        <v>7733</v>
      </c>
      <c r="C6348" s="545" t="s">
        <v>5103</v>
      </c>
      <c r="D6348" s="669" t="s">
        <v>453</v>
      </c>
      <c r="E6348" s="546">
        <v>833.60000600000001</v>
      </c>
    </row>
    <row r="6349" spans="2:5" x14ac:dyDescent="0.25">
      <c r="B6349" s="545">
        <v>7734</v>
      </c>
      <c r="C6349" s="545" t="s">
        <v>5025</v>
      </c>
      <c r="D6349" s="669" t="s">
        <v>453</v>
      </c>
      <c r="E6349" s="546">
        <v>825.61764000000005</v>
      </c>
    </row>
    <row r="6350" spans="2:5" x14ac:dyDescent="0.25">
      <c r="B6350" s="545">
        <v>7735</v>
      </c>
      <c r="C6350" s="545" t="s">
        <v>1101</v>
      </c>
      <c r="D6350" s="669" t="s">
        <v>453</v>
      </c>
      <c r="E6350" s="546">
        <v>797.34000200000003</v>
      </c>
    </row>
    <row r="6351" spans="2:5" x14ac:dyDescent="0.25">
      <c r="B6351" s="545">
        <v>7736</v>
      </c>
      <c r="C6351" s="545" t="s">
        <v>7442</v>
      </c>
      <c r="D6351" s="669" t="s">
        <v>453</v>
      </c>
      <c r="E6351" s="546">
        <v>816.53334600000005</v>
      </c>
    </row>
    <row r="6352" spans="2:5" x14ac:dyDescent="0.25">
      <c r="B6352" s="545">
        <v>7737</v>
      </c>
      <c r="C6352" s="545" t="s">
        <v>5250</v>
      </c>
      <c r="D6352" s="669" t="s">
        <v>453</v>
      </c>
      <c r="E6352" s="546">
        <v>853.48333700000001</v>
      </c>
    </row>
    <row r="6353" spans="2:5" x14ac:dyDescent="0.25">
      <c r="B6353" s="545">
        <v>7738</v>
      </c>
      <c r="C6353" s="545" t="s">
        <v>4788</v>
      </c>
      <c r="D6353" s="669" t="s">
        <v>453</v>
      </c>
      <c r="E6353" s="546">
        <v>802.64000199999998</v>
      </c>
    </row>
    <row r="6354" spans="2:5" x14ac:dyDescent="0.25">
      <c r="B6354" s="545">
        <v>7739</v>
      </c>
      <c r="C6354" s="545" t="s">
        <v>4956</v>
      </c>
      <c r="D6354" s="669" t="s">
        <v>453</v>
      </c>
      <c r="E6354" s="546">
        <v>816.90002400000003</v>
      </c>
    </row>
    <row r="6355" spans="2:5" x14ac:dyDescent="0.25">
      <c r="B6355" s="545">
        <v>7740</v>
      </c>
      <c r="C6355" s="545" t="s">
        <v>1269</v>
      </c>
      <c r="D6355" s="669" t="s">
        <v>453</v>
      </c>
      <c r="E6355" s="546">
        <v>882.30000800000005</v>
      </c>
    </row>
    <row r="6356" spans="2:5" x14ac:dyDescent="0.25">
      <c r="B6356" s="545">
        <v>7741</v>
      </c>
      <c r="C6356" s="545" t="s">
        <v>4889</v>
      </c>
      <c r="D6356" s="669" t="s">
        <v>453</v>
      </c>
      <c r="E6356" s="546">
        <v>810.64285700000005</v>
      </c>
    </row>
    <row r="6357" spans="2:5" x14ac:dyDescent="0.25">
      <c r="B6357" s="545">
        <v>7742</v>
      </c>
      <c r="C6357" s="545" t="s">
        <v>5272</v>
      </c>
      <c r="D6357" s="669" t="s">
        <v>453</v>
      </c>
      <c r="E6357" s="546">
        <v>856.85000600000001</v>
      </c>
    </row>
    <row r="6358" spans="2:5" x14ac:dyDescent="0.25">
      <c r="B6358" s="545">
        <v>7743</v>
      </c>
      <c r="C6358" s="545" t="s">
        <v>5447</v>
      </c>
      <c r="D6358" s="669" t="s">
        <v>453</v>
      </c>
      <c r="E6358" s="546">
        <v>887.14285700000005</v>
      </c>
    </row>
    <row r="6359" spans="2:5" x14ac:dyDescent="0.25">
      <c r="B6359" s="545">
        <v>7744</v>
      </c>
      <c r="C6359" s="545" t="s">
        <v>5307</v>
      </c>
      <c r="D6359" s="669" t="s">
        <v>459</v>
      </c>
      <c r="E6359" s="546">
        <v>863.22999900000002</v>
      </c>
    </row>
    <row r="6360" spans="2:5" x14ac:dyDescent="0.25">
      <c r="B6360" s="545">
        <v>7745</v>
      </c>
      <c r="C6360" s="545" t="s">
        <v>2238</v>
      </c>
      <c r="D6360" s="669" t="s">
        <v>459</v>
      </c>
      <c r="E6360" s="546">
        <v>857.36667199999999</v>
      </c>
    </row>
    <row r="6361" spans="2:5" x14ac:dyDescent="0.25">
      <c r="B6361" s="545">
        <v>7746</v>
      </c>
      <c r="C6361" s="545" t="s">
        <v>5253</v>
      </c>
      <c r="D6361" s="669" t="s">
        <v>459</v>
      </c>
      <c r="E6361" s="546">
        <v>854.17498799999998</v>
      </c>
    </row>
    <row r="6362" spans="2:5" x14ac:dyDescent="0.25">
      <c r="B6362" s="545">
        <v>7747</v>
      </c>
      <c r="C6362" s="545" t="s">
        <v>5319</v>
      </c>
      <c r="D6362" s="669" t="s">
        <v>459</v>
      </c>
      <c r="E6362" s="546">
        <v>865.72499100000005</v>
      </c>
    </row>
    <row r="6363" spans="2:5" x14ac:dyDescent="0.25">
      <c r="B6363" s="545">
        <v>7748</v>
      </c>
      <c r="C6363" s="545" t="s">
        <v>7479</v>
      </c>
      <c r="D6363" s="669" t="s">
        <v>459</v>
      </c>
      <c r="E6363" s="546">
        <v>860.60000600000001</v>
      </c>
    </row>
    <row r="6364" spans="2:5" x14ac:dyDescent="0.25">
      <c r="B6364" s="545">
        <v>7749</v>
      </c>
      <c r="C6364" s="545" t="s">
        <v>1327</v>
      </c>
      <c r="D6364" s="669" t="s">
        <v>459</v>
      </c>
      <c r="E6364" s="546">
        <v>878.375</v>
      </c>
    </row>
    <row r="6365" spans="2:5" x14ac:dyDescent="0.25">
      <c r="B6365" s="545">
        <v>7750</v>
      </c>
      <c r="C6365" s="545" t="s">
        <v>7083</v>
      </c>
      <c r="D6365" s="669" t="s">
        <v>459</v>
      </c>
      <c r="E6365" s="546">
        <v>886.41665599999999</v>
      </c>
    </row>
    <row r="6366" spans="2:5" x14ac:dyDescent="0.25">
      <c r="B6366" s="545">
        <v>7751</v>
      </c>
      <c r="C6366" s="545" t="s">
        <v>5412</v>
      </c>
      <c r="D6366" s="669" t="s">
        <v>459</v>
      </c>
      <c r="E6366" s="546">
        <v>880.39000899999996</v>
      </c>
    </row>
    <row r="6367" spans="2:5" x14ac:dyDescent="0.25">
      <c r="B6367" s="545">
        <v>7752</v>
      </c>
      <c r="C6367" s="545" t="s">
        <v>7188</v>
      </c>
      <c r="D6367" s="669" t="s">
        <v>459</v>
      </c>
      <c r="E6367" s="546">
        <v>869.42857100000003</v>
      </c>
    </row>
    <row r="6368" spans="2:5" x14ac:dyDescent="0.25">
      <c r="B6368" s="545">
        <v>7753</v>
      </c>
      <c r="C6368" s="545" t="s">
        <v>5370</v>
      </c>
      <c r="D6368" s="669" t="s">
        <v>459</v>
      </c>
      <c r="E6368" s="546">
        <v>873.81817599999999</v>
      </c>
    </row>
    <row r="6369" spans="2:5" x14ac:dyDescent="0.25">
      <c r="B6369" s="545">
        <v>7754</v>
      </c>
      <c r="C6369" s="545" t="s">
        <v>1609</v>
      </c>
      <c r="D6369" s="669" t="s">
        <v>459</v>
      </c>
      <c r="E6369" s="546">
        <v>887.27059399999996</v>
      </c>
    </row>
    <row r="6370" spans="2:5" x14ac:dyDescent="0.25">
      <c r="B6370" s="545">
        <v>7755</v>
      </c>
      <c r="C6370" s="545" t="s">
        <v>5629</v>
      </c>
      <c r="D6370" s="669" t="s">
        <v>459</v>
      </c>
      <c r="E6370" s="546">
        <v>918.90909099999999</v>
      </c>
    </row>
    <row r="6371" spans="2:5" x14ac:dyDescent="0.25">
      <c r="B6371" s="545">
        <v>7756</v>
      </c>
      <c r="C6371" s="545" t="s">
        <v>7443</v>
      </c>
      <c r="D6371" s="669" t="s">
        <v>459</v>
      </c>
      <c r="E6371" s="546">
        <v>851.01429099999996</v>
      </c>
    </row>
    <row r="6372" spans="2:5" x14ac:dyDescent="0.25">
      <c r="B6372" s="545">
        <v>7757</v>
      </c>
      <c r="C6372" s="545" t="s">
        <v>2436</v>
      </c>
      <c r="D6372" s="669" t="s">
        <v>459</v>
      </c>
      <c r="E6372" s="546">
        <v>865.14999399999999</v>
      </c>
    </row>
    <row r="6373" spans="2:5" x14ac:dyDescent="0.25">
      <c r="B6373" s="545">
        <v>7758</v>
      </c>
      <c r="C6373" s="545" t="s">
        <v>1815</v>
      </c>
      <c r="D6373" s="669" t="s">
        <v>459</v>
      </c>
      <c r="E6373" s="546">
        <v>847.15713900000003</v>
      </c>
    </row>
    <row r="6374" spans="2:5" x14ac:dyDescent="0.25">
      <c r="B6374" s="545">
        <v>7759</v>
      </c>
      <c r="C6374" s="545" t="s">
        <v>5415</v>
      </c>
      <c r="D6374" s="669" t="s">
        <v>459</v>
      </c>
      <c r="E6374" s="546">
        <v>881.23333700000001</v>
      </c>
    </row>
    <row r="6375" spans="2:5" x14ac:dyDescent="0.25">
      <c r="B6375" s="545">
        <v>7760</v>
      </c>
      <c r="C6375" s="545" t="s">
        <v>5366</v>
      </c>
      <c r="D6375" s="669" t="s">
        <v>459</v>
      </c>
      <c r="E6375" s="546">
        <v>873.68333900000005</v>
      </c>
    </row>
    <row r="6376" spans="2:5" x14ac:dyDescent="0.25">
      <c r="B6376" s="545">
        <v>7761</v>
      </c>
      <c r="C6376" s="545" t="s">
        <v>5553</v>
      </c>
      <c r="D6376" s="669" t="s">
        <v>459</v>
      </c>
      <c r="E6376" s="546">
        <v>905.35833200000002</v>
      </c>
    </row>
    <row r="6377" spans="2:5" x14ac:dyDescent="0.25">
      <c r="B6377" s="545">
        <v>7762</v>
      </c>
      <c r="C6377" s="545" t="s">
        <v>5012</v>
      </c>
      <c r="D6377" s="669" t="s">
        <v>459</v>
      </c>
      <c r="E6377" s="546">
        <v>823.95000200000004</v>
      </c>
    </row>
    <row r="6378" spans="2:5" x14ac:dyDescent="0.25">
      <c r="B6378" s="545">
        <v>7763</v>
      </c>
      <c r="C6378" s="545" t="s">
        <v>5033</v>
      </c>
      <c r="D6378" s="669" t="s">
        <v>459</v>
      </c>
      <c r="E6378" s="546">
        <v>826.0625</v>
      </c>
    </row>
    <row r="6379" spans="2:5" x14ac:dyDescent="0.25">
      <c r="B6379" s="545">
        <v>7764</v>
      </c>
      <c r="C6379" s="545" t="s">
        <v>963</v>
      </c>
      <c r="D6379" s="669" t="s">
        <v>459</v>
      </c>
      <c r="E6379" s="546">
        <v>866.06363199999998</v>
      </c>
    </row>
    <row r="6380" spans="2:5" x14ac:dyDescent="0.25">
      <c r="B6380" s="545">
        <v>7765</v>
      </c>
      <c r="C6380" s="545" t="s">
        <v>5552</v>
      </c>
      <c r="D6380" s="669" t="s">
        <v>459</v>
      </c>
      <c r="E6380" s="546">
        <v>905.11998300000005</v>
      </c>
    </row>
    <row r="6381" spans="2:5" x14ac:dyDescent="0.25">
      <c r="B6381" s="545">
        <v>7766</v>
      </c>
      <c r="C6381" s="545" t="s">
        <v>5469</v>
      </c>
      <c r="D6381" s="669" t="s">
        <v>459</v>
      </c>
      <c r="E6381" s="546">
        <v>891.53332499999999</v>
      </c>
    </row>
    <row r="6382" spans="2:5" x14ac:dyDescent="0.25">
      <c r="B6382" s="545">
        <v>7767</v>
      </c>
      <c r="C6382" s="545" t="s">
        <v>3641</v>
      </c>
      <c r="D6382" s="669" t="s">
        <v>459</v>
      </c>
      <c r="E6382" s="546">
        <v>919.46364000000005</v>
      </c>
    </row>
    <row r="6383" spans="2:5" x14ac:dyDescent="0.25">
      <c r="B6383" s="545">
        <v>7768</v>
      </c>
      <c r="C6383" s="545" t="s">
        <v>5577</v>
      </c>
      <c r="D6383" s="669" t="s">
        <v>459</v>
      </c>
      <c r="E6383" s="546">
        <v>907.84000900000001</v>
      </c>
    </row>
    <row r="6384" spans="2:5" x14ac:dyDescent="0.25">
      <c r="B6384" s="545">
        <v>7769</v>
      </c>
      <c r="C6384" s="545" t="s">
        <v>5457</v>
      </c>
      <c r="D6384" s="669" t="s">
        <v>459</v>
      </c>
      <c r="E6384" s="546">
        <v>889.46365100000003</v>
      </c>
    </row>
    <row r="6385" spans="2:5" x14ac:dyDescent="0.25">
      <c r="B6385" s="545">
        <v>7770</v>
      </c>
      <c r="C6385" s="545" t="s">
        <v>5526</v>
      </c>
      <c r="D6385" s="669" t="s">
        <v>459</v>
      </c>
      <c r="E6385" s="546">
        <v>899.910526</v>
      </c>
    </row>
    <row r="6386" spans="2:5" x14ac:dyDescent="0.25">
      <c r="B6386" s="545">
        <v>7771</v>
      </c>
      <c r="C6386" s="545" t="s">
        <v>5578</v>
      </c>
      <c r="D6386" s="669" t="s">
        <v>459</v>
      </c>
      <c r="E6386" s="546">
        <v>907.866669</v>
      </c>
    </row>
    <row r="6387" spans="2:5" x14ac:dyDescent="0.25">
      <c r="B6387" s="545">
        <v>7772</v>
      </c>
      <c r="C6387" s="545" t="s">
        <v>5626</v>
      </c>
      <c r="D6387" s="669" t="s">
        <v>459</v>
      </c>
      <c r="E6387" s="546">
        <v>918.07500500000003</v>
      </c>
    </row>
    <row r="6388" spans="2:5" x14ac:dyDescent="0.25">
      <c r="B6388" s="545">
        <v>7773</v>
      </c>
      <c r="C6388" s="545" t="s">
        <v>5589</v>
      </c>
      <c r="D6388" s="669" t="s">
        <v>459</v>
      </c>
      <c r="E6388" s="546">
        <v>909.80000399999994</v>
      </c>
    </row>
    <row r="6389" spans="2:5" x14ac:dyDescent="0.25">
      <c r="B6389" s="545">
        <v>7774</v>
      </c>
      <c r="C6389" s="545" t="s">
        <v>5495</v>
      </c>
      <c r="D6389" s="669" t="s">
        <v>459</v>
      </c>
      <c r="E6389" s="546">
        <v>894.68636500000002</v>
      </c>
    </row>
    <row r="6390" spans="2:5" x14ac:dyDescent="0.25">
      <c r="B6390" s="545">
        <v>7775</v>
      </c>
      <c r="C6390" s="545" t="s">
        <v>5687</v>
      </c>
      <c r="D6390" s="669" t="s">
        <v>459</v>
      </c>
      <c r="E6390" s="546">
        <v>934.78749500000004</v>
      </c>
    </row>
    <row r="6391" spans="2:5" x14ac:dyDescent="0.25">
      <c r="B6391" s="545">
        <v>7776</v>
      </c>
      <c r="C6391" s="545" t="s">
        <v>5722</v>
      </c>
      <c r="D6391" s="669" t="s">
        <v>459</v>
      </c>
      <c r="E6391" s="546">
        <v>945.79166699999996</v>
      </c>
    </row>
    <row r="6392" spans="2:5" x14ac:dyDescent="0.25">
      <c r="B6392" s="545">
        <v>7777</v>
      </c>
      <c r="C6392" s="545" t="s">
        <v>5611</v>
      </c>
      <c r="D6392" s="669" t="s">
        <v>459</v>
      </c>
      <c r="E6392" s="546">
        <v>914.53333499999997</v>
      </c>
    </row>
    <row r="6393" spans="2:5" x14ac:dyDescent="0.25">
      <c r="B6393" s="545">
        <v>7778</v>
      </c>
      <c r="C6393" s="545" t="s">
        <v>5556</v>
      </c>
      <c r="D6393" s="669" t="s">
        <v>459</v>
      </c>
      <c r="E6393" s="546">
        <v>905.90909099999999</v>
      </c>
    </row>
    <row r="6394" spans="2:5" x14ac:dyDescent="0.25">
      <c r="B6394" s="545">
        <v>7779</v>
      </c>
      <c r="C6394" s="545" t="s">
        <v>3319</v>
      </c>
      <c r="D6394" s="669" t="s">
        <v>459</v>
      </c>
      <c r="E6394" s="546">
        <v>930.36665900000003</v>
      </c>
    </row>
    <row r="6395" spans="2:5" x14ac:dyDescent="0.25">
      <c r="B6395" s="545">
        <v>7780</v>
      </c>
      <c r="C6395" s="545" t="s">
        <v>5711</v>
      </c>
      <c r="D6395" s="669" t="s">
        <v>459</v>
      </c>
      <c r="E6395" s="546">
        <v>942.15000899999995</v>
      </c>
    </row>
    <row r="6396" spans="2:5" x14ac:dyDescent="0.25">
      <c r="B6396" s="545">
        <v>7781</v>
      </c>
      <c r="C6396" s="545" t="s">
        <v>5721</v>
      </c>
      <c r="D6396" s="669" t="s">
        <v>459</v>
      </c>
      <c r="E6396" s="546">
        <v>945.47894899999994</v>
      </c>
    </row>
    <row r="6397" spans="2:5" x14ac:dyDescent="0.25">
      <c r="B6397" s="545">
        <v>7782</v>
      </c>
      <c r="C6397" s="545" t="s">
        <v>5728</v>
      </c>
      <c r="D6397" s="669" t="s">
        <v>459</v>
      </c>
      <c r="E6397" s="546">
        <v>947.16666699999996</v>
      </c>
    </row>
    <row r="6398" spans="2:5" x14ac:dyDescent="0.25">
      <c r="B6398" s="545">
        <v>7783</v>
      </c>
      <c r="C6398" s="545" t="s">
        <v>5733</v>
      </c>
      <c r="D6398" s="669" t="s">
        <v>459</v>
      </c>
      <c r="E6398" s="546">
        <v>949.59997599999997</v>
      </c>
    </row>
    <row r="6399" spans="2:5" x14ac:dyDescent="0.25">
      <c r="B6399" s="545">
        <v>7784</v>
      </c>
      <c r="C6399" s="545" t="s">
        <v>5828</v>
      </c>
      <c r="D6399" s="669" t="s">
        <v>459</v>
      </c>
      <c r="E6399" s="546">
        <v>975.04999799999996</v>
      </c>
    </row>
    <row r="6400" spans="2:5" x14ac:dyDescent="0.25">
      <c r="B6400" s="545">
        <v>7785</v>
      </c>
      <c r="C6400" s="545" t="s">
        <v>5565</v>
      </c>
      <c r="D6400" s="669" t="s">
        <v>459</v>
      </c>
      <c r="E6400" s="546">
        <v>906.75999100000001</v>
      </c>
    </row>
    <row r="6401" spans="2:5" x14ac:dyDescent="0.25">
      <c r="B6401" s="545">
        <v>7786</v>
      </c>
      <c r="C6401" s="545" t="s">
        <v>5614</v>
      </c>
      <c r="D6401" s="669" t="s">
        <v>459</v>
      </c>
      <c r="E6401" s="546">
        <v>915.44444399999998</v>
      </c>
    </row>
    <row r="6402" spans="2:5" x14ac:dyDescent="0.25">
      <c r="B6402" s="545">
        <v>7787</v>
      </c>
      <c r="C6402" s="545" t="s">
        <v>7051</v>
      </c>
      <c r="D6402" s="669" t="s">
        <v>459</v>
      </c>
      <c r="E6402" s="546">
        <v>906.71818399999995</v>
      </c>
    </row>
    <row r="6403" spans="2:5" x14ac:dyDescent="0.25">
      <c r="B6403" s="545">
        <v>7788</v>
      </c>
      <c r="C6403" s="545" t="s">
        <v>3090</v>
      </c>
      <c r="D6403" s="669" t="s">
        <v>459</v>
      </c>
      <c r="E6403" s="546">
        <v>922.73749499999997</v>
      </c>
    </row>
    <row r="6404" spans="2:5" x14ac:dyDescent="0.25">
      <c r="B6404" s="545">
        <v>7789</v>
      </c>
      <c r="C6404" s="545" t="s">
        <v>400</v>
      </c>
      <c r="D6404" s="669" t="s">
        <v>459</v>
      </c>
      <c r="E6404" s="546">
        <v>917.18999599999995</v>
      </c>
    </row>
    <row r="6405" spans="2:5" x14ac:dyDescent="0.25">
      <c r="B6405" s="545">
        <v>7790</v>
      </c>
      <c r="C6405" s="545" t="s">
        <v>5710</v>
      </c>
      <c r="D6405" s="669" t="s">
        <v>459</v>
      </c>
      <c r="E6405" s="546">
        <v>941.91666199999997</v>
      </c>
    </row>
    <row r="6406" spans="2:5" x14ac:dyDescent="0.25">
      <c r="B6406" s="545">
        <v>7792</v>
      </c>
      <c r="C6406" s="545" t="s">
        <v>1869</v>
      </c>
      <c r="D6406" s="669" t="s">
        <v>459</v>
      </c>
      <c r="E6406" s="546">
        <v>968.20001200000002</v>
      </c>
    </row>
    <row r="6407" spans="2:5" x14ac:dyDescent="0.25">
      <c r="B6407" s="545">
        <v>7793</v>
      </c>
      <c r="C6407" s="545" t="s">
        <v>5868</v>
      </c>
      <c r="D6407" s="669" t="s">
        <v>459</v>
      </c>
      <c r="E6407" s="546">
        <v>987.163635</v>
      </c>
    </row>
    <row r="6408" spans="2:5" x14ac:dyDescent="0.25">
      <c r="B6408" s="545">
        <v>7794</v>
      </c>
      <c r="C6408" s="545" t="s">
        <v>5796</v>
      </c>
      <c r="D6408" s="669" t="s">
        <v>459</v>
      </c>
      <c r="E6408" s="546">
        <v>965.11251100000004</v>
      </c>
    </row>
    <row r="6409" spans="2:5" x14ac:dyDescent="0.25">
      <c r="B6409" s="545">
        <v>7795</v>
      </c>
      <c r="C6409" s="545" t="s">
        <v>5910</v>
      </c>
      <c r="D6409" s="669" t="s">
        <v>459</v>
      </c>
      <c r="E6409" s="546">
        <v>1005.866659</v>
      </c>
    </row>
    <row r="6410" spans="2:5" x14ac:dyDescent="0.25">
      <c r="B6410" s="545">
        <v>7796</v>
      </c>
      <c r="C6410" s="545" t="s">
        <v>7082</v>
      </c>
      <c r="D6410" s="669" t="s">
        <v>459</v>
      </c>
      <c r="E6410" s="546">
        <v>1069.375</v>
      </c>
    </row>
    <row r="6411" spans="2:5" x14ac:dyDescent="0.25">
      <c r="B6411" s="545">
        <v>7797</v>
      </c>
      <c r="C6411" s="545" t="s">
        <v>5896</v>
      </c>
      <c r="D6411" s="669" t="s">
        <v>459</v>
      </c>
      <c r="E6411" s="546">
        <v>996.60832200000004</v>
      </c>
    </row>
    <row r="6412" spans="2:5" x14ac:dyDescent="0.25">
      <c r="B6412" s="545">
        <v>7798</v>
      </c>
      <c r="C6412" s="545" t="s">
        <v>5852</v>
      </c>
      <c r="D6412" s="669" t="s">
        <v>459</v>
      </c>
      <c r="E6412" s="546">
        <v>983.93332899999996</v>
      </c>
    </row>
    <row r="6413" spans="2:5" x14ac:dyDescent="0.25">
      <c r="B6413" s="545">
        <v>7799</v>
      </c>
      <c r="C6413" s="545" t="s">
        <v>5858</v>
      </c>
      <c r="D6413" s="669" t="s">
        <v>459</v>
      </c>
      <c r="E6413" s="546">
        <v>985.66666699999996</v>
      </c>
    </row>
    <row r="6414" spans="2:5" x14ac:dyDescent="0.25">
      <c r="B6414" s="545">
        <v>7800</v>
      </c>
      <c r="C6414" s="545" t="s">
        <v>6028</v>
      </c>
      <c r="D6414" s="669" t="s">
        <v>459</v>
      </c>
      <c r="E6414" s="546">
        <v>1065.2624969999999</v>
      </c>
    </row>
    <row r="6415" spans="2:5" x14ac:dyDescent="0.25">
      <c r="B6415" s="545">
        <v>7801</v>
      </c>
      <c r="C6415" s="545" t="s">
        <v>6025</v>
      </c>
      <c r="D6415" s="669" t="s">
        <v>459</v>
      </c>
      <c r="E6415" s="546">
        <v>1062.587509</v>
      </c>
    </row>
    <row r="6416" spans="2:5" x14ac:dyDescent="0.25">
      <c r="B6416" s="545">
        <v>7802</v>
      </c>
      <c r="C6416" s="545" t="s">
        <v>6077</v>
      </c>
      <c r="D6416" s="669" t="s">
        <v>459</v>
      </c>
      <c r="E6416" s="546">
        <v>1097.5500030000001</v>
      </c>
    </row>
    <row r="6417" spans="2:5" x14ac:dyDescent="0.25">
      <c r="B6417" s="545">
        <v>7803</v>
      </c>
      <c r="C6417" s="545" t="s">
        <v>3608</v>
      </c>
      <c r="D6417" s="669" t="s">
        <v>459</v>
      </c>
      <c r="E6417" s="546">
        <v>936.57272599999999</v>
      </c>
    </row>
    <row r="6418" spans="2:5" x14ac:dyDescent="0.25">
      <c r="B6418" s="545">
        <v>7804</v>
      </c>
      <c r="C6418" s="545" t="s">
        <v>5865</v>
      </c>
      <c r="D6418" s="669" t="s">
        <v>459</v>
      </c>
      <c r="E6418" s="546">
        <v>986.57501200000002</v>
      </c>
    </row>
    <row r="6419" spans="2:5" x14ac:dyDescent="0.25">
      <c r="B6419" s="545">
        <v>7805</v>
      </c>
      <c r="C6419" s="545" t="s">
        <v>6537</v>
      </c>
      <c r="D6419" s="669" t="s">
        <v>459</v>
      </c>
      <c r="E6419" s="546">
        <v>965.44583399999999</v>
      </c>
    </row>
    <row r="6420" spans="2:5" x14ac:dyDescent="0.25">
      <c r="B6420" s="545">
        <v>7806</v>
      </c>
      <c r="C6420" s="545" t="s">
        <v>1347</v>
      </c>
      <c r="D6420" s="669" t="s">
        <v>459</v>
      </c>
      <c r="E6420" s="546">
        <v>951</v>
      </c>
    </row>
    <row r="6421" spans="2:5" x14ac:dyDescent="0.25">
      <c r="B6421" s="545">
        <v>7807</v>
      </c>
      <c r="C6421" s="545" t="s">
        <v>5767</v>
      </c>
      <c r="D6421" s="669" t="s">
        <v>459</v>
      </c>
      <c r="E6421" s="546">
        <v>957.54000699999995</v>
      </c>
    </row>
    <row r="6422" spans="2:5" x14ac:dyDescent="0.25">
      <c r="B6422" s="545">
        <v>7821</v>
      </c>
      <c r="C6422" s="545" t="s">
        <v>5513</v>
      </c>
      <c r="D6422" s="669" t="s">
        <v>457</v>
      </c>
      <c r="E6422" s="546">
        <v>897.37272499999995</v>
      </c>
    </row>
    <row r="6423" spans="2:5" x14ac:dyDescent="0.25">
      <c r="B6423" s="545">
        <v>7822</v>
      </c>
      <c r="C6423" s="545" t="s">
        <v>5532</v>
      </c>
      <c r="D6423" s="669" t="s">
        <v>457</v>
      </c>
      <c r="E6423" s="546">
        <v>901.06668100000002</v>
      </c>
    </row>
    <row r="6424" spans="2:5" x14ac:dyDescent="0.25">
      <c r="B6424" s="545">
        <v>7823</v>
      </c>
      <c r="C6424" s="545" t="s">
        <v>6899</v>
      </c>
      <c r="D6424" s="669" t="s">
        <v>457</v>
      </c>
      <c r="E6424" s="546">
        <v>900.52222400000005</v>
      </c>
    </row>
    <row r="6425" spans="2:5" x14ac:dyDescent="0.25">
      <c r="B6425" s="545">
        <v>7824</v>
      </c>
      <c r="C6425" s="545" t="s">
        <v>5606</v>
      </c>
      <c r="D6425" s="669" t="s">
        <v>457</v>
      </c>
      <c r="E6425" s="546">
        <v>913.58750199999997</v>
      </c>
    </row>
    <row r="6426" spans="2:5" x14ac:dyDescent="0.25">
      <c r="B6426" s="545">
        <v>7825</v>
      </c>
      <c r="C6426" s="545" t="s">
        <v>5692</v>
      </c>
      <c r="D6426" s="669" t="s">
        <v>457</v>
      </c>
      <c r="E6426" s="546">
        <v>935.95624899999996</v>
      </c>
    </row>
    <row r="6427" spans="2:5" x14ac:dyDescent="0.25">
      <c r="B6427" s="545">
        <v>7826</v>
      </c>
      <c r="C6427" s="545" t="s">
        <v>5755</v>
      </c>
      <c r="D6427" s="669" t="s">
        <v>457</v>
      </c>
      <c r="E6427" s="546">
        <v>954.82999900000004</v>
      </c>
    </row>
    <row r="6428" spans="2:5" x14ac:dyDescent="0.25">
      <c r="B6428" s="545">
        <v>7827</v>
      </c>
      <c r="C6428" s="545" t="s">
        <v>5674</v>
      </c>
      <c r="D6428" s="669" t="s">
        <v>457</v>
      </c>
      <c r="E6428" s="546">
        <v>931.92000099999996</v>
      </c>
    </row>
    <row r="6429" spans="2:5" x14ac:dyDescent="0.25">
      <c r="B6429" s="545">
        <v>7828</v>
      </c>
      <c r="C6429" s="545" t="s">
        <v>5756</v>
      </c>
      <c r="D6429" s="669" t="s">
        <v>457</v>
      </c>
      <c r="E6429" s="546">
        <v>955.10000600000001</v>
      </c>
    </row>
    <row r="6430" spans="2:5" x14ac:dyDescent="0.25">
      <c r="B6430" s="545">
        <v>7829</v>
      </c>
      <c r="C6430" s="545" t="s">
        <v>5782</v>
      </c>
      <c r="D6430" s="669" t="s">
        <v>457</v>
      </c>
      <c r="E6430" s="546">
        <v>961.01666299999999</v>
      </c>
    </row>
    <row r="6431" spans="2:5" x14ac:dyDescent="0.25">
      <c r="B6431" s="545">
        <v>7830</v>
      </c>
      <c r="C6431" s="545" t="s">
        <v>5816</v>
      </c>
      <c r="D6431" s="669" t="s">
        <v>457</v>
      </c>
      <c r="E6431" s="546">
        <v>969.23749499999997</v>
      </c>
    </row>
    <row r="6432" spans="2:5" x14ac:dyDescent="0.25">
      <c r="B6432" s="545">
        <v>7831</v>
      </c>
      <c r="C6432" s="545" t="s">
        <v>5810</v>
      </c>
      <c r="D6432" s="669" t="s">
        <v>457</v>
      </c>
      <c r="E6432" s="546">
        <v>968.759998</v>
      </c>
    </row>
    <row r="6433" spans="2:5" x14ac:dyDescent="0.25">
      <c r="B6433" s="545">
        <v>7832</v>
      </c>
      <c r="C6433" s="545" t="s">
        <v>5787</v>
      </c>
      <c r="D6433" s="669" t="s">
        <v>457</v>
      </c>
      <c r="E6433" s="546">
        <v>962.91666699999996</v>
      </c>
    </row>
    <row r="6434" spans="2:5" x14ac:dyDescent="0.25">
      <c r="B6434" s="545">
        <v>7833</v>
      </c>
      <c r="C6434" s="545" t="s">
        <v>5012</v>
      </c>
      <c r="D6434" s="669" t="s">
        <v>457</v>
      </c>
      <c r="E6434" s="546">
        <v>948.75</v>
      </c>
    </row>
    <row r="6435" spans="2:5" x14ac:dyDescent="0.25">
      <c r="B6435" s="545">
        <v>7834</v>
      </c>
      <c r="C6435" s="545" t="s">
        <v>3742</v>
      </c>
      <c r="D6435" s="669" t="s">
        <v>457</v>
      </c>
      <c r="E6435" s="546">
        <v>970.37693400000001</v>
      </c>
    </row>
    <row r="6436" spans="2:5" x14ac:dyDescent="0.25">
      <c r="B6436" s="545">
        <v>7835</v>
      </c>
      <c r="C6436" s="545" t="s">
        <v>5837</v>
      </c>
      <c r="D6436" s="669" t="s">
        <v>457</v>
      </c>
      <c r="E6436" s="546">
        <v>977.54998799999998</v>
      </c>
    </row>
    <row r="6437" spans="2:5" x14ac:dyDescent="0.25">
      <c r="B6437" s="545">
        <v>7836</v>
      </c>
      <c r="C6437" s="545" t="s">
        <v>5853</v>
      </c>
      <c r="D6437" s="669" t="s">
        <v>457</v>
      </c>
      <c r="E6437" s="546">
        <v>984.15713900000003</v>
      </c>
    </row>
    <row r="6438" spans="2:5" x14ac:dyDescent="0.25">
      <c r="B6438" s="545">
        <v>7837</v>
      </c>
      <c r="C6438" s="545" t="s">
        <v>5925</v>
      </c>
      <c r="D6438" s="669" t="s">
        <v>457</v>
      </c>
      <c r="E6438" s="546">
        <v>1012.927263</v>
      </c>
    </row>
    <row r="6439" spans="2:5" x14ac:dyDescent="0.25">
      <c r="B6439" s="545">
        <v>7838</v>
      </c>
      <c r="C6439" s="545" t="s">
        <v>5964</v>
      </c>
      <c r="D6439" s="669" t="s">
        <v>457</v>
      </c>
      <c r="E6439" s="546">
        <v>1034.014287</v>
      </c>
    </row>
    <row r="6440" spans="2:5" x14ac:dyDescent="0.25">
      <c r="B6440" s="545">
        <v>7839</v>
      </c>
      <c r="C6440" s="545" t="s">
        <v>5286</v>
      </c>
      <c r="D6440" s="669" t="s">
        <v>457</v>
      </c>
      <c r="E6440" s="546">
        <v>1144.630017</v>
      </c>
    </row>
    <row r="6441" spans="2:5" x14ac:dyDescent="0.25">
      <c r="B6441" s="545">
        <v>7840</v>
      </c>
      <c r="C6441" s="545" t="s">
        <v>6101</v>
      </c>
      <c r="D6441" s="669" t="s">
        <v>457</v>
      </c>
      <c r="E6441" s="546">
        <v>1117.375006</v>
      </c>
    </row>
    <row r="6442" spans="2:5" x14ac:dyDescent="0.25">
      <c r="B6442" s="545">
        <v>7841</v>
      </c>
      <c r="C6442" s="545" t="s">
        <v>6566</v>
      </c>
      <c r="D6442" s="669" t="s">
        <v>457</v>
      </c>
      <c r="E6442" s="546">
        <v>1151.7833459999999</v>
      </c>
    </row>
    <row r="6443" spans="2:5" x14ac:dyDescent="0.25">
      <c r="B6443" s="545">
        <v>7842</v>
      </c>
      <c r="C6443" s="545" t="s">
        <v>6144</v>
      </c>
      <c r="D6443" s="669" t="s">
        <v>457</v>
      </c>
      <c r="E6443" s="546">
        <v>1151.2058750000001</v>
      </c>
    </row>
    <row r="6444" spans="2:5" x14ac:dyDescent="0.25">
      <c r="B6444" s="545">
        <v>7843</v>
      </c>
      <c r="C6444" s="545" t="s">
        <v>5838</v>
      </c>
      <c r="D6444" s="669" t="s">
        <v>457</v>
      </c>
      <c r="E6444" s="546">
        <v>977.59999600000003</v>
      </c>
    </row>
    <row r="6445" spans="2:5" x14ac:dyDescent="0.25">
      <c r="B6445" s="545">
        <v>7844</v>
      </c>
      <c r="C6445" s="545" t="s">
        <v>5845</v>
      </c>
      <c r="D6445" s="669" t="s">
        <v>457</v>
      </c>
      <c r="E6445" s="546">
        <v>980.59333900000001</v>
      </c>
    </row>
    <row r="6446" spans="2:5" x14ac:dyDescent="0.25">
      <c r="B6446" s="545">
        <v>7845</v>
      </c>
      <c r="C6446" s="545" t="s">
        <v>1047</v>
      </c>
      <c r="D6446" s="669" t="s">
        <v>457</v>
      </c>
      <c r="E6446" s="546">
        <v>961.8125</v>
      </c>
    </row>
    <row r="6447" spans="2:5" x14ac:dyDescent="0.25">
      <c r="B6447" s="545">
        <v>7846</v>
      </c>
      <c r="C6447" s="545" t="s">
        <v>6038</v>
      </c>
      <c r="D6447" s="669" t="s">
        <v>457</v>
      </c>
      <c r="E6447" s="546">
        <v>1071.511765</v>
      </c>
    </row>
    <row r="6448" spans="2:5" x14ac:dyDescent="0.25">
      <c r="B6448" s="545">
        <v>7847</v>
      </c>
      <c r="C6448" s="545" t="s">
        <v>5760</v>
      </c>
      <c r="D6448" s="669" t="s">
        <v>457</v>
      </c>
      <c r="E6448" s="546">
        <v>956.68888300000003</v>
      </c>
    </row>
    <row r="6449" spans="2:5" x14ac:dyDescent="0.25">
      <c r="B6449" s="545">
        <v>7848</v>
      </c>
      <c r="C6449" s="545" t="s">
        <v>5884</v>
      </c>
      <c r="D6449" s="669" t="s">
        <v>457</v>
      </c>
      <c r="E6449" s="546">
        <v>993.64285700000005</v>
      </c>
    </row>
    <row r="6450" spans="2:5" x14ac:dyDescent="0.25">
      <c r="B6450" s="545">
        <v>7849</v>
      </c>
      <c r="C6450" s="545" t="s">
        <v>5983</v>
      </c>
      <c r="D6450" s="669" t="s">
        <v>457</v>
      </c>
      <c r="E6450" s="546">
        <v>1041.010004</v>
      </c>
    </row>
    <row r="6451" spans="2:5" x14ac:dyDescent="0.25">
      <c r="B6451" s="545">
        <v>7850</v>
      </c>
      <c r="C6451" s="545" t="s">
        <v>6075</v>
      </c>
      <c r="D6451" s="669" t="s">
        <v>457</v>
      </c>
      <c r="E6451" s="546">
        <v>1096.112488</v>
      </c>
    </row>
    <row r="6452" spans="2:5" x14ac:dyDescent="0.25">
      <c r="B6452" s="545">
        <v>7851</v>
      </c>
      <c r="C6452" s="545" t="s">
        <v>6080</v>
      </c>
      <c r="D6452" s="669" t="s">
        <v>457</v>
      </c>
      <c r="E6452" s="546">
        <v>1098.8222109999999</v>
      </c>
    </row>
    <row r="6453" spans="2:5" x14ac:dyDescent="0.25">
      <c r="B6453" s="545">
        <v>7852</v>
      </c>
      <c r="C6453" s="545" t="s">
        <v>5792</v>
      </c>
      <c r="D6453" s="669" t="s">
        <v>457</v>
      </c>
      <c r="E6453" s="546">
        <v>964.30000299999995</v>
      </c>
    </row>
    <row r="6454" spans="2:5" x14ac:dyDescent="0.25">
      <c r="B6454" s="545">
        <v>7853</v>
      </c>
      <c r="C6454" s="545" t="s">
        <v>5829</v>
      </c>
      <c r="D6454" s="669" t="s">
        <v>457</v>
      </c>
      <c r="E6454" s="546">
        <v>975.39998400000002</v>
      </c>
    </row>
    <row r="6455" spans="2:5" x14ac:dyDescent="0.25">
      <c r="B6455" s="545">
        <v>7854</v>
      </c>
      <c r="C6455" s="545" t="s">
        <v>5886</v>
      </c>
      <c r="D6455" s="669" t="s">
        <v>457</v>
      </c>
      <c r="E6455" s="546">
        <v>994.03333499999997</v>
      </c>
    </row>
    <row r="6456" spans="2:5" x14ac:dyDescent="0.25">
      <c r="B6456" s="545">
        <v>7855</v>
      </c>
      <c r="C6456" s="545" t="s">
        <v>4170</v>
      </c>
      <c r="D6456" s="669" t="s">
        <v>457</v>
      </c>
      <c r="E6456" s="546">
        <v>1013.887505</v>
      </c>
    </row>
    <row r="6457" spans="2:5" x14ac:dyDescent="0.25">
      <c r="B6457" s="545">
        <v>7856</v>
      </c>
      <c r="C6457" s="545" t="s">
        <v>2862</v>
      </c>
      <c r="D6457" s="669" t="s">
        <v>457</v>
      </c>
      <c r="E6457" s="546">
        <v>994.79999799999996</v>
      </c>
    </row>
    <row r="6458" spans="2:5" x14ac:dyDescent="0.25">
      <c r="B6458" s="545">
        <v>7857</v>
      </c>
      <c r="C6458" s="545" t="s">
        <v>6666</v>
      </c>
      <c r="D6458" s="669" t="s">
        <v>457</v>
      </c>
      <c r="E6458" s="546">
        <v>1041.4000000000001</v>
      </c>
    </row>
    <row r="6459" spans="2:5" x14ac:dyDescent="0.25">
      <c r="B6459" s="545">
        <v>7858</v>
      </c>
      <c r="C6459" s="545" t="s">
        <v>5982</v>
      </c>
      <c r="D6459" s="669" t="s">
        <v>457</v>
      </c>
      <c r="E6459" s="546">
        <v>1039.666667</v>
      </c>
    </row>
    <row r="6460" spans="2:5" x14ac:dyDescent="0.25">
      <c r="B6460" s="545">
        <v>7859</v>
      </c>
      <c r="C6460" s="545" t="s">
        <v>6027</v>
      </c>
      <c r="D6460" s="669" t="s">
        <v>457</v>
      </c>
      <c r="E6460" s="546">
        <v>1065.090009</v>
      </c>
    </row>
    <row r="6461" spans="2:5" x14ac:dyDescent="0.25">
      <c r="B6461" s="545">
        <v>7860</v>
      </c>
      <c r="C6461" s="545" t="s">
        <v>3333</v>
      </c>
      <c r="D6461" s="669" t="s">
        <v>457</v>
      </c>
      <c r="E6461" s="546">
        <v>1081.7800050000001</v>
      </c>
    </row>
    <row r="6462" spans="2:5" x14ac:dyDescent="0.25">
      <c r="B6462" s="545">
        <v>7861</v>
      </c>
      <c r="C6462" s="545" t="s">
        <v>1282</v>
      </c>
      <c r="D6462" s="669" t="s">
        <v>457</v>
      </c>
      <c r="E6462" s="546">
        <v>1072.349976</v>
      </c>
    </row>
    <row r="6463" spans="2:5" x14ac:dyDescent="0.25">
      <c r="B6463" s="545">
        <v>7862</v>
      </c>
      <c r="C6463" s="545" t="s">
        <v>6057</v>
      </c>
      <c r="D6463" s="669" t="s">
        <v>457</v>
      </c>
      <c r="E6463" s="546">
        <v>1081.900024</v>
      </c>
    </row>
    <row r="6464" spans="2:5" x14ac:dyDescent="0.25">
      <c r="B6464" s="545">
        <v>7863</v>
      </c>
      <c r="C6464" s="545" t="s">
        <v>7132</v>
      </c>
      <c r="D6464" s="669" t="s">
        <v>457</v>
      </c>
      <c r="E6464" s="546">
        <v>1095.366659</v>
      </c>
    </row>
    <row r="6465" spans="2:5" x14ac:dyDescent="0.25">
      <c r="B6465" s="545">
        <v>7864</v>
      </c>
      <c r="C6465" s="545" t="s">
        <v>2240</v>
      </c>
      <c r="D6465" s="669" t="s">
        <v>457</v>
      </c>
      <c r="E6465" s="546">
        <v>1084.383341</v>
      </c>
    </row>
    <row r="6466" spans="2:5" x14ac:dyDescent="0.25">
      <c r="B6466" s="545">
        <v>7865</v>
      </c>
      <c r="C6466" s="545" t="s">
        <v>6070</v>
      </c>
      <c r="D6466" s="669" t="s">
        <v>457</v>
      </c>
      <c r="E6466" s="546">
        <v>1092.3600100000001</v>
      </c>
    </row>
    <row r="6467" spans="2:5" x14ac:dyDescent="0.25">
      <c r="B6467" s="545">
        <v>7866</v>
      </c>
      <c r="C6467" s="545" t="s">
        <v>6091</v>
      </c>
      <c r="D6467" s="669" t="s">
        <v>446</v>
      </c>
      <c r="E6467" s="546">
        <v>1107.0333459999999</v>
      </c>
    </row>
    <row r="6468" spans="2:5" x14ac:dyDescent="0.25">
      <c r="B6468" s="545">
        <v>7867</v>
      </c>
      <c r="C6468" s="545" t="s">
        <v>446</v>
      </c>
      <c r="D6468" s="669" t="s">
        <v>446</v>
      </c>
      <c r="E6468" s="546">
        <v>1045.5863730000001</v>
      </c>
    </row>
    <row r="6469" spans="2:5" x14ac:dyDescent="0.25">
      <c r="B6469" s="545">
        <v>7868</v>
      </c>
      <c r="C6469" s="545" t="s">
        <v>6094</v>
      </c>
      <c r="D6469" s="669" t="s">
        <v>446</v>
      </c>
      <c r="E6469" s="546">
        <v>1108.7875059999999</v>
      </c>
    </row>
    <row r="6470" spans="2:5" x14ac:dyDescent="0.25">
      <c r="B6470" s="545">
        <v>7869</v>
      </c>
      <c r="C6470" s="545" t="s">
        <v>6046</v>
      </c>
      <c r="D6470" s="669" t="s">
        <v>446</v>
      </c>
      <c r="E6470" s="546">
        <v>1078.0600099999999</v>
      </c>
    </row>
    <row r="6471" spans="2:5" x14ac:dyDescent="0.25">
      <c r="B6471" s="545">
        <v>7870</v>
      </c>
      <c r="C6471" s="545" t="s">
        <v>6201</v>
      </c>
      <c r="D6471" s="669" t="s">
        <v>457</v>
      </c>
      <c r="E6471" s="546">
        <v>1199.8499999999999</v>
      </c>
    </row>
    <row r="6472" spans="2:5" x14ac:dyDescent="0.25">
      <c r="B6472" s="545">
        <v>7871</v>
      </c>
      <c r="C6472" s="545" t="s">
        <v>6198</v>
      </c>
      <c r="D6472" s="669" t="s">
        <v>457</v>
      </c>
      <c r="E6472" s="546">
        <v>1195.1210679999999</v>
      </c>
    </row>
    <row r="6473" spans="2:5" x14ac:dyDescent="0.25">
      <c r="B6473" s="545">
        <v>7872</v>
      </c>
      <c r="C6473" s="545" t="s">
        <v>6125</v>
      </c>
      <c r="D6473" s="669" t="s">
        <v>457</v>
      </c>
      <c r="E6473" s="546">
        <v>1141.6499940000001</v>
      </c>
    </row>
    <row r="6474" spans="2:5" x14ac:dyDescent="0.25">
      <c r="B6474" s="545">
        <v>7873</v>
      </c>
      <c r="C6474" s="545" t="s">
        <v>6157</v>
      </c>
      <c r="D6474" s="669" t="s">
        <v>457</v>
      </c>
      <c r="E6474" s="546">
        <v>1156.595442</v>
      </c>
    </row>
    <row r="6475" spans="2:5" x14ac:dyDescent="0.25">
      <c r="B6475" s="545">
        <v>7874</v>
      </c>
      <c r="C6475" s="545" t="s">
        <v>6089</v>
      </c>
      <c r="D6475" s="669" t="s">
        <v>457</v>
      </c>
      <c r="E6475" s="546">
        <v>1106.4857179999999</v>
      </c>
    </row>
    <row r="6476" spans="2:5" x14ac:dyDescent="0.25">
      <c r="B6476" s="545">
        <v>7875</v>
      </c>
      <c r="C6476" s="545" t="s">
        <v>2920</v>
      </c>
      <c r="D6476" s="669" t="s">
        <v>457</v>
      </c>
      <c r="E6476" s="546">
        <v>1098.223532</v>
      </c>
    </row>
    <row r="6477" spans="2:5" x14ac:dyDescent="0.25">
      <c r="B6477" s="545">
        <v>7876</v>
      </c>
      <c r="C6477" s="545" t="s">
        <v>6111</v>
      </c>
      <c r="D6477" s="669" t="s">
        <v>457</v>
      </c>
      <c r="E6477" s="546">
        <v>1124.306673</v>
      </c>
    </row>
    <row r="6478" spans="2:5" x14ac:dyDescent="0.25">
      <c r="B6478" s="545">
        <v>7877</v>
      </c>
      <c r="C6478" s="545" t="s">
        <v>6108</v>
      </c>
      <c r="D6478" s="669" t="s">
        <v>457</v>
      </c>
      <c r="E6478" s="546">
        <v>1123.3791610000001</v>
      </c>
    </row>
    <row r="6479" spans="2:5" x14ac:dyDescent="0.25">
      <c r="B6479" s="545">
        <v>7878</v>
      </c>
      <c r="C6479" s="545" t="s">
        <v>6291</v>
      </c>
      <c r="D6479" s="669" t="s">
        <v>457</v>
      </c>
      <c r="E6479" s="546">
        <v>1336.5062559999999</v>
      </c>
    </row>
    <row r="6480" spans="2:5" x14ac:dyDescent="0.25">
      <c r="B6480" s="545">
        <v>7879</v>
      </c>
      <c r="C6480" s="545" t="s">
        <v>6257</v>
      </c>
      <c r="D6480" s="669" t="s">
        <v>457</v>
      </c>
      <c r="E6480" s="546">
        <v>1273.945479</v>
      </c>
    </row>
    <row r="6481" spans="2:5" x14ac:dyDescent="0.25">
      <c r="B6481" s="545">
        <v>7880</v>
      </c>
      <c r="C6481" s="545" t="s">
        <v>6270</v>
      </c>
      <c r="D6481" s="669" t="s">
        <v>457</v>
      </c>
      <c r="E6481" s="546">
        <v>1293.6058849999999</v>
      </c>
    </row>
    <row r="6482" spans="2:5" x14ac:dyDescent="0.25">
      <c r="B6482" s="545">
        <v>7881</v>
      </c>
      <c r="C6482" s="545" t="s">
        <v>6288</v>
      </c>
      <c r="D6482" s="669" t="s">
        <v>457</v>
      </c>
      <c r="E6482" s="546">
        <v>1333.106262</v>
      </c>
    </row>
    <row r="6483" spans="2:5" x14ac:dyDescent="0.25">
      <c r="B6483" s="545">
        <v>7882</v>
      </c>
      <c r="C6483" s="545" t="s">
        <v>6812</v>
      </c>
      <c r="D6483" s="669" t="s">
        <v>457</v>
      </c>
      <c r="E6483" s="546">
        <v>1424.3874969999999</v>
      </c>
    </row>
    <row r="6484" spans="2:5" x14ac:dyDescent="0.25">
      <c r="B6484" s="545">
        <v>7883</v>
      </c>
      <c r="C6484" s="545" t="s">
        <v>6163</v>
      </c>
      <c r="D6484" s="669" t="s">
        <v>457</v>
      </c>
      <c r="E6484" s="546">
        <v>1162.9105219999999</v>
      </c>
    </row>
    <row r="6485" spans="2:5" x14ac:dyDescent="0.25">
      <c r="B6485" s="545">
        <v>7884</v>
      </c>
      <c r="C6485" s="545" t="s">
        <v>6117</v>
      </c>
      <c r="D6485" s="669" t="s">
        <v>457</v>
      </c>
      <c r="E6485" s="546">
        <v>1130.3000010000001</v>
      </c>
    </row>
    <row r="6486" spans="2:5" x14ac:dyDescent="0.25">
      <c r="B6486" s="545">
        <v>7885</v>
      </c>
      <c r="C6486" s="545" t="s">
        <v>6205</v>
      </c>
      <c r="D6486" s="669" t="s">
        <v>457</v>
      </c>
      <c r="E6486" s="546">
        <v>1202.6466720000001</v>
      </c>
    </row>
    <row r="6487" spans="2:5" x14ac:dyDescent="0.25">
      <c r="B6487" s="545">
        <v>7886</v>
      </c>
      <c r="C6487" s="545" t="s">
        <v>6169</v>
      </c>
      <c r="D6487" s="669" t="s">
        <v>457</v>
      </c>
      <c r="E6487" s="546">
        <v>1171.950012</v>
      </c>
    </row>
    <row r="6488" spans="2:5" x14ac:dyDescent="0.25">
      <c r="B6488" s="545">
        <v>7887</v>
      </c>
      <c r="C6488" s="545" t="s">
        <v>6224</v>
      </c>
      <c r="D6488" s="669" t="s">
        <v>457</v>
      </c>
      <c r="E6488" s="546">
        <v>1226.1357069999999</v>
      </c>
    </row>
    <row r="6489" spans="2:5" x14ac:dyDescent="0.25">
      <c r="B6489" s="545">
        <v>7888</v>
      </c>
      <c r="C6489" s="545" t="s">
        <v>6104</v>
      </c>
      <c r="D6489" s="669" t="s">
        <v>457</v>
      </c>
      <c r="E6489" s="546">
        <v>1119.5333390000001</v>
      </c>
    </row>
    <row r="6490" spans="2:5" x14ac:dyDescent="0.25">
      <c r="B6490" s="545">
        <v>7889</v>
      </c>
      <c r="C6490" s="545" t="s">
        <v>6126</v>
      </c>
      <c r="D6490" s="669" t="s">
        <v>457</v>
      </c>
      <c r="E6490" s="546">
        <v>1141.691671</v>
      </c>
    </row>
    <row r="6491" spans="2:5" x14ac:dyDescent="0.25">
      <c r="B6491" s="545">
        <v>7890</v>
      </c>
      <c r="C6491" s="545" t="s">
        <v>6175</v>
      </c>
      <c r="D6491" s="669" t="s">
        <v>457</v>
      </c>
      <c r="E6491" s="546">
        <v>1176.9571450000001</v>
      </c>
    </row>
    <row r="6492" spans="2:5" x14ac:dyDescent="0.25">
      <c r="B6492" s="545">
        <v>7891</v>
      </c>
      <c r="C6492" s="545" t="s">
        <v>6118</v>
      </c>
      <c r="D6492" s="669" t="s">
        <v>457</v>
      </c>
      <c r="E6492" s="546">
        <v>1131.950012</v>
      </c>
    </row>
    <row r="6493" spans="2:5" x14ac:dyDescent="0.25">
      <c r="B6493" s="545">
        <v>7892</v>
      </c>
      <c r="C6493" s="545" t="s">
        <v>7350</v>
      </c>
      <c r="D6493" s="669" t="s">
        <v>457</v>
      </c>
      <c r="E6493" s="546">
        <v>1133.070007</v>
      </c>
    </row>
    <row r="6494" spans="2:5" x14ac:dyDescent="0.25">
      <c r="B6494" s="545">
        <v>7893</v>
      </c>
      <c r="C6494" s="545" t="s">
        <v>1042</v>
      </c>
      <c r="D6494" s="669" t="s">
        <v>457</v>
      </c>
      <c r="E6494" s="546">
        <v>1113.831582</v>
      </c>
    </row>
    <row r="6495" spans="2:5" x14ac:dyDescent="0.25">
      <c r="B6495" s="545">
        <v>7894</v>
      </c>
      <c r="C6495" s="545" t="s">
        <v>1463</v>
      </c>
      <c r="D6495" s="669" t="s">
        <v>457</v>
      </c>
      <c r="E6495" s="546">
        <v>1334.6000140000001</v>
      </c>
    </row>
    <row r="6496" spans="2:5" x14ac:dyDescent="0.25">
      <c r="B6496" s="545">
        <v>7895</v>
      </c>
      <c r="C6496" s="545" t="s">
        <v>6217</v>
      </c>
      <c r="D6496" s="669" t="s">
        <v>457</v>
      </c>
      <c r="E6496" s="546">
        <v>1217.828573</v>
      </c>
    </row>
    <row r="6497" spans="2:5" x14ac:dyDescent="0.25">
      <c r="B6497" s="545">
        <v>7896</v>
      </c>
      <c r="C6497" s="545" t="s">
        <v>7402</v>
      </c>
      <c r="D6497" s="669" t="s">
        <v>457</v>
      </c>
      <c r="E6497" s="546">
        <v>1330.5312730000001</v>
      </c>
    </row>
    <row r="6498" spans="2:5" x14ac:dyDescent="0.25">
      <c r="B6498" s="545">
        <v>7897</v>
      </c>
      <c r="C6498" s="545" t="s">
        <v>6197</v>
      </c>
      <c r="D6498" s="669" t="s">
        <v>457</v>
      </c>
      <c r="E6498" s="546">
        <v>1194.047988</v>
      </c>
    </row>
    <row r="6499" spans="2:5" x14ac:dyDescent="0.25">
      <c r="B6499" s="545">
        <v>7898</v>
      </c>
      <c r="C6499" s="545" t="s">
        <v>6200</v>
      </c>
      <c r="D6499" s="669" t="s">
        <v>457</v>
      </c>
      <c r="E6499" s="546">
        <v>1198.0333250000001</v>
      </c>
    </row>
    <row r="6500" spans="2:5" x14ac:dyDescent="0.25">
      <c r="B6500" s="545">
        <v>7899</v>
      </c>
      <c r="C6500" s="545" t="s">
        <v>6268</v>
      </c>
      <c r="D6500" s="669" t="s">
        <v>457</v>
      </c>
      <c r="E6500" s="546">
        <v>1287.700012</v>
      </c>
    </row>
    <row r="6501" spans="2:5" x14ac:dyDescent="0.25">
      <c r="B6501" s="545">
        <v>7900</v>
      </c>
      <c r="C6501" s="545" t="s">
        <v>6237</v>
      </c>
      <c r="D6501" s="669" t="s">
        <v>457</v>
      </c>
      <c r="E6501" s="546">
        <v>1233.539998</v>
      </c>
    </row>
    <row r="6502" spans="2:5" x14ac:dyDescent="0.25">
      <c r="B6502" s="545">
        <v>7901</v>
      </c>
      <c r="C6502" s="545" t="s">
        <v>6232</v>
      </c>
      <c r="D6502" s="669" t="s">
        <v>457</v>
      </c>
      <c r="E6502" s="546">
        <v>1232.799988</v>
      </c>
    </row>
    <row r="6503" spans="2:5" x14ac:dyDescent="0.25">
      <c r="B6503" s="545">
        <v>7902</v>
      </c>
      <c r="C6503" s="545" t="s">
        <v>6269</v>
      </c>
      <c r="D6503" s="669" t="s">
        <v>457</v>
      </c>
      <c r="E6503" s="546">
        <v>1291.6230660000001</v>
      </c>
    </row>
    <row r="6504" spans="2:5" x14ac:dyDescent="0.25">
      <c r="B6504" s="545">
        <v>7903</v>
      </c>
      <c r="C6504" s="545" t="s">
        <v>6235</v>
      </c>
      <c r="D6504" s="669" t="s">
        <v>457</v>
      </c>
      <c r="E6504" s="546">
        <v>1233.4727339999999</v>
      </c>
    </row>
    <row r="6505" spans="2:5" x14ac:dyDescent="0.25">
      <c r="B6505" s="545">
        <v>7904</v>
      </c>
      <c r="C6505" s="545" t="s">
        <v>6170</v>
      </c>
      <c r="D6505" s="669" t="s">
        <v>457</v>
      </c>
      <c r="E6505" s="546">
        <v>1173.6105190000001</v>
      </c>
    </row>
    <row r="6506" spans="2:5" x14ac:dyDescent="0.25">
      <c r="B6506" s="545">
        <v>7905</v>
      </c>
      <c r="C6506" s="545" t="s">
        <v>7382</v>
      </c>
      <c r="D6506" s="669" t="s">
        <v>457</v>
      </c>
      <c r="E6506" s="546">
        <v>1237.5342840000001</v>
      </c>
    </row>
    <row r="6507" spans="2:5" x14ac:dyDescent="0.25">
      <c r="B6507" s="545">
        <v>7906</v>
      </c>
      <c r="C6507" s="545" t="s">
        <v>6281</v>
      </c>
      <c r="D6507" s="669" t="s">
        <v>457</v>
      </c>
      <c r="E6507" s="546">
        <v>1321.4250179999999</v>
      </c>
    </row>
    <row r="6508" spans="2:5" x14ac:dyDescent="0.25">
      <c r="B6508" s="545">
        <v>7907</v>
      </c>
      <c r="C6508" s="545" t="s">
        <v>6255</v>
      </c>
      <c r="D6508" s="669" t="s">
        <v>457</v>
      </c>
      <c r="E6508" s="546">
        <v>1270.7714410000001</v>
      </c>
    </row>
    <row r="6509" spans="2:5" x14ac:dyDescent="0.25">
      <c r="B6509" s="545">
        <v>7908</v>
      </c>
      <c r="C6509" s="545" t="s">
        <v>6320</v>
      </c>
      <c r="D6509" s="669" t="s">
        <v>457</v>
      </c>
      <c r="E6509" s="546">
        <v>1421.0384710000001</v>
      </c>
    </row>
    <row r="6510" spans="2:5" x14ac:dyDescent="0.25">
      <c r="B6510" s="545">
        <v>7909</v>
      </c>
      <c r="C6510" s="545" t="s">
        <v>6347</v>
      </c>
      <c r="D6510" s="669" t="s">
        <v>457</v>
      </c>
      <c r="E6510" s="546">
        <v>1509.347039</v>
      </c>
    </row>
    <row r="6511" spans="2:5" x14ac:dyDescent="0.25">
      <c r="B6511" s="545">
        <v>7910</v>
      </c>
      <c r="C6511" s="545" t="s">
        <v>6340</v>
      </c>
      <c r="D6511" s="669" t="s">
        <v>457</v>
      </c>
      <c r="E6511" s="546">
        <v>1482.4055510000001</v>
      </c>
    </row>
    <row r="6512" spans="2:5" x14ac:dyDescent="0.25">
      <c r="B6512" s="545">
        <v>7911</v>
      </c>
      <c r="C6512" s="545" t="s">
        <v>6404</v>
      </c>
      <c r="D6512" s="669" t="s">
        <v>457</v>
      </c>
      <c r="E6512" s="546">
        <v>1676.1068230000001</v>
      </c>
    </row>
    <row r="6513" spans="2:5" x14ac:dyDescent="0.25">
      <c r="B6513" s="545">
        <v>7912</v>
      </c>
      <c r="C6513" s="545" t="s">
        <v>6227</v>
      </c>
      <c r="D6513" s="669" t="s">
        <v>457</v>
      </c>
      <c r="E6513" s="546">
        <v>1228.43335</v>
      </c>
    </row>
    <row r="6514" spans="2:5" x14ac:dyDescent="0.25">
      <c r="B6514" s="545">
        <v>7913</v>
      </c>
      <c r="C6514" s="545" t="s">
        <v>6222</v>
      </c>
      <c r="D6514" s="669" t="s">
        <v>457</v>
      </c>
      <c r="E6514" s="546">
        <v>1224.9571530000001</v>
      </c>
    </row>
    <row r="6515" spans="2:5" x14ac:dyDescent="0.25">
      <c r="B6515" s="545">
        <v>7914</v>
      </c>
      <c r="C6515" s="545" t="s">
        <v>7591</v>
      </c>
      <c r="D6515" s="669" t="s">
        <v>457</v>
      </c>
      <c r="E6515" s="546">
        <v>1295.6428659999999</v>
      </c>
    </row>
    <row r="6516" spans="2:5" x14ac:dyDescent="0.25">
      <c r="B6516" s="545">
        <v>7915</v>
      </c>
      <c r="C6516" s="545" t="s">
        <v>6717</v>
      </c>
      <c r="D6516" s="669" t="s">
        <v>457</v>
      </c>
      <c r="E6516" s="546">
        <v>1255.600003</v>
      </c>
    </row>
    <row r="6517" spans="2:5" x14ac:dyDescent="0.25">
      <c r="B6517" s="545">
        <v>7916</v>
      </c>
      <c r="C6517" s="545" t="s">
        <v>6356</v>
      </c>
      <c r="D6517" s="669" t="s">
        <v>457</v>
      </c>
      <c r="E6517" s="546">
        <v>1537.1742919999999</v>
      </c>
    </row>
    <row r="6518" spans="2:5" x14ac:dyDescent="0.25">
      <c r="B6518" s="545">
        <v>7917</v>
      </c>
      <c r="C6518" s="545" t="s">
        <v>6386</v>
      </c>
      <c r="D6518" s="669" t="s">
        <v>457</v>
      </c>
      <c r="E6518" s="546">
        <v>1624.2847449999999</v>
      </c>
    </row>
    <row r="6519" spans="2:5" x14ac:dyDescent="0.25">
      <c r="B6519" s="545">
        <v>7918</v>
      </c>
      <c r="C6519" s="545" t="s">
        <v>6385</v>
      </c>
      <c r="D6519" s="669" t="s">
        <v>457</v>
      </c>
      <c r="E6519" s="546">
        <v>1610.0095229999999</v>
      </c>
    </row>
    <row r="6520" spans="2:5" x14ac:dyDescent="0.25">
      <c r="B6520" s="545">
        <v>7919</v>
      </c>
      <c r="C6520" s="545" t="s">
        <v>6267</v>
      </c>
      <c r="D6520" s="669" t="s">
        <v>457</v>
      </c>
      <c r="E6520" s="546">
        <v>1287.5</v>
      </c>
    </row>
    <row r="6521" spans="2:5" x14ac:dyDescent="0.25">
      <c r="B6521" s="545">
        <v>7920</v>
      </c>
      <c r="C6521" s="545" t="s">
        <v>5749</v>
      </c>
      <c r="D6521" s="669" t="s">
        <v>457</v>
      </c>
      <c r="E6521" s="546">
        <v>952.94998199999998</v>
      </c>
    </row>
    <row r="6522" spans="2:5" x14ac:dyDescent="0.25">
      <c r="B6522" s="545">
        <v>7921</v>
      </c>
      <c r="C6522" s="545" t="s">
        <v>6159</v>
      </c>
      <c r="D6522" s="669" t="s">
        <v>457</v>
      </c>
      <c r="E6522" s="546">
        <v>1158.200012</v>
      </c>
    </row>
    <row r="6523" spans="2:5" x14ac:dyDescent="0.25">
      <c r="B6523" s="545">
        <v>7931</v>
      </c>
      <c r="C6523" s="545" t="s">
        <v>6060</v>
      </c>
      <c r="D6523" s="669" t="s">
        <v>2838</v>
      </c>
      <c r="E6523" s="546">
        <v>1086</v>
      </c>
    </row>
    <row r="6524" spans="2:5" x14ac:dyDescent="0.25">
      <c r="B6524" s="545">
        <v>7932</v>
      </c>
      <c r="C6524" s="545" t="s">
        <v>6134</v>
      </c>
      <c r="D6524" s="669" t="s">
        <v>2838</v>
      </c>
      <c r="E6524" s="546">
        <v>1146.6499630000001</v>
      </c>
    </row>
    <row r="6525" spans="2:5" x14ac:dyDescent="0.25">
      <c r="B6525" s="545">
        <v>7933</v>
      </c>
      <c r="C6525" s="545" t="s">
        <v>6140</v>
      </c>
      <c r="D6525" s="669" t="s">
        <v>2838</v>
      </c>
      <c r="E6525" s="546">
        <v>1149.866659</v>
      </c>
    </row>
    <row r="6526" spans="2:5" x14ac:dyDescent="0.25">
      <c r="B6526" s="545">
        <v>7934</v>
      </c>
      <c r="C6526" s="545" t="s">
        <v>6195</v>
      </c>
      <c r="D6526" s="669" t="s">
        <v>2838</v>
      </c>
      <c r="E6526" s="546">
        <v>1192.9250179999999</v>
      </c>
    </row>
    <row r="6527" spans="2:5" x14ac:dyDescent="0.25">
      <c r="B6527" s="545">
        <v>7935</v>
      </c>
      <c r="C6527" s="545" t="s">
        <v>6203</v>
      </c>
      <c r="D6527" s="669" t="s">
        <v>2838</v>
      </c>
      <c r="E6527" s="546">
        <v>1201.5199950000001</v>
      </c>
    </row>
    <row r="6528" spans="2:5" x14ac:dyDescent="0.25">
      <c r="B6528" s="545">
        <v>7936</v>
      </c>
      <c r="C6528" s="545" t="s">
        <v>6266</v>
      </c>
      <c r="D6528" s="669" t="s">
        <v>2838</v>
      </c>
      <c r="E6528" s="546">
        <v>1285.4499880000001</v>
      </c>
    </row>
    <row r="6529" spans="2:5" x14ac:dyDescent="0.25">
      <c r="B6529" s="545">
        <v>7937</v>
      </c>
      <c r="C6529" s="545" t="s">
        <v>6238</v>
      </c>
      <c r="D6529" s="669" t="s">
        <v>2838</v>
      </c>
      <c r="E6529" s="546">
        <v>1234.174988</v>
      </c>
    </row>
    <row r="6530" spans="2:5" x14ac:dyDescent="0.25">
      <c r="B6530" s="545">
        <v>7938</v>
      </c>
      <c r="C6530" s="545" t="s">
        <v>6276</v>
      </c>
      <c r="D6530" s="669" t="s">
        <v>2838</v>
      </c>
      <c r="E6530" s="546">
        <v>1302.599976</v>
      </c>
    </row>
    <row r="6531" spans="2:5" x14ac:dyDescent="0.25">
      <c r="B6531" s="545">
        <v>7939</v>
      </c>
      <c r="C6531" s="545" t="s">
        <v>6299</v>
      </c>
      <c r="D6531" s="669" t="s">
        <v>2838</v>
      </c>
      <c r="E6531" s="546">
        <v>1351.7571499999999</v>
      </c>
    </row>
    <row r="6532" spans="2:5" x14ac:dyDescent="0.25">
      <c r="B6532" s="545">
        <v>7940</v>
      </c>
      <c r="C6532" s="545" t="s">
        <v>455</v>
      </c>
      <c r="D6532" s="669" t="s">
        <v>2838</v>
      </c>
      <c r="E6532" s="546">
        <v>1291.1999510000001</v>
      </c>
    </row>
    <row r="6533" spans="2:5" x14ac:dyDescent="0.25">
      <c r="B6533" s="545">
        <v>7941</v>
      </c>
      <c r="C6533" s="545" t="s">
        <v>7590</v>
      </c>
      <c r="D6533" s="669" t="s">
        <v>2838</v>
      </c>
      <c r="E6533" s="546">
        <v>1386.088894</v>
      </c>
    </row>
    <row r="6534" spans="2:5" x14ac:dyDescent="0.25">
      <c r="B6534" s="545">
        <v>7942</v>
      </c>
      <c r="C6534" s="545" t="s">
        <v>6578</v>
      </c>
      <c r="D6534" s="669" t="s">
        <v>2838</v>
      </c>
      <c r="E6534" s="546">
        <v>1392.749969</v>
      </c>
    </row>
    <row r="6535" spans="2:5" x14ac:dyDescent="0.25">
      <c r="B6535" s="545">
        <v>7943</v>
      </c>
      <c r="C6535" s="545" t="s">
        <v>6318</v>
      </c>
      <c r="D6535" s="669" t="s">
        <v>2838</v>
      </c>
      <c r="E6535" s="546">
        <v>1418.133341</v>
      </c>
    </row>
    <row r="6536" spans="2:5" x14ac:dyDescent="0.25">
      <c r="B6536" s="545">
        <v>7944</v>
      </c>
      <c r="C6536" s="545" t="s">
        <v>6341</v>
      </c>
      <c r="D6536" s="669" t="s">
        <v>2838</v>
      </c>
      <c r="E6536" s="546">
        <v>1491.3374940000001</v>
      </c>
    </row>
    <row r="6537" spans="2:5" x14ac:dyDescent="0.25">
      <c r="B6537" s="545">
        <v>7945</v>
      </c>
      <c r="C6537" s="545" t="s">
        <v>6311</v>
      </c>
      <c r="D6537" s="669" t="s">
        <v>2838</v>
      </c>
      <c r="E6537" s="546">
        <v>1389.878557</v>
      </c>
    </row>
    <row r="6538" spans="2:5" x14ac:dyDescent="0.25">
      <c r="B6538" s="545">
        <v>7946</v>
      </c>
      <c r="C6538" s="545" t="s">
        <v>6335</v>
      </c>
      <c r="D6538" s="669" t="s">
        <v>2838</v>
      </c>
      <c r="E6538" s="546">
        <v>1466.4052730000001</v>
      </c>
    </row>
    <row r="6539" spans="2:5" x14ac:dyDescent="0.25">
      <c r="B6539" s="545">
        <v>7947</v>
      </c>
      <c r="C6539" s="545" t="s">
        <v>6309</v>
      </c>
      <c r="D6539" s="669" t="s">
        <v>2838</v>
      </c>
      <c r="E6539" s="546">
        <v>1386.9636230000001</v>
      </c>
    </row>
    <row r="6540" spans="2:5" x14ac:dyDescent="0.25">
      <c r="B6540" s="545">
        <v>7948</v>
      </c>
      <c r="C6540" s="545" t="s">
        <v>6331</v>
      </c>
      <c r="D6540" s="669" t="s">
        <v>2838</v>
      </c>
      <c r="E6540" s="546">
        <v>1450.211114</v>
      </c>
    </row>
    <row r="6541" spans="2:5" x14ac:dyDescent="0.25">
      <c r="B6541" s="545">
        <v>7949</v>
      </c>
      <c r="C6541" s="545" t="s">
        <v>6367</v>
      </c>
      <c r="D6541" s="669" t="s">
        <v>2838</v>
      </c>
      <c r="E6541" s="546">
        <v>1560.7909099999999</v>
      </c>
    </row>
    <row r="6542" spans="2:5" x14ac:dyDescent="0.25">
      <c r="B6542" s="545">
        <v>7950</v>
      </c>
      <c r="C6542" s="545" t="s">
        <v>6415</v>
      </c>
      <c r="D6542" s="669" t="s">
        <v>2838</v>
      </c>
      <c r="E6542" s="546">
        <v>1717.9526430000001</v>
      </c>
    </row>
    <row r="6543" spans="2:5" x14ac:dyDescent="0.25">
      <c r="B6543" s="545">
        <v>7951</v>
      </c>
      <c r="C6543" s="545" t="s">
        <v>6382</v>
      </c>
      <c r="D6543" s="669" t="s">
        <v>2838</v>
      </c>
      <c r="E6543" s="546">
        <v>1600.100003</v>
      </c>
    </row>
    <row r="6544" spans="2:5" x14ac:dyDescent="0.25">
      <c r="B6544" s="545">
        <v>7952</v>
      </c>
      <c r="C6544" s="545" t="s">
        <v>7133</v>
      </c>
      <c r="D6544" s="669" t="s">
        <v>2838</v>
      </c>
      <c r="E6544" s="546">
        <v>1683.1999880000001</v>
      </c>
    </row>
    <row r="6545" spans="2:5" x14ac:dyDescent="0.25">
      <c r="B6545" s="545">
        <v>7953</v>
      </c>
      <c r="C6545" s="545" t="s">
        <v>7388</v>
      </c>
      <c r="D6545" s="669" t="s">
        <v>2838</v>
      </c>
      <c r="E6545" s="546">
        <v>1564.1461650000001</v>
      </c>
    </row>
    <row r="6546" spans="2:5" x14ac:dyDescent="0.25">
      <c r="B6546" s="545">
        <v>7954</v>
      </c>
      <c r="C6546" s="545" t="s">
        <v>6366</v>
      </c>
      <c r="D6546" s="669" t="s">
        <v>2838</v>
      </c>
      <c r="E6546" s="546">
        <v>1555.7466879999999</v>
      </c>
    </row>
    <row r="6547" spans="2:5" x14ac:dyDescent="0.25">
      <c r="B6547" s="545">
        <v>7955</v>
      </c>
      <c r="C6547" s="545" t="s">
        <v>7152</v>
      </c>
      <c r="D6547" s="669" t="s">
        <v>2838</v>
      </c>
      <c r="E6547" s="546">
        <v>1591.1889040000001</v>
      </c>
    </row>
    <row r="6548" spans="2:5" x14ac:dyDescent="0.25">
      <c r="B6548" s="545">
        <v>7956</v>
      </c>
      <c r="C6548" s="545" t="s">
        <v>6697</v>
      </c>
      <c r="D6548" s="669" t="s">
        <v>2838</v>
      </c>
      <c r="E6548" s="546">
        <v>1626.371416</v>
      </c>
    </row>
    <row r="6549" spans="2:5" x14ac:dyDescent="0.25">
      <c r="B6549" s="545">
        <v>7957</v>
      </c>
      <c r="C6549" s="545" t="s">
        <v>6411</v>
      </c>
      <c r="D6549" s="669" t="s">
        <v>2838</v>
      </c>
      <c r="E6549" s="546">
        <v>1706.2111</v>
      </c>
    </row>
    <row r="6550" spans="2:5" x14ac:dyDescent="0.25">
      <c r="B6550" s="545">
        <v>7958</v>
      </c>
      <c r="C6550" s="545" t="s">
        <v>6418</v>
      </c>
      <c r="D6550" s="669" t="s">
        <v>2838</v>
      </c>
      <c r="E6550" s="546">
        <v>1741.8249969999999</v>
      </c>
    </row>
    <row r="6551" spans="2:5" x14ac:dyDescent="0.25">
      <c r="B6551" s="545">
        <v>7959</v>
      </c>
      <c r="C6551" s="545" t="s">
        <v>6427</v>
      </c>
      <c r="D6551" s="669" t="s">
        <v>2838</v>
      </c>
      <c r="E6551" s="546">
        <v>1805.4714269999999</v>
      </c>
    </row>
    <row r="6552" spans="2:5" x14ac:dyDescent="0.25">
      <c r="B6552" s="545">
        <v>7960</v>
      </c>
      <c r="C6552" s="545" t="s">
        <v>6398</v>
      </c>
      <c r="D6552" s="669" t="s">
        <v>2838</v>
      </c>
      <c r="E6552" s="546">
        <v>1650.880005</v>
      </c>
    </row>
    <row r="6553" spans="2:5" x14ac:dyDescent="0.25">
      <c r="B6553" s="545">
        <v>7961</v>
      </c>
      <c r="C6553" s="545" t="s">
        <v>7580</v>
      </c>
      <c r="D6553" s="669" t="s">
        <v>2838</v>
      </c>
      <c r="E6553" s="546">
        <v>1657.6000160000001</v>
      </c>
    </row>
    <row r="6554" spans="2:5" x14ac:dyDescent="0.25">
      <c r="B6554" s="545">
        <v>7962</v>
      </c>
      <c r="C6554" s="545" t="s">
        <v>6413</v>
      </c>
      <c r="D6554" s="669" t="s">
        <v>2838</v>
      </c>
      <c r="E6554" s="546">
        <v>1709.735991</v>
      </c>
    </row>
    <row r="6555" spans="2:5" x14ac:dyDescent="0.25">
      <c r="B6555" s="545">
        <v>7963</v>
      </c>
      <c r="C6555" s="545" t="s">
        <v>6429</v>
      </c>
      <c r="D6555" s="669" t="s">
        <v>2838</v>
      </c>
      <c r="E6555" s="546">
        <v>1816.7153880000001</v>
      </c>
    </row>
    <row r="6556" spans="2:5" x14ac:dyDescent="0.25">
      <c r="B6556" s="545">
        <v>7964</v>
      </c>
      <c r="C6556" s="545" t="s">
        <v>6440</v>
      </c>
      <c r="D6556" s="669" t="s">
        <v>462</v>
      </c>
      <c r="E6556" s="546">
        <v>1892.299996</v>
      </c>
    </row>
    <row r="6557" spans="2:5" x14ac:dyDescent="0.25">
      <c r="B6557" s="545">
        <v>7965</v>
      </c>
      <c r="C6557" s="545" t="s">
        <v>6472</v>
      </c>
      <c r="D6557" s="669" t="s">
        <v>462</v>
      </c>
      <c r="E6557" s="546">
        <v>2164.3016029999999</v>
      </c>
    </row>
    <row r="6558" spans="2:5" x14ac:dyDescent="0.25">
      <c r="B6558" s="545">
        <v>7966</v>
      </c>
      <c r="C6558" s="545" t="s">
        <v>6445</v>
      </c>
      <c r="D6558" s="669" t="s">
        <v>462</v>
      </c>
      <c r="E6558" s="546">
        <v>1924.6190529999999</v>
      </c>
    </row>
    <row r="6559" spans="2:5" x14ac:dyDescent="0.25">
      <c r="B6559" s="545">
        <v>7967</v>
      </c>
      <c r="C6559" s="545" t="s">
        <v>6442</v>
      </c>
      <c r="D6559" s="669" t="s">
        <v>462</v>
      </c>
      <c r="E6559" s="546">
        <v>1896.9576930000001</v>
      </c>
    </row>
    <row r="6560" spans="2:5" x14ac:dyDescent="0.25">
      <c r="B6560" s="545">
        <v>7968</v>
      </c>
      <c r="C6560" s="545" t="s">
        <v>6431</v>
      </c>
      <c r="D6560" s="669" t="s">
        <v>462</v>
      </c>
      <c r="E6560" s="546">
        <v>1829.9222139999999</v>
      </c>
    </row>
    <row r="6561" spans="2:5" x14ac:dyDescent="0.25">
      <c r="B6561" s="545">
        <v>7969</v>
      </c>
      <c r="C6561" s="545" t="s">
        <v>6416</v>
      </c>
      <c r="D6561" s="669" t="s">
        <v>462</v>
      </c>
      <c r="E6561" s="546">
        <v>1722.763639</v>
      </c>
    </row>
    <row r="6562" spans="2:5" x14ac:dyDescent="0.25">
      <c r="B6562" s="545">
        <v>7970</v>
      </c>
      <c r="C6562" s="545" t="s">
        <v>6379</v>
      </c>
      <c r="D6562" s="669" t="s">
        <v>462</v>
      </c>
      <c r="E6562" s="546">
        <v>1591.4666749999999</v>
      </c>
    </row>
    <row r="6563" spans="2:5" x14ac:dyDescent="0.25">
      <c r="B6563" s="545">
        <v>7971</v>
      </c>
      <c r="C6563" s="545" t="s">
        <v>6338</v>
      </c>
      <c r="D6563" s="669" t="s">
        <v>462</v>
      </c>
      <c r="E6563" s="546">
        <v>1474.619995</v>
      </c>
    </row>
    <row r="6564" spans="2:5" x14ac:dyDescent="0.25">
      <c r="B6564" s="545">
        <v>7972</v>
      </c>
      <c r="C6564" s="545" t="s">
        <v>7481</v>
      </c>
      <c r="D6564" s="669" t="s">
        <v>462</v>
      </c>
      <c r="E6564" s="546">
        <v>1566.458333</v>
      </c>
    </row>
    <row r="6565" spans="2:5" x14ac:dyDescent="0.25">
      <c r="B6565" s="545">
        <v>7973</v>
      </c>
      <c r="C6565" s="545" t="s">
        <v>6607</v>
      </c>
      <c r="D6565" s="669" t="s">
        <v>462</v>
      </c>
      <c r="E6565" s="546">
        <v>1823.420832</v>
      </c>
    </row>
    <row r="6566" spans="2:5" x14ac:dyDescent="0.25">
      <c r="B6566" s="545">
        <v>7974</v>
      </c>
      <c r="C6566" s="545" t="s">
        <v>6481</v>
      </c>
      <c r="D6566" s="669" t="s">
        <v>462</v>
      </c>
      <c r="E6566" s="546">
        <v>2061.2090790000002</v>
      </c>
    </row>
    <row r="6567" spans="2:5" x14ac:dyDescent="0.25">
      <c r="B6567" s="545">
        <v>7975</v>
      </c>
      <c r="C6567" s="545" t="s">
        <v>6348</v>
      </c>
      <c r="D6567" s="669" t="s">
        <v>462</v>
      </c>
      <c r="E6567" s="546">
        <v>1515.0714370000001</v>
      </c>
    </row>
    <row r="6568" spans="2:5" x14ac:dyDescent="0.25">
      <c r="B6568" s="545">
        <v>7976</v>
      </c>
      <c r="C6568" s="545" t="s">
        <v>6354</v>
      </c>
      <c r="D6568" s="669" t="s">
        <v>462</v>
      </c>
      <c r="E6568" s="546">
        <v>1527.8000019999999</v>
      </c>
    </row>
    <row r="6569" spans="2:5" x14ac:dyDescent="0.25">
      <c r="B6569" s="545">
        <v>7977</v>
      </c>
      <c r="C6569" s="545" t="s">
        <v>6409</v>
      </c>
      <c r="D6569" s="669" t="s">
        <v>462</v>
      </c>
      <c r="E6569" s="546">
        <v>1699.176471</v>
      </c>
    </row>
    <row r="6570" spans="2:5" x14ac:dyDescent="0.25">
      <c r="B6570" s="545">
        <v>7978</v>
      </c>
      <c r="C6570" s="545" t="s">
        <v>6474</v>
      </c>
      <c r="D6570" s="669" t="s">
        <v>462</v>
      </c>
      <c r="E6570" s="546">
        <v>1718.199989</v>
      </c>
    </row>
    <row r="6571" spans="2:5" x14ac:dyDescent="0.25">
      <c r="B6571" s="545">
        <v>7979</v>
      </c>
      <c r="C6571" s="545" t="s">
        <v>6436</v>
      </c>
      <c r="D6571" s="669" t="s">
        <v>462</v>
      </c>
      <c r="E6571" s="546">
        <v>1867.5571460000001</v>
      </c>
    </row>
    <row r="6572" spans="2:5" x14ac:dyDescent="0.25">
      <c r="B6572" s="545">
        <v>7980</v>
      </c>
      <c r="C6572" s="545" t="s">
        <v>6458</v>
      </c>
      <c r="D6572" s="669" t="s">
        <v>462</v>
      </c>
      <c r="E6572" s="546">
        <v>2070.2795489999999</v>
      </c>
    </row>
    <row r="6573" spans="2:5" x14ac:dyDescent="0.25">
      <c r="B6573" s="545">
        <v>7981</v>
      </c>
      <c r="C6573" s="545" t="s">
        <v>6406</v>
      </c>
      <c r="D6573" s="669" t="s">
        <v>462</v>
      </c>
      <c r="E6573" s="546">
        <v>1685.7709689999999</v>
      </c>
    </row>
    <row r="6574" spans="2:5" x14ac:dyDescent="0.25">
      <c r="B6574" s="545">
        <v>7982</v>
      </c>
      <c r="C6574" s="545" t="s">
        <v>6473</v>
      </c>
      <c r="D6574" s="669" t="s">
        <v>462</v>
      </c>
      <c r="E6574" s="546">
        <v>1678.4615200000001</v>
      </c>
    </row>
    <row r="6575" spans="2:5" x14ac:dyDescent="0.25">
      <c r="B6575" s="545">
        <v>7983</v>
      </c>
      <c r="C6575" s="545" t="s">
        <v>6412</v>
      </c>
      <c r="D6575" s="669" t="s">
        <v>462</v>
      </c>
      <c r="E6575" s="546">
        <v>1708.7199949999999</v>
      </c>
    </row>
    <row r="6576" spans="2:5" x14ac:dyDescent="0.25">
      <c r="B6576" s="545">
        <v>7984</v>
      </c>
      <c r="C6576" s="545" t="s">
        <v>6446</v>
      </c>
      <c r="D6576" s="669" t="s">
        <v>462</v>
      </c>
      <c r="E6576" s="546">
        <v>1927.1380959999999</v>
      </c>
    </row>
    <row r="6577" spans="2:5" x14ac:dyDescent="0.25">
      <c r="B6577" s="545">
        <v>7985</v>
      </c>
      <c r="C6577" s="545" t="s">
        <v>6468</v>
      </c>
      <c r="D6577" s="669" t="s">
        <v>462</v>
      </c>
      <c r="E6577" s="546">
        <v>2290.4523749999998</v>
      </c>
    </row>
    <row r="6578" spans="2:5" x14ac:dyDescent="0.25">
      <c r="B6578" s="545">
        <v>7986</v>
      </c>
      <c r="C6578" s="545" t="s">
        <v>6461</v>
      </c>
      <c r="D6578" s="669" t="s">
        <v>462</v>
      </c>
      <c r="E6578" s="546">
        <v>2104.745809</v>
      </c>
    </row>
    <row r="6579" spans="2:5" x14ac:dyDescent="0.25">
      <c r="B6579" s="545">
        <v>7987</v>
      </c>
      <c r="C6579" s="545" t="s">
        <v>6731</v>
      </c>
      <c r="D6579" s="669" t="s">
        <v>462</v>
      </c>
      <c r="E6579" s="546">
        <v>1512.4900270000001</v>
      </c>
    </row>
    <row r="6580" spans="2:5" x14ac:dyDescent="0.25">
      <c r="B6580" s="545">
        <v>7988</v>
      </c>
      <c r="C6580" s="545" t="s">
        <v>7433</v>
      </c>
      <c r="D6580" s="669" t="s">
        <v>462</v>
      </c>
      <c r="E6580" s="546">
        <v>1940.357143</v>
      </c>
    </row>
    <row r="6581" spans="2:5" x14ac:dyDescent="0.25">
      <c r="B6581" s="545">
        <v>7989</v>
      </c>
      <c r="C6581" s="545" t="s">
        <v>6467</v>
      </c>
      <c r="D6581" s="669" t="s">
        <v>462</v>
      </c>
      <c r="E6581" s="546">
        <v>2280.0069749999998</v>
      </c>
    </row>
    <row r="6582" spans="2:5" x14ac:dyDescent="0.25">
      <c r="B6582" s="545">
        <v>7990</v>
      </c>
      <c r="C6582" s="545" t="s">
        <v>6466</v>
      </c>
      <c r="D6582" s="669" t="s">
        <v>462</v>
      </c>
      <c r="E6582" s="546">
        <v>2161.8018269999998</v>
      </c>
    </row>
    <row r="6583" spans="2:5" x14ac:dyDescent="0.25">
      <c r="B6583" s="545">
        <v>7991</v>
      </c>
      <c r="C6583" s="545" t="s">
        <v>6463</v>
      </c>
      <c r="D6583" s="669" t="s">
        <v>462</v>
      </c>
      <c r="E6583" s="546">
        <v>2118.953485</v>
      </c>
    </row>
    <row r="6584" spans="2:5" x14ac:dyDescent="0.25">
      <c r="B6584" s="545">
        <v>7992</v>
      </c>
      <c r="C6584" s="545" t="s">
        <v>6417</v>
      </c>
      <c r="D6584" s="669" t="s">
        <v>462</v>
      </c>
      <c r="E6584" s="546">
        <v>1735.2166749999999</v>
      </c>
    </row>
    <row r="6585" spans="2:5" x14ac:dyDescent="0.25">
      <c r="B6585" s="545">
        <v>7993</v>
      </c>
      <c r="C6585" s="545" t="s">
        <v>6396</v>
      </c>
      <c r="D6585" s="669" t="s">
        <v>462</v>
      </c>
      <c r="E6585" s="546">
        <v>1648.233358</v>
      </c>
    </row>
    <row r="6586" spans="2:5" x14ac:dyDescent="0.25">
      <c r="B6586" s="545">
        <v>8001</v>
      </c>
      <c r="C6586" s="545" t="s">
        <v>2005</v>
      </c>
      <c r="D6586" s="669" t="s">
        <v>375</v>
      </c>
      <c r="E6586" s="546">
        <v>684.19999700000005</v>
      </c>
    </row>
    <row r="6587" spans="2:5" x14ac:dyDescent="0.25">
      <c r="B6587" s="545">
        <v>8002</v>
      </c>
      <c r="C6587" s="545" t="s">
        <v>1913</v>
      </c>
      <c r="D6587" s="669" t="s">
        <v>375</v>
      </c>
      <c r="E6587" s="546">
        <v>640.49166400000001</v>
      </c>
    </row>
    <row r="6588" spans="2:5" x14ac:dyDescent="0.25">
      <c r="B6588" s="545">
        <v>8003</v>
      </c>
      <c r="C6588" s="545" t="s">
        <v>1598</v>
      </c>
      <c r="D6588" s="669" t="s">
        <v>375</v>
      </c>
      <c r="E6588" s="546">
        <v>652.16666699999996</v>
      </c>
    </row>
    <row r="6589" spans="2:5" x14ac:dyDescent="0.25">
      <c r="B6589" s="545">
        <v>8004</v>
      </c>
      <c r="C6589" s="545" t="s">
        <v>1766</v>
      </c>
      <c r="D6589" s="669" t="s">
        <v>375</v>
      </c>
      <c r="E6589" s="546">
        <v>634.81999499999995</v>
      </c>
    </row>
    <row r="6590" spans="2:5" x14ac:dyDescent="0.25">
      <c r="B6590" s="545">
        <v>8005</v>
      </c>
      <c r="C6590" s="545" t="s">
        <v>2186</v>
      </c>
      <c r="D6590" s="669" t="s">
        <v>375</v>
      </c>
      <c r="E6590" s="546">
        <v>652.30000299999995</v>
      </c>
    </row>
    <row r="6591" spans="2:5" x14ac:dyDescent="0.25">
      <c r="B6591" s="545">
        <v>8006</v>
      </c>
      <c r="C6591" s="545" t="s">
        <v>2003</v>
      </c>
      <c r="D6591" s="669" t="s">
        <v>375</v>
      </c>
      <c r="E6591" s="546">
        <v>643.38332600000001</v>
      </c>
    </row>
    <row r="6592" spans="2:5" x14ac:dyDescent="0.25">
      <c r="B6592" s="545">
        <v>8007</v>
      </c>
      <c r="C6592" s="545" t="s">
        <v>2640</v>
      </c>
      <c r="D6592" s="669" t="s">
        <v>375</v>
      </c>
      <c r="E6592" s="546">
        <v>673.42857100000003</v>
      </c>
    </row>
    <row r="6593" spans="2:5" x14ac:dyDescent="0.25">
      <c r="B6593" s="545">
        <v>8008</v>
      </c>
      <c r="C6593" s="545" t="s">
        <v>2993</v>
      </c>
      <c r="D6593" s="669" t="s">
        <v>375</v>
      </c>
      <c r="E6593" s="546">
        <v>690.28000499999996</v>
      </c>
    </row>
    <row r="6594" spans="2:5" x14ac:dyDescent="0.25">
      <c r="B6594" s="545">
        <v>8009</v>
      </c>
      <c r="C6594" s="545" t="s">
        <v>1765</v>
      </c>
      <c r="D6594" s="669" t="s">
        <v>375</v>
      </c>
      <c r="E6594" s="546">
        <v>655.58334400000001</v>
      </c>
    </row>
    <row r="6595" spans="2:5" x14ac:dyDescent="0.25">
      <c r="B6595" s="545">
        <v>8010</v>
      </c>
      <c r="C6595" s="545" t="s">
        <v>1683</v>
      </c>
      <c r="D6595" s="669" t="s">
        <v>375</v>
      </c>
      <c r="E6595" s="546">
        <v>631.43332899999996</v>
      </c>
    </row>
    <row r="6596" spans="2:5" x14ac:dyDescent="0.25">
      <c r="B6596" s="545">
        <v>8011</v>
      </c>
      <c r="C6596" s="545" t="s">
        <v>2217</v>
      </c>
      <c r="D6596" s="669" t="s">
        <v>375</v>
      </c>
      <c r="E6596" s="546">
        <v>653.75</v>
      </c>
    </row>
    <row r="6597" spans="2:5" x14ac:dyDescent="0.25">
      <c r="B6597" s="545">
        <v>8012</v>
      </c>
      <c r="C6597" s="545" t="s">
        <v>2324</v>
      </c>
      <c r="D6597" s="669" t="s">
        <v>375</v>
      </c>
      <c r="E6597" s="546">
        <v>658.65999799999997</v>
      </c>
    </row>
    <row r="6598" spans="2:5" x14ac:dyDescent="0.25">
      <c r="B6598" s="545">
        <v>8013</v>
      </c>
      <c r="C6598" s="545" t="s">
        <v>2535</v>
      </c>
      <c r="D6598" s="669" t="s">
        <v>375</v>
      </c>
      <c r="E6598" s="546">
        <v>667.97999900000002</v>
      </c>
    </row>
    <row r="6599" spans="2:5" x14ac:dyDescent="0.25">
      <c r="B6599" s="545">
        <v>8014</v>
      </c>
      <c r="C6599" s="545" t="s">
        <v>2232</v>
      </c>
      <c r="D6599" s="669" t="s">
        <v>375</v>
      </c>
      <c r="E6599" s="546">
        <v>654.54999799999996</v>
      </c>
    </row>
    <row r="6600" spans="2:5" x14ac:dyDescent="0.25">
      <c r="B6600" s="545">
        <v>8015</v>
      </c>
      <c r="C6600" s="545" t="s">
        <v>2333</v>
      </c>
      <c r="D6600" s="669" t="s">
        <v>375</v>
      </c>
      <c r="E6600" s="546">
        <v>658.98749499999997</v>
      </c>
    </row>
    <row r="6601" spans="2:5" x14ac:dyDescent="0.25">
      <c r="B6601" s="545">
        <v>8016</v>
      </c>
      <c r="C6601" s="545" t="s">
        <v>2991</v>
      </c>
      <c r="D6601" s="669" t="s">
        <v>375</v>
      </c>
      <c r="E6601" s="546">
        <v>690.24999000000003</v>
      </c>
    </row>
    <row r="6602" spans="2:5" x14ac:dyDescent="0.25">
      <c r="B6602" s="545">
        <v>8017</v>
      </c>
      <c r="C6602" s="545" t="s">
        <v>2237</v>
      </c>
      <c r="D6602" s="669" t="s">
        <v>375</v>
      </c>
      <c r="E6602" s="546">
        <v>654.65000899999995</v>
      </c>
    </row>
    <row r="6603" spans="2:5" x14ac:dyDescent="0.25">
      <c r="B6603" s="545">
        <v>8018</v>
      </c>
      <c r="C6603" s="545" t="s">
        <v>2816</v>
      </c>
      <c r="D6603" s="669" t="s">
        <v>375</v>
      </c>
      <c r="E6603" s="546">
        <v>681.90000399999997</v>
      </c>
    </row>
    <row r="6604" spans="2:5" x14ac:dyDescent="0.25">
      <c r="B6604" s="545">
        <v>8020</v>
      </c>
      <c r="C6604" s="545" t="s">
        <v>1887</v>
      </c>
      <c r="D6604" s="669" t="s">
        <v>375</v>
      </c>
      <c r="E6604" s="546">
        <v>639.43572600000005</v>
      </c>
    </row>
    <row r="6605" spans="2:5" x14ac:dyDescent="0.25">
      <c r="B6605" s="545">
        <v>8021</v>
      </c>
      <c r="C6605" s="545" t="s">
        <v>2135</v>
      </c>
      <c r="D6605" s="669" t="s">
        <v>375</v>
      </c>
      <c r="E6605" s="546">
        <v>650.13529300000005</v>
      </c>
    </row>
    <row r="6606" spans="2:5" x14ac:dyDescent="0.25">
      <c r="B6606" s="545">
        <v>8022</v>
      </c>
      <c r="C6606" s="545" t="s">
        <v>2144</v>
      </c>
      <c r="D6606" s="669" t="s">
        <v>375</v>
      </c>
      <c r="E6606" s="546">
        <v>650.5625</v>
      </c>
    </row>
    <row r="6607" spans="2:5" x14ac:dyDescent="0.25">
      <c r="B6607" s="545">
        <v>8023</v>
      </c>
      <c r="C6607" s="545" t="s">
        <v>2196</v>
      </c>
      <c r="D6607" s="669" t="s">
        <v>375</v>
      </c>
      <c r="E6607" s="546">
        <v>652.70001200000002</v>
      </c>
    </row>
    <row r="6608" spans="2:5" x14ac:dyDescent="0.25">
      <c r="B6608" s="545">
        <v>8024</v>
      </c>
      <c r="C6608" s="545" t="s">
        <v>1517</v>
      </c>
      <c r="D6608" s="669" t="s">
        <v>375</v>
      </c>
      <c r="E6608" s="546">
        <v>621.52501400000006</v>
      </c>
    </row>
    <row r="6609" spans="2:5" x14ac:dyDescent="0.25">
      <c r="B6609" s="545">
        <v>8025</v>
      </c>
      <c r="C6609" s="545" t="s">
        <v>2022</v>
      </c>
      <c r="D6609" s="669" t="s">
        <v>375</v>
      </c>
      <c r="E6609" s="546">
        <v>643.97499100000005</v>
      </c>
    </row>
    <row r="6610" spans="2:5" x14ac:dyDescent="0.25">
      <c r="B6610" s="545">
        <v>8026</v>
      </c>
      <c r="C6610" s="545" t="s">
        <v>1378</v>
      </c>
      <c r="D6610" s="669" t="s">
        <v>375</v>
      </c>
      <c r="E6610" s="546">
        <v>614.04286400000001</v>
      </c>
    </row>
    <row r="6611" spans="2:5" x14ac:dyDescent="0.25">
      <c r="B6611" s="545">
        <v>8027</v>
      </c>
      <c r="C6611" s="545" t="s">
        <v>1810</v>
      </c>
      <c r="D6611" s="669" t="s">
        <v>375</v>
      </c>
      <c r="E6611" s="546">
        <v>636.48334799999998</v>
      </c>
    </row>
    <row r="6612" spans="2:5" x14ac:dyDescent="0.25">
      <c r="B6612" s="545">
        <v>8028</v>
      </c>
      <c r="C6612" s="545" t="s">
        <v>1221</v>
      </c>
      <c r="D6612" s="669" t="s">
        <v>375</v>
      </c>
      <c r="E6612" s="546">
        <v>605.10416699999996</v>
      </c>
    </row>
    <row r="6613" spans="2:5" x14ac:dyDescent="0.25">
      <c r="B6613" s="545">
        <v>8028</v>
      </c>
      <c r="C6613" s="545" t="s">
        <v>1221</v>
      </c>
      <c r="D6613" s="669" t="s">
        <v>363</v>
      </c>
      <c r="E6613" s="546">
        <v>605.10416699999996</v>
      </c>
    </row>
    <row r="6614" spans="2:5" x14ac:dyDescent="0.25">
      <c r="B6614" s="545">
        <v>8029</v>
      </c>
      <c r="C6614" s="545" t="s">
        <v>2845</v>
      </c>
      <c r="D6614" s="669" t="s">
        <v>375</v>
      </c>
      <c r="E6614" s="546">
        <v>683.82500500000003</v>
      </c>
    </row>
    <row r="6615" spans="2:5" x14ac:dyDescent="0.25">
      <c r="B6615" s="545">
        <v>8030</v>
      </c>
      <c r="C6615" s="545" t="s">
        <v>2308</v>
      </c>
      <c r="D6615" s="669" t="s">
        <v>375</v>
      </c>
      <c r="E6615" s="546">
        <v>657.723074</v>
      </c>
    </row>
    <row r="6616" spans="2:5" x14ac:dyDescent="0.25">
      <c r="B6616" s="545">
        <v>8031</v>
      </c>
      <c r="C6616" s="545" t="s">
        <v>6555</v>
      </c>
      <c r="D6616" s="669" t="s">
        <v>375</v>
      </c>
      <c r="E6616" s="546">
        <v>636.80571799999996</v>
      </c>
    </row>
    <row r="6617" spans="2:5" x14ac:dyDescent="0.25">
      <c r="B6617" s="545">
        <v>8032</v>
      </c>
      <c r="C6617" s="545" t="s">
        <v>2775</v>
      </c>
      <c r="D6617" s="669" t="s">
        <v>375</v>
      </c>
      <c r="E6617" s="546">
        <v>679.52500899999995</v>
      </c>
    </row>
    <row r="6618" spans="2:5" x14ac:dyDescent="0.25">
      <c r="B6618" s="545">
        <v>8033</v>
      </c>
      <c r="C6618" s="545" t="s">
        <v>2833</v>
      </c>
      <c r="D6618" s="669" t="s">
        <v>375</v>
      </c>
      <c r="E6618" s="546">
        <v>683</v>
      </c>
    </row>
    <row r="6619" spans="2:5" x14ac:dyDescent="0.25">
      <c r="B6619" s="545">
        <v>8034</v>
      </c>
      <c r="C6619" s="545" t="s">
        <v>3000</v>
      </c>
      <c r="D6619" s="669" t="s">
        <v>375</v>
      </c>
      <c r="E6619" s="546">
        <v>690.65000399999997</v>
      </c>
    </row>
    <row r="6620" spans="2:5" x14ac:dyDescent="0.25">
      <c r="B6620" s="545">
        <v>8035</v>
      </c>
      <c r="C6620" s="545" t="s">
        <v>7044</v>
      </c>
      <c r="D6620" s="669" t="s">
        <v>375</v>
      </c>
      <c r="E6620" s="546">
        <v>680.5</v>
      </c>
    </row>
    <row r="6621" spans="2:5" x14ac:dyDescent="0.25">
      <c r="B6621" s="545">
        <v>8036</v>
      </c>
      <c r="C6621" s="545" t="s">
        <v>2810</v>
      </c>
      <c r="D6621" s="669" t="s">
        <v>375</v>
      </c>
      <c r="E6621" s="546">
        <v>681.66666699999996</v>
      </c>
    </row>
    <row r="6622" spans="2:5" x14ac:dyDescent="0.25">
      <c r="B6622" s="545">
        <v>8037</v>
      </c>
      <c r="C6622" s="545" t="s">
        <v>2762</v>
      </c>
      <c r="D6622" s="669" t="s">
        <v>375</v>
      </c>
      <c r="E6622" s="546">
        <v>678.82499700000005</v>
      </c>
    </row>
    <row r="6623" spans="2:5" x14ac:dyDescent="0.25">
      <c r="B6623" s="545">
        <v>8038</v>
      </c>
      <c r="C6623" s="545" t="s">
        <v>2299</v>
      </c>
      <c r="D6623" s="669" t="s">
        <v>375</v>
      </c>
      <c r="E6623" s="546">
        <v>657.33332299999995</v>
      </c>
    </row>
    <row r="6624" spans="2:5" x14ac:dyDescent="0.25">
      <c r="B6624" s="545">
        <v>8039</v>
      </c>
      <c r="C6624" s="545" t="s">
        <v>2501</v>
      </c>
      <c r="D6624" s="669" t="s">
        <v>375</v>
      </c>
      <c r="E6624" s="546">
        <v>665.75556099999994</v>
      </c>
    </row>
    <row r="6625" spans="2:5" x14ac:dyDescent="0.25">
      <c r="B6625" s="545">
        <v>8040</v>
      </c>
      <c r="C6625" s="545" t="s">
        <v>2709</v>
      </c>
      <c r="D6625" s="669" t="s">
        <v>375</v>
      </c>
      <c r="E6625" s="546">
        <v>676.15555800000004</v>
      </c>
    </row>
    <row r="6626" spans="2:5" x14ac:dyDescent="0.25">
      <c r="B6626" s="545">
        <v>8041</v>
      </c>
      <c r="C6626" s="545" t="s">
        <v>413</v>
      </c>
      <c r="D6626" s="669" t="s">
        <v>375</v>
      </c>
      <c r="E6626" s="546">
        <v>670.21666500000003</v>
      </c>
    </row>
    <row r="6627" spans="2:5" x14ac:dyDescent="0.25">
      <c r="B6627" s="545">
        <v>8042</v>
      </c>
      <c r="C6627" s="545" t="s">
        <v>2476</v>
      </c>
      <c r="D6627" s="669" t="s">
        <v>375</v>
      </c>
      <c r="E6627" s="546">
        <v>664.97999300000004</v>
      </c>
    </row>
    <row r="6628" spans="2:5" x14ac:dyDescent="0.25">
      <c r="B6628" s="545">
        <v>8043</v>
      </c>
      <c r="C6628" s="545" t="s">
        <v>6721</v>
      </c>
      <c r="D6628" s="669" t="s">
        <v>375</v>
      </c>
      <c r="E6628" s="546">
        <v>645.46153800000002</v>
      </c>
    </row>
    <row r="6629" spans="2:5" x14ac:dyDescent="0.25">
      <c r="B6629" s="545">
        <v>8044</v>
      </c>
      <c r="C6629" s="545" t="s">
        <v>2102</v>
      </c>
      <c r="D6629" s="669" t="s">
        <v>375</v>
      </c>
      <c r="E6629" s="546">
        <v>648.24284999999998</v>
      </c>
    </row>
    <row r="6630" spans="2:5" x14ac:dyDescent="0.25">
      <c r="B6630" s="545">
        <v>8045</v>
      </c>
      <c r="C6630" s="545" t="s">
        <v>6775</v>
      </c>
      <c r="D6630" s="669" t="s">
        <v>375</v>
      </c>
      <c r="E6630" s="546">
        <v>641.53332499999999</v>
      </c>
    </row>
    <row r="6631" spans="2:5" x14ac:dyDescent="0.25">
      <c r="B6631" s="545">
        <v>8046</v>
      </c>
      <c r="C6631" s="545" t="s">
        <v>7512</v>
      </c>
      <c r="D6631" s="669" t="s">
        <v>375</v>
      </c>
      <c r="E6631" s="546">
        <v>660.28333499999997</v>
      </c>
    </row>
    <row r="6632" spans="2:5" x14ac:dyDescent="0.25">
      <c r="B6632" s="545">
        <v>8047</v>
      </c>
      <c r="C6632" s="545" t="s">
        <v>1783</v>
      </c>
      <c r="D6632" s="669" t="s">
        <v>375</v>
      </c>
      <c r="E6632" s="546">
        <v>635.45999800000004</v>
      </c>
    </row>
    <row r="6633" spans="2:5" x14ac:dyDescent="0.25">
      <c r="B6633" s="545">
        <v>8048</v>
      </c>
      <c r="C6633" s="545" t="s">
        <v>6629</v>
      </c>
      <c r="D6633" s="669" t="s">
        <v>375</v>
      </c>
      <c r="E6633" s="546">
        <v>625.19629799999996</v>
      </c>
    </row>
    <row r="6634" spans="2:5" x14ac:dyDescent="0.25">
      <c r="B6634" s="545">
        <v>8049</v>
      </c>
      <c r="C6634" s="545" t="s">
        <v>1162</v>
      </c>
      <c r="D6634" s="669" t="s">
        <v>363</v>
      </c>
      <c r="E6634" s="546">
        <v>601.80000800000005</v>
      </c>
    </row>
    <row r="6635" spans="2:5" x14ac:dyDescent="0.25">
      <c r="B6635" s="545">
        <v>8050</v>
      </c>
      <c r="C6635" s="545" t="s">
        <v>1381</v>
      </c>
      <c r="D6635" s="669" t="s">
        <v>363</v>
      </c>
      <c r="E6635" s="546">
        <v>614.08000500000003</v>
      </c>
    </row>
    <row r="6636" spans="2:5" x14ac:dyDescent="0.25">
      <c r="B6636" s="545">
        <v>8051</v>
      </c>
      <c r="C6636" s="545" t="s">
        <v>1383</v>
      </c>
      <c r="D6636" s="669" t="s">
        <v>363</v>
      </c>
      <c r="E6636" s="546">
        <v>614.14999399999999</v>
      </c>
    </row>
    <row r="6637" spans="2:5" x14ac:dyDescent="0.25">
      <c r="B6637" s="545">
        <v>8052</v>
      </c>
      <c r="C6637" s="545" t="s">
        <v>1651</v>
      </c>
      <c r="D6637" s="669" t="s">
        <v>363</v>
      </c>
      <c r="E6637" s="546">
        <v>629.15000199999997</v>
      </c>
    </row>
    <row r="6638" spans="2:5" x14ac:dyDescent="0.25">
      <c r="B6638" s="545">
        <v>8053</v>
      </c>
      <c r="C6638" s="545" t="s">
        <v>6530</v>
      </c>
      <c r="D6638" s="669" t="s">
        <v>363</v>
      </c>
      <c r="E6638" s="546">
        <v>617.5</v>
      </c>
    </row>
    <row r="6639" spans="2:5" x14ac:dyDescent="0.25">
      <c r="B6639" s="545">
        <v>8054</v>
      </c>
      <c r="C6639" s="545" t="s">
        <v>6674</v>
      </c>
      <c r="D6639" s="669" t="s">
        <v>363</v>
      </c>
      <c r="E6639" s="546">
        <v>608.14999399999999</v>
      </c>
    </row>
    <row r="6640" spans="2:5" x14ac:dyDescent="0.25">
      <c r="B6640" s="545">
        <v>8055</v>
      </c>
      <c r="C6640" s="545" t="s">
        <v>1508</v>
      </c>
      <c r="D6640" s="669" t="s">
        <v>363</v>
      </c>
      <c r="E6640" s="546">
        <v>621.06000200000005</v>
      </c>
    </row>
    <row r="6641" spans="2:5" x14ac:dyDescent="0.25">
      <c r="B6641" s="545">
        <v>8056</v>
      </c>
      <c r="C6641" s="545" t="s">
        <v>363</v>
      </c>
      <c r="D6641" s="669" t="s">
        <v>363</v>
      </c>
      <c r="E6641" s="546">
        <v>630.74750400000005</v>
      </c>
    </row>
    <row r="6642" spans="2:5" x14ac:dyDescent="0.25">
      <c r="B6642" s="545">
        <v>8057</v>
      </c>
      <c r="C6642" s="545" t="s">
        <v>1607</v>
      </c>
      <c r="D6642" s="669" t="s">
        <v>363</v>
      </c>
      <c r="E6642" s="546">
        <v>626.88570700000002</v>
      </c>
    </row>
    <row r="6643" spans="2:5" x14ac:dyDescent="0.25">
      <c r="B6643" s="545">
        <v>8058</v>
      </c>
      <c r="C6643" s="545" t="s">
        <v>1773</v>
      </c>
      <c r="D6643" s="669" t="s">
        <v>363</v>
      </c>
      <c r="E6643" s="546">
        <v>635.125</v>
      </c>
    </row>
    <row r="6644" spans="2:5" x14ac:dyDescent="0.25">
      <c r="B6644" s="545">
        <v>8059</v>
      </c>
      <c r="C6644" s="545" t="s">
        <v>1880</v>
      </c>
      <c r="D6644" s="669" t="s">
        <v>363</v>
      </c>
      <c r="E6644" s="546">
        <v>639.19999700000005</v>
      </c>
    </row>
    <row r="6645" spans="2:5" x14ac:dyDescent="0.25">
      <c r="B6645" s="545">
        <v>8060</v>
      </c>
      <c r="C6645" s="545" t="s">
        <v>1787</v>
      </c>
      <c r="D6645" s="669" t="s">
        <v>363</v>
      </c>
      <c r="E6645" s="546">
        <v>635.56664999999998</v>
      </c>
    </row>
    <row r="6646" spans="2:5" x14ac:dyDescent="0.25">
      <c r="B6646" s="545">
        <v>8061</v>
      </c>
      <c r="C6646" s="545" t="s">
        <v>1894</v>
      </c>
      <c r="D6646" s="669" t="s">
        <v>363</v>
      </c>
      <c r="E6646" s="546">
        <v>639.62500799999998</v>
      </c>
    </row>
    <row r="6647" spans="2:5" x14ac:dyDescent="0.25">
      <c r="B6647" s="545">
        <v>8062</v>
      </c>
      <c r="C6647" s="545" t="s">
        <v>2005</v>
      </c>
      <c r="D6647" s="669" t="s">
        <v>363</v>
      </c>
      <c r="E6647" s="546">
        <v>643.45000200000004</v>
      </c>
    </row>
    <row r="6648" spans="2:5" x14ac:dyDescent="0.25">
      <c r="B6648" s="545">
        <v>8063</v>
      </c>
      <c r="C6648" s="545" t="s">
        <v>1784</v>
      </c>
      <c r="D6648" s="669" t="s">
        <v>386</v>
      </c>
      <c r="E6648" s="546">
        <v>635.46250199999997</v>
      </c>
    </row>
    <row r="6649" spans="2:5" x14ac:dyDescent="0.25">
      <c r="B6649" s="545">
        <v>8064</v>
      </c>
      <c r="C6649" s="545" t="s">
        <v>1856</v>
      </c>
      <c r="D6649" s="669" t="s">
        <v>386</v>
      </c>
      <c r="E6649" s="546">
        <v>638.19999700000005</v>
      </c>
    </row>
    <row r="6650" spans="2:5" x14ac:dyDescent="0.25">
      <c r="B6650" s="545">
        <v>8065</v>
      </c>
      <c r="C6650" s="545" t="s">
        <v>1790</v>
      </c>
      <c r="D6650" s="669" t="s">
        <v>386</v>
      </c>
      <c r="E6650" s="546">
        <v>635.75</v>
      </c>
    </row>
    <row r="6651" spans="2:5" x14ac:dyDescent="0.25">
      <c r="B6651" s="545">
        <v>8066</v>
      </c>
      <c r="C6651" s="545" t="s">
        <v>1904</v>
      </c>
      <c r="D6651" s="669" t="s">
        <v>386</v>
      </c>
      <c r="E6651" s="546">
        <v>640.09999600000003</v>
      </c>
    </row>
    <row r="6652" spans="2:5" x14ac:dyDescent="0.25">
      <c r="B6652" s="545">
        <v>8067</v>
      </c>
      <c r="C6652" s="545" t="s">
        <v>1962</v>
      </c>
      <c r="D6652" s="669" t="s">
        <v>386</v>
      </c>
      <c r="E6652" s="546">
        <v>642.11177299999997</v>
      </c>
    </row>
    <row r="6653" spans="2:5" x14ac:dyDescent="0.25">
      <c r="B6653" s="545">
        <v>8068</v>
      </c>
      <c r="C6653" s="545" t="s">
        <v>1424</v>
      </c>
      <c r="D6653" s="669" t="s">
        <v>386</v>
      </c>
      <c r="E6653" s="546">
        <v>642.64444300000002</v>
      </c>
    </row>
    <row r="6654" spans="2:5" x14ac:dyDescent="0.25">
      <c r="B6654" s="545">
        <v>8069</v>
      </c>
      <c r="C6654" s="545" t="s">
        <v>2129</v>
      </c>
      <c r="D6654" s="669" t="s">
        <v>386</v>
      </c>
      <c r="E6654" s="546">
        <v>649.89998800000001</v>
      </c>
    </row>
    <row r="6655" spans="2:5" x14ac:dyDescent="0.25">
      <c r="B6655" s="545">
        <v>8070</v>
      </c>
      <c r="C6655" s="545" t="s">
        <v>3609</v>
      </c>
      <c r="D6655" s="669" t="s">
        <v>385</v>
      </c>
      <c r="E6655" s="546">
        <v>722.14285700000005</v>
      </c>
    </row>
    <row r="6656" spans="2:5" x14ac:dyDescent="0.25">
      <c r="B6656" s="545">
        <v>8071</v>
      </c>
      <c r="C6656" s="545" t="s">
        <v>2298</v>
      </c>
      <c r="D6656" s="669" t="s">
        <v>385</v>
      </c>
      <c r="E6656" s="546">
        <v>657.32306800000003</v>
      </c>
    </row>
    <row r="6657" spans="2:5" x14ac:dyDescent="0.25">
      <c r="B6657" s="545">
        <v>8072</v>
      </c>
      <c r="C6657" s="545" t="s">
        <v>3001</v>
      </c>
      <c r="D6657" s="669" t="s">
        <v>385</v>
      </c>
      <c r="E6657" s="546">
        <v>690.69998799999996</v>
      </c>
    </row>
    <row r="6658" spans="2:5" x14ac:dyDescent="0.25">
      <c r="B6658" s="545">
        <v>8073</v>
      </c>
      <c r="C6658" s="545" t="s">
        <v>3329</v>
      </c>
      <c r="D6658" s="669" t="s">
        <v>385</v>
      </c>
      <c r="E6658" s="546">
        <v>707.47500600000001</v>
      </c>
    </row>
    <row r="6659" spans="2:5" x14ac:dyDescent="0.25">
      <c r="B6659" s="545">
        <v>8074</v>
      </c>
      <c r="C6659" s="545" t="s">
        <v>2213</v>
      </c>
      <c r="D6659" s="669" t="s">
        <v>385</v>
      </c>
      <c r="E6659" s="546">
        <v>653.48333700000001</v>
      </c>
    </row>
    <row r="6660" spans="2:5" x14ac:dyDescent="0.25">
      <c r="B6660" s="545">
        <v>8075</v>
      </c>
      <c r="C6660" s="545" t="s">
        <v>2134</v>
      </c>
      <c r="D6660" s="669" t="s">
        <v>385</v>
      </c>
      <c r="E6660" s="546">
        <v>650.10526000000004</v>
      </c>
    </row>
    <row r="6661" spans="2:5" x14ac:dyDescent="0.25">
      <c r="B6661" s="545">
        <v>8076</v>
      </c>
      <c r="C6661" s="545" t="s">
        <v>1826</v>
      </c>
      <c r="D6661" s="669" t="s">
        <v>385</v>
      </c>
      <c r="E6661" s="546">
        <v>636.90002400000003</v>
      </c>
    </row>
    <row r="6662" spans="2:5" x14ac:dyDescent="0.25">
      <c r="B6662" s="545">
        <v>8077</v>
      </c>
      <c r="C6662" s="545" t="s">
        <v>2108</v>
      </c>
      <c r="D6662" s="669" t="s">
        <v>385</v>
      </c>
      <c r="E6662" s="546">
        <v>663.22499100000005</v>
      </c>
    </row>
    <row r="6663" spans="2:5" x14ac:dyDescent="0.25">
      <c r="B6663" s="545">
        <v>8078</v>
      </c>
      <c r="C6663" s="545" t="s">
        <v>1204</v>
      </c>
      <c r="D6663" s="669" t="s">
        <v>385</v>
      </c>
      <c r="E6663" s="546">
        <v>641.47777599999995</v>
      </c>
    </row>
    <row r="6664" spans="2:5" x14ac:dyDescent="0.25">
      <c r="B6664" s="545">
        <v>8079</v>
      </c>
      <c r="C6664" s="545" t="s">
        <v>1426</v>
      </c>
      <c r="D6664" s="669" t="s">
        <v>385</v>
      </c>
      <c r="E6664" s="546">
        <v>636.73999600000002</v>
      </c>
    </row>
    <row r="6665" spans="2:5" x14ac:dyDescent="0.25">
      <c r="B6665" s="545">
        <v>8080</v>
      </c>
      <c r="C6665" s="545" t="s">
        <v>2619</v>
      </c>
      <c r="D6665" s="669" t="s">
        <v>385</v>
      </c>
      <c r="E6665" s="546">
        <v>672.08749399999999</v>
      </c>
    </row>
    <row r="6666" spans="2:5" x14ac:dyDescent="0.25">
      <c r="B6666" s="545">
        <v>8081</v>
      </c>
      <c r="C6666" s="545" t="s">
        <v>1915</v>
      </c>
      <c r="D6666" s="669" t="s">
        <v>385</v>
      </c>
      <c r="E6666" s="546">
        <v>640.616669</v>
      </c>
    </row>
    <row r="6667" spans="2:5" x14ac:dyDescent="0.25">
      <c r="B6667" s="545">
        <v>8082</v>
      </c>
      <c r="C6667" s="545" t="s">
        <v>1910</v>
      </c>
      <c r="D6667" s="669" t="s">
        <v>385</v>
      </c>
      <c r="E6667" s="546">
        <v>640.40666899999997</v>
      </c>
    </row>
    <row r="6668" spans="2:5" x14ac:dyDescent="0.25">
      <c r="B6668" s="545">
        <v>8083</v>
      </c>
      <c r="C6668" s="545" t="s">
        <v>1684</v>
      </c>
      <c r="D6668" s="669" t="s">
        <v>385</v>
      </c>
      <c r="E6668" s="546">
        <v>650.68888300000003</v>
      </c>
    </row>
    <row r="6669" spans="2:5" x14ac:dyDescent="0.25">
      <c r="B6669" s="545">
        <v>8084</v>
      </c>
      <c r="C6669" s="545" t="s">
        <v>2592</v>
      </c>
      <c r="D6669" s="669" t="s">
        <v>385</v>
      </c>
      <c r="E6669" s="546">
        <v>670.25714100000005</v>
      </c>
    </row>
    <row r="6670" spans="2:5" x14ac:dyDescent="0.25">
      <c r="B6670" s="545">
        <v>8085</v>
      </c>
      <c r="C6670" s="545" t="s">
        <v>3044</v>
      </c>
      <c r="D6670" s="669" t="s">
        <v>385</v>
      </c>
      <c r="E6670" s="546">
        <v>693.04614700000002</v>
      </c>
    </row>
    <row r="6671" spans="2:5" x14ac:dyDescent="0.25">
      <c r="B6671" s="545">
        <v>8086</v>
      </c>
      <c r="C6671" s="545" t="s">
        <v>2796</v>
      </c>
      <c r="D6671" s="669" t="s">
        <v>385</v>
      </c>
      <c r="E6671" s="546">
        <v>680.60000300000002</v>
      </c>
    </row>
    <row r="6672" spans="2:5" x14ac:dyDescent="0.25">
      <c r="B6672" s="545">
        <v>8087</v>
      </c>
      <c r="C6672" s="545" t="s">
        <v>2156</v>
      </c>
      <c r="D6672" s="669" t="s">
        <v>385</v>
      </c>
      <c r="E6672" s="546">
        <v>651.05001800000002</v>
      </c>
    </row>
    <row r="6673" spans="2:5" x14ac:dyDescent="0.25">
      <c r="B6673" s="545">
        <v>8088</v>
      </c>
      <c r="C6673" s="545" t="s">
        <v>2035</v>
      </c>
      <c r="D6673" s="669" t="s">
        <v>385</v>
      </c>
      <c r="E6673" s="546">
        <v>644.54998799999998</v>
      </c>
    </row>
    <row r="6674" spans="2:5" x14ac:dyDescent="0.25">
      <c r="B6674" s="545">
        <v>8089</v>
      </c>
      <c r="C6674" s="545" t="s">
        <v>2157</v>
      </c>
      <c r="D6674" s="669" t="s">
        <v>385</v>
      </c>
      <c r="E6674" s="546">
        <v>651.07000700000003</v>
      </c>
    </row>
    <row r="6675" spans="2:5" x14ac:dyDescent="0.25">
      <c r="B6675" s="545">
        <v>8090</v>
      </c>
      <c r="C6675" s="545" t="s">
        <v>3199</v>
      </c>
      <c r="D6675" s="669" t="s">
        <v>385</v>
      </c>
      <c r="E6675" s="546">
        <v>701</v>
      </c>
    </row>
    <row r="6676" spans="2:5" x14ac:dyDescent="0.25">
      <c r="B6676" s="545">
        <v>8091</v>
      </c>
      <c r="C6676" s="545" t="s">
        <v>1875</v>
      </c>
      <c r="D6676" s="669" t="s">
        <v>385</v>
      </c>
      <c r="E6676" s="546">
        <v>638.88750500000003</v>
      </c>
    </row>
    <row r="6677" spans="2:5" x14ac:dyDescent="0.25">
      <c r="B6677" s="545">
        <v>8092</v>
      </c>
      <c r="C6677" s="545" t="s">
        <v>1639</v>
      </c>
      <c r="D6677" s="669" t="s">
        <v>385</v>
      </c>
      <c r="E6677" s="546">
        <v>628.45333700000003</v>
      </c>
    </row>
    <row r="6678" spans="2:5" x14ac:dyDescent="0.25">
      <c r="B6678" s="545">
        <v>8093</v>
      </c>
      <c r="C6678" s="545" t="s">
        <v>2112</v>
      </c>
      <c r="D6678" s="669" t="s">
        <v>385</v>
      </c>
      <c r="E6678" s="546">
        <v>649.18333900000005</v>
      </c>
    </row>
    <row r="6679" spans="2:5" x14ac:dyDescent="0.25">
      <c r="B6679" s="545">
        <v>8094</v>
      </c>
      <c r="C6679" s="545" t="s">
        <v>2290</v>
      </c>
      <c r="D6679" s="669" t="s">
        <v>385</v>
      </c>
      <c r="E6679" s="546">
        <v>656.93200000000002</v>
      </c>
    </row>
    <row r="6680" spans="2:5" x14ac:dyDescent="0.25">
      <c r="B6680" s="545">
        <v>8095</v>
      </c>
      <c r="C6680" s="545" t="s">
        <v>1994</v>
      </c>
      <c r="D6680" s="669" t="s">
        <v>385</v>
      </c>
      <c r="E6680" s="546">
        <v>643.16999499999997</v>
      </c>
    </row>
    <row r="6681" spans="2:5" x14ac:dyDescent="0.25">
      <c r="B6681" s="545">
        <v>8096</v>
      </c>
      <c r="C6681" s="545" t="s">
        <v>2653</v>
      </c>
      <c r="D6681" s="669" t="s">
        <v>385</v>
      </c>
      <c r="E6681" s="546">
        <v>673.97142699999995</v>
      </c>
    </row>
    <row r="6682" spans="2:5" x14ac:dyDescent="0.25">
      <c r="B6682" s="545">
        <v>8097</v>
      </c>
      <c r="C6682" s="545" t="s">
        <v>2848</v>
      </c>
      <c r="D6682" s="669" t="s">
        <v>385</v>
      </c>
      <c r="E6682" s="546">
        <v>683.87272499999995</v>
      </c>
    </row>
    <row r="6683" spans="2:5" x14ac:dyDescent="0.25">
      <c r="B6683" s="545">
        <v>8098</v>
      </c>
      <c r="C6683" s="545" t="s">
        <v>2741</v>
      </c>
      <c r="D6683" s="669" t="s">
        <v>385</v>
      </c>
      <c r="E6683" s="546">
        <v>677.76153999999997</v>
      </c>
    </row>
    <row r="6684" spans="2:5" x14ac:dyDescent="0.25">
      <c r="B6684" s="545">
        <v>8099</v>
      </c>
      <c r="C6684" s="545" t="s">
        <v>3050</v>
      </c>
      <c r="D6684" s="669" t="s">
        <v>385</v>
      </c>
      <c r="E6684" s="546">
        <v>693.61052800000004</v>
      </c>
    </row>
    <row r="6685" spans="2:5" x14ac:dyDescent="0.25">
      <c r="B6685" s="545">
        <v>8100</v>
      </c>
      <c r="C6685" s="545" t="s">
        <v>3102</v>
      </c>
      <c r="D6685" s="669" t="s">
        <v>385</v>
      </c>
      <c r="E6685" s="546">
        <v>696.12999300000001</v>
      </c>
    </row>
    <row r="6686" spans="2:5" x14ac:dyDescent="0.25">
      <c r="B6686" s="545">
        <v>8101</v>
      </c>
      <c r="C6686" s="545" t="s">
        <v>3150</v>
      </c>
      <c r="D6686" s="669" t="s">
        <v>385</v>
      </c>
      <c r="E6686" s="546">
        <v>698.90002400000003</v>
      </c>
    </row>
    <row r="6687" spans="2:5" x14ac:dyDescent="0.25">
      <c r="B6687" s="545">
        <v>8102</v>
      </c>
      <c r="C6687" s="545" t="s">
        <v>2794</v>
      </c>
      <c r="D6687" s="669" t="s">
        <v>385</v>
      </c>
      <c r="E6687" s="546">
        <v>680.49167399999999</v>
      </c>
    </row>
    <row r="6688" spans="2:5" x14ac:dyDescent="0.25">
      <c r="B6688" s="545">
        <v>8103</v>
      </c>
      <c r="C6688" s="545" t="s">
        <v>7207</v>
      </c>
      <c r="D6688" s="669" t="s">
        <v>385</v>
      </c>
      <c r="E6688" s="546">
        <v>689.03076599999997</v>
      </c>
    </row>
    <row r="6689" spans="2:5" x14ac:dyDescent="0.25">
      <c r="B6689" s="545">
        <v>8104</v>
      </c>
      <c r="C6689" s="545" t="s">
        <v>7033</v>
      </c>
      <c r="D6689" s="669" t="s">
        <v>385</v>
      </c>
      <c r="E6689" s="546">
        <v>705.55999799999995</v>
      </c>
    </row>
    <row r="6690" spans="2:5" x14ac:dyDescent="0.25">
      <c r="B6690" s="545">
        <v>8105</v>
      </c>
      <c r="C6690" s="545" t="s">
        <v>2088</v>
      </c>
      <c r="D6690" s="669" t="s">
        <v>385</v>
      </c>
      <c r="E6690" s="546">
        <v>647.68077200000005</v>
      </c>
    </row>
    <row r="6691" spans="2:5" x14ac:dyDescent="0.25">
      <c r="B6691" s="545">
        <v>8106</v>
      </c>
      <c r="C6691" s="545" t="s">
        <v>2888</v>
      </c>
      <c r="D6691" s="669" t="s">
        <v>385</v>
      </c>
      <c r="E6691" s="546">
        <v>685.50476100000003</v>
      </c>
    </row>
    <row r="6692" spans="2:5" x14ac:dyDescent="0.25">
      <c r="B6692" s="545">
        <v>8107</v>
      </c>
      <c r="C6692" s="545" t="s">
        <v>3092</v>
      </c>
      <c r="D6692" s="669" t="s">
        <v>385</v>
      </c>
      <c r="E6692" s="546">
        <v>695.57499700000005</v>
      </c>
    </row>
    <row r="6693" spans="2:5" x14ac:dyDescent="0.25">
      <c r="B6693" s="545">
        <v>8108</v>
      </c>
      <c r="C6693" s="545" t="s">
        <v>2382</v>
      </c>
      <c r="D6693" s="669" t="s">
        <v>385</v>
      </c>
      <c r="E6693" s="546">
        <v>661.03332499999999</v>
      </c>
    </row>
    <row r="6694" spans="2:5" x14ac:dyDescent="0.25">
      <c r="B6694" s="545">
        <v>8109</v>
      </c>
      <c r="C6694" s="545" t="s">
        <v>2327</v>
      </c>
      <c r="D6694" s="669" t="s">
        <v>385</v>
      </c>
      <c r="E6694" s="546">
        <v>658.86666400000001</v>
      </c>
    </row>
    <row r="6695" spans="2:5" x14ac:dyDescent="0.25">
      <c r="B6695" s="545">
        <v>8110</v>
      </c>
      <c r="C6695" s="545" t="s">
        <v>2894</v>
      </c>
      <c r="D6695" s="669" t="s">
        <v>385</v>
      </c>
      <c r="E6695" s="546">
        <v>685.74000699999999</v>
      </c>
    </row>
    <row r="6696" spans="2:5" x14ac:dyDescent="0.25">
      <c r="B6696" s="545">
        <v>8111</v>
      </c>
      <c r="C6696" s="545" t="s">
        <v>2661</v>
      </c>
      <c r="D6696" s="669" t="s">
        <v>385</v>
      </c>
      <c r="E6696" s="546">
        <v>674.34000200000003</v>
      </c>
    </row>
    <row r="6697" spans="2:5" x14ac:dyDescent="0.25">
      <c r="B6697" s="545">
        <v>8112</v>
      </c>
      <c r="C6697" s="545" t="s">
        <v>3373</v>
      </c>
      <c r="D6697" s="669" t="s">
        <v>385</v>
      </c>
      <c r="E6697" s="546">
        <v>709.51110800000004</v>
      </c>
    </row>
    <row r="6698" spans="2:5" x14ac:dyDescent="0.25">
      <c r="B6698" s="545">
        <v>8113</v>
      </c>
      <c r="C6698" s="545" t="s">
        <v>1497</v>
      </c>
      <c r="D6698" s="669" t="s">
        <v>385</v>
      </c>
      <c r="E6698" s="546">
        <v>722.81664999999998</v>
      </c>
    </row>
    <row r="6699" spans="2:5" x14ac:dyDescent="0.25">
      <c r="B6699" s="545">
        <v>8114</v>
      </c>
      <c r="C6699" s="545" t="s">
        <v>3563</v>
      </c>
      <c r="D6699" s="669" t="s">
        <v>385</v>
      </c>
      <c r="E6699" s="546">
        <v>719.292868</v>
      </c>
    </row>
    <row r="6700" spans="2:5" x14ac:dyDescent="0.25">
      <c r="B6700" s="545">
        <v>8115</v>
      </c>
      <c r="C6700" s="545" t="s">
        <v>3710</v>
      </c>
      <c r="D6700" s="669" t="s">
        <v>385</v>
      </c>
      <c r="E6700" s="546">
        <v>757.42500299999995</v>
      </c>
    </row>
    <row r="6701" spans="2:5" x14ac:dyDescent="0.25">
      <c r="B6701" s="545">
        <v>8116</v>
      </c>
      <c r="C6701" s="545" t="s">
        <v>3900</v>
      </c>
      <c r="D6701" s="669" t="s">
        <v>385</v>
      </c>
      <c r="E6701" s="546">
        <v>738.80001200000004</v>
      </c>
    </row>
    <row r="6702" spans="2:5" x14ac:dyDescent="0.25">
      <c r="B6702" s="545">
        <v>8117</v>
      </c>
      <c r="C6702" s="545" t="s">
        <v>3496</v>
      </c>
      <c r="D6702" s="669" t="s">
        <v>385</v>
      </c>
      <c r="E6702" s="546">
        <v>715.736356</v>
      </c>
    </row>
    <row r="6703" spans="2:5" x14ac:dyDescent="0.25">
      <c r="B6703" s="545">
        <v>8118</v>
      </c>
      <c r="C6703" s="545" t="s">
        <v>4069</v>
      </c>
      <c r="D6703" s="669" t="s">
        <v>385</v>
      </c>
      <c r="E6703" s="546">
        <v>749.322225</v>
      </c>
    </row>
    <row r="6704" spans="2:5" x14ac:dyDescent="0.25">
      <c r="B6704" s="545">
        <v>8119</v>
      </c>
      <c r="C6704" s="545" t="s">
        <v>3603</v>
      </c>
      <c r="D6704" s="669" t="s">
        <v>385</v>
      </c>
      <c r="E6704" s="546">
        <v>721.60000600000001</v>
      </c>
    </row>
    <row r="6705" spans="2:5" x14ac:dyDescent="0.25">
      <c r="B6705" s="545">
        <v>8120</v>
      </c>
      <c r="C6705" s="545" t="s">
        <v>4220</v>
      </c>
      <c r="D6705" s="669" t="s">
        <v>385</v>
      </c>
      <c r="E6705" s="546">
        <v>759.21999500000004</v>
      </c>
    </row>
    <row r="6706" spans="2:5" x14ac:dyDescent="0.25">
      <c r="B6706" s="545">
        <v>8151</v>
      </c>
      <c r="C6706" s="545" t="s">
        <v>2615</v>
      </c>
      <c r="D6706" s="669" t="s">
        <v>386</v>
      </c>
      <c r="E6706" s="546">
        <v>671.75</v>
      </c>
    </row>
    <row r="6707" spans="2:5" x14ac:dyDescent="0.25">
      <c r="B6707" s="545">
        <v>8152</v>
      </c>
      <c r="C6707" s="545" t="s">
        <v>2066</v>
      </c>
      <c r="D6707" s="669" t="s">
        <v>386</v>
      </c>
      <c r="E6707" s="546">
        <v>646.10000200000002</v>
      </c>
    </row>
    <row r="6708" spans="2:5" x14ac:dyDescent="0.25">
      <c r="B6708" s="545">
        <v>8153</v>
      </c>
      <c r="C6708" s="545" t="s">
        <v>1613</v>
      </c>
      <c r="D6708" s="669" t="s">
        <v>386</v>
      </c>
      <c r="E6708" s="546">
        <v>627.12856599999998</v>
      </c>
    </row>
    <row r="6709" spans="2:5" x14ac:dyDescent="0.25">
      <c r="B6709" s="545">
        <v>8154</v>
      </c>
      <c r="C6709" s="545" t="s">
        <v>6673</v>
      </c>
      <c r="D6709" s="669" t="s">
        <v>386</v>
      </c>
      <c r="E6709" s="546">
        <v>650.34999600000003</v>
      </c>
    </row>
    <row r="6710" spans="2:5" x14ac:dyDescent="0.25">
      <c r="B6710" s="545">
        <v>8155</v>
      </c>
      <c r="C6710" s="545" t="s">
        <v>1642</v>
      </c>
      <c r="D6710" s="669" t="s">
        <v>386</v>
      </c>
      <c r="E6710" s="546">
        <v>628.66666699999996</v>
      </c>
    </row>
    <row r="6711" spans="2:5" x14ac:dyDescent="0.25">
      <c r="B6711" s="545">
        <v>8156</v>
      </c>
      <c r="C6711" s="545" t="s">
        <v>2012</v>
      </c>
      <c r="D6711" s="669" t="s">
        <v>386</v>
      </c>
      <c r="E6711" s="546">
        <v>643.78333499999997</v>
      </c>
    </row>
    <row r="6712" spans="2:5" x14ac:dyDescent="0.25">
      <c r="B6712" s="545">
        <v>8157</v>
      </c>
      <c r="C6712" s="545" t="s">
        <v>7299</v>
      </c>
      <c r="D6712" s="669" t="s">
        <v>386</v>
      </c>
      <c r="E6712" s="546">
        <v>651.20833300000004</v>
      </c>
    </row>
    <row r="6713" spans="2:5" x14ac:dyDescent="0.25">
      <c r="B6713" s="545">
        <v>8158</v>
      </c>
      <c r="C6713" s="545" t="s">
        <v>7227</v>
      </c>
      <c r="D6713" s="669" t="s">
        <v>386</v>
      </c>
      <c r="E6713" s="546">
        <v>646.07777199999998</v>
      </c>
    </row>
    <row r="6714" spans="2:5" x14ac:dyDescent="0.25">
      <c r="B6714" s="545">
        <v>8159</v>
      </c>
      <c r="C6714" s="545" t="s">
        <v>1979</v>
      </c>
      <c r="D6714" s="669" t="s">
        <v>386</v>
      </c>
      <c r="E6714" s="546">
        <v>642.67999299999997</v>
      </c>
    </row>
    <row r="6715" spans="2:5" x14ac:dyDescent="0.25">
      <c r="B6715" s="545">
        <v>8160</v>
      </c>
      <c r="C6715" s="545" t="s">
        <v>2469</v>
      </c>
      <c r="D6715" s="669" t="s">
        <v>386</v>
      </c>
      <c r="E6715" s="546">
        <v>664.75333699999999</v>
      </c>
    </row>
    <row r="6716" spans="2:5" x14ac:dyDescent="0.25">
      <c r="B6716" s="545">
        <v>8161</v>
      </c>
      <c r="C6716" s="545" t="s">
        <v>2310</v>
      </c>
      <c r="D6716" s="669" t="s">
        <v>386</v>
      </c>
      <c r="E6716" s="546">
        <v>657.77499399999999</v>
      </c>
    </row>
    <row r="6717" spans="2:5" x14ac:dyDescent="0.25">
      <c r="B6717" s="545">
        <v>8162</v>
      </c>
      <c r="C6717" s="545" t="s">
        <v>7256</v>
      </c>
      <c r="D6717" s="669" t="s">
        <v>386</v>
      </c>
      <c r="E6717" s="546">
        <v>680.73333700000001</v>
      </c>
    </row>
    <row r="6718" spans="2:5" x14ac:dyDescent="0.25">
      <c r="B6718" s="545">
        <v>8163</v>
      </c>
      <c r="C6718" s="545" t="s">
        <v>2495</v>
      </c>
      <c r="D6718" s="669" t="s">
        <v>386</v>
      </c>
      <c r="E6718" s="546">
        <v>665.55909299999996</v>
      </c>
    </row>
    <row r="6719" spans="2:5" x14ac:dyDescent="0.25">
      <c r="B6719" s="545">
        <v>8164</v>
      </c>
      <c r="C6719" s="545" t="s">
        <v>2666</v>
      </c>
      <c r="D6719" s="669" t="s">
        <v>386</v>
      </c>
      <c r="E6719" s="546">
        <v>674.5</v>
      </c>
    </row>
    <row r="6720" spans="2:5" x14ac:dyDescent="0.25">
      <c r="B6720" s="545">
        <v>8165</v>
      </c>
      <c r="C6720" s="545" t="s">
        <v>2707</v>
      </c>
      <c r="D6720" s="669" t="s">
        <v>386</v>
      </c>
      <c r="E6720" s="546">
        <v>676.128557</v>
      </c>
    </row>
    <row r="6721" spans="2:5" x14ac:dyDescent="0.25">
      <c r="B6721" s="545">
        <v>8166</v>
      </c>
      <c r="C6721" s="545" t="s">
        <v>2875</v>
      </c>
      <c r="D6721" s="669" t="s">
        <v>386</v>
      </c>
      <c r="E6721" s="546">
        <v>684.88572499999998</v>
      </c>
    </row>
    <row r="6722" spans="2:5" x14ac:dyDescent="0.25">
      <c r="B6722" s="545">
        <v>8167</v>
      </c>
      <c r="C6722" s="545" t="s">
        <v>6710</v>
      </c>
      <c r="D6722" s="669" t="s">
        <v>386</v>
      </c>
      <c r="E6722" s="546">
        <v>699.95999800000004</v>
      </c>
    </row>
    <row r="6723" spans="2:5" x14ac:dyDescent="0.25">
      <c r="B6723" s="545">
        <v>8168</v>
      </c>
      <c r="C6723" s="545" t="s">
        <v>3182</v>
      </c>
      <c r="D6723" s="669" t="s">
        <v>386</v>
      </c>
      <c r="E6723" s="546">
        <v>700.25</v>
      </c>
    </row>
    <row r="6724" spans="2:5" x14ac:dyDescent="0.25">
      <c r="B6724" s="545">
        <v>8169</v>
      </c>
      <c r="C6724" s="545" t="s">
        <v>1204</v>
      </c>
      <c r="D6724" s="669" t="s">
        <v>386</v>
      </c>
      <c r="E6724" s="546">
        <v>676.84997599999997</v>
      </c>
    </row>
    <row r="6725" spans="2:5" x14ac:dyDescent="0.25">
      <c r="B6725" s="545">
        <v>8170</v>
      </c>
      <c r="C6725" s="545" t="s">
        <v>3839</v>
      </c>
      <c r="D6725" s="669" t="s">
        <v>386</v>
      </c>
      <c r="E6725" s="546">
        <v>735.05000800000005</v>
      </c>
    </row>
    <row r="6726" spans="2:5" x14ac:dyDescent="0.25">
      <c r="B6726" s="545">
        <v>8171</v>
      </c>
      <c r="C6726" s="545" t="s">
        <v>3896</v>
      </c>
      <c r="D6726" s="669" t="s">
        <v>386</v>
      </c>
      <c r="E6726" s="546">
        <v>738.41250600000001</v>
      </c>
    </row>
    <row r="6727" spans="2:5" x14ac:dyDescent="0.25">
      <c r="B6727" s="545">
        <v>8172</v>
      </c>
      <c r="C6727" s="545" t="s">
        <v>4336</v>
      </c>
      <c r="D6727" s="669" t="s">
        <v>386</v>
      </c>
      <c r="E6727" s="546">
        <v>767.28749800000003</v>
      </c>
    </row>
    <row r="6728" spans="2:5" x14ac:dyDescent="0.25">
      <c r="B6728" s="545">
        <v>8173</v>
      </c>
      <c r="C6728" s="545" t="s">
        <v>2458</v>
      </c>
      <c r="D6728" s="669" t="s">
        <v>386</v>
      </c>
      <c r="E6728" s="546">
        <v>664.39999</v>
      </c>
    </row>
    <row r="6729" spans="2:5" x14ac:dyDescent="0.25">
      <c r="B6729" s="545">
        <v>8174</v>
      </c>
      <c r="C6729" s="545" t="s">
        <v>7006</v>
      </c>
      <c r="D6729" s="669" t="s">
        <v>386</v>
      </c>
      <c r="E6729" s="546">
        <v>669.29000199999996</v>
      </c>
    </row>
    <row r="6730" spans="2:5" x14ac:dyDescent="0.25">
      <c r="B6730" s="545">
        <v>8175</v>
      </c>
      <c r="C6730" s="545" t="s">
        <v>2879</v>
      </c>
      <c r="D6730" s="669" t="s">
        <v>386</v>
      </c>
      <c r="E6730" s="546">
        <v>685.01429099999996</v>
      </c>
    </row>
    <row r="6731" spans="2:5" x14ac:dyDescent="0.25">
      <c r="B6731" s="545">
        <v>8176</v>
      </c>
      <c r="C6731" s="545" t="s">
        <v>2749</v>
      </c>
      <c r="D6731" s="669" t="s">
        <v>386</v>
      </c>
      <c r="E6731" s="546">
        <v>678.14999399999999</v>
      </c>
    </row>
    <row r="6732" spans="2:5" x14ac:dyDescent="0.25">
      <c r="B6732" s="545">
        <v>8177</v>
      </c>
      <c r="C6732" s="545" t="s">
        <v>2563</v>
      </c>
      <c r="D6732" s="669" t="s">
        <v>386</v>
      </c>
      <c r="E6732" s="546">
        <v>717.25</v>
      </c>
    </row>
    <row r="6733" spans="2:5" x14ac:dyDescent="0.25">
      <c r="B6733" s="545">
        <v>8178</v>
      </c>
      <c r="C6733" s="545" t="s">
        <v>3488</v>
      </c>
      <c r="D6733" s="669" t="s">
        <v>386</v>
      </c>
      <c r="E6733" s="546">
        <v>715.39999699999998</v>
      </c>
    </row>
    <row r="6734" spans="2:5" x14ac:dyDescent="0.25">
      <c r="B6734" s="545">
        <v>8179</v>
      </c>
      <c r="C6734" s="545" t="s">
        <v>7322</v>
      </c>
      <c r="D6734" s="669" t="s">
        <v>386</v>
      </c>
      <c r="E6734" s="546">
        <v>738.95555300000001</v>
      </c>
    </row>
    <row r="6735" spans="2:5" x14ac:dyDescent="0.25">
      <c r="B6735" s="545">
        <v>8180</v>
      </c>
      <c r="C6735" s="545" t="s">
        <v>4434</v>
      </c>
      <c r="D6735" s="669" t="s">
        <v>386</v>
      </c>
      <c r="E6735" s="546">
        <v>775.60001599999998</v>
      </c>
    </row>
    <row r="6736" spans="2:5" x14ac:dyDescent="0.25">
      <c r="B6736" s="545">
        <v>8181</v>
      </c>
      <c r="C6736" s="545" t="s">
        <v>3097</v>
      </c>
      <c r="D6736" s="669" t="s">
        <v>386</v>
      </c>
      <c r="E6736" s="546">
        <v>695.85000600000001</v>
      </c>
    </row>
    <row r="6737" spans="2:5" x14ac:dyDescent="0.25">
      <c r="B6737" s="545">
        <v>8182</v>
      </c>
      <c r="C6737" s="545" t="s">
        <v>3051</v>
      </c>
      <c r="D6737" s="669" t="s">
        <v>386</v>
      </c>
      <c r="E6737" s="546">
        <v>693.62857499999996</v>
      </c>
    </row>
    <row r="6738" spans="2:5" x14ac:dyDescent="0.25">
      <c r="B6738" s="545">
        <v>8183</v>
      </c>
      <c r="C6738" s="545" t="s">
        <v>2496</v>
      </c>
      <c r="D6738" s="669" t="s">
        <v>386</v>
      </c>
      <c r="E6738" s="546">
        <v>665.55999799999995</v>
      </c>
    </row>
    <row r="6739" spans="2:5" x14ac:dyDescent="0.25">
      <c r="B6739" s="545">
        <v>8184</v>
      </c>
      <c r="C6739" s="545" t="s">
        <v>3123</v>
      </c>
      <c r="D6739" s="669" t="s">
        <v>386</v>
      </c>
      <c r="E6739" s="546">
        <v>697.33335399999999</v>
      </c>
    </row>
    <row r="6740" spans="2:5" x14ac:dyDescent="0.25">
      <c r="B6740" s="545">
        <v>8185</v>
      </c>
      <c r="C6740" s="545" t="s">
        <v>2383</v>
      </c>
      <c r="D6740" s="669" t="s">
        <v>386</v>
      </c>
      <c r="E6740" s="546">
        <v>661.09997599999997</v>
      </c>
    </row>
    <row r="6741" spans="2:5" x14ac:dyDescent="0.25">
      <c r="B6741" s="545">
        <v>8186</v>
      </c>
      <c r="C6741" s="545" t="s">
        <v>3451</v>
      </c>
      <c r="D6741" s="669" t="s">
        <v>386</v>
      </c>
      <c r="E6741" s="546">
        <v>713.39090199999998</v>
      </c>
    </row>
    <row r="6742" spans="2:5" x14ac:dyDescent="0.25">
      <c r="B6742" s="545">
        <v>8187</v>
      </c>
      <c r="C6742" s="545" t="s">
        <v>3292</v>
      </c>
      <c r="D6742" s="669" t="s">
        <v>386</v>
      </c>
      <c r="E6742" s="546">
        <v>705.31667100000004</v>
      </c>
    </row>
    <row r="6743" spans="2:5" x14ac:dyDescent="0.25">
      <c r="B6743" s="545">
        <v>8188</v>
      </c>
      <c r="C6743" s="545" t="s">
        <v>3908</v>
      </c>
      <c r="D6743" s="669" t="s">
        <v>386</v>
      </c>
      <c r="E6743" s="546">
        <v>739.50910499999998</v>
      </c>
    </row>
    <row r="6744" spans="2:5" x14ac:dyDescent="0.25">
      <c r="B6744" s="545">
        <v>8189</v>
      </c>
      <c r="C6744" s="545" t="s">
        <v>1873</v>
      </c>
      <c r="D6744" s="669" t="s">
        <v>386</v>
      </c>
      <c r="E6744" s="546">
        <v>745.74998500000004</v>
      </c>
    </row>
    <row r="6745" spans="2:5" x14ac:dyDescent="0.25">
      <c r="B6745" s="545">
        <v>8190</v>
      </c>
      <c r="C6745" s="545" t="s">
        <v>975</v>
      </c>
      <c r="D6745" s="669" t="s">
        <v>386</v>
      </c>
      <c r="E6745" s="546">
        <v>771.09999800000003</v>
      </c>
    </row>
    <row r="6746" spans="2:5" x14ac:dyDescent="0.25">
      <c r="B6746" s="545">
        <v>8191</v>
      </c>
      <c r="C6746" s="545" t="s">
        <v>3195</v>
      </c>
      <c r="D6746" s="669" t="s">
        <v>386</v>
      </c>
      <c r="E6746" s="546">
        <v>700.91428900000005</v>
      </c>
    </row>
    <row r="6747" spans="2:5" x14ac:dyDescent="0.25">
      <c r="B6747" s="545">
        <v>8192</v>
      </c>
      <c r="C6747" s="545" t="s">
        <v>2086</v>
      </c>
      <c r="D6747" s="669" t="s">
        <v>386</v>
      </c>
      <c r="E6747" s="546">
        <v>708.71428600000002</v>
      </c>
    </row>
    <row r="6748" spans="2:5" x14ac:dyDescent="0.25">
      <c r="B6748" s="545">
        <v>8193</v>
      </c>
      <c r="C6748" s="545" t="s">
        <v>3742</v>
      </c>
      <c r="D6748" s="669" t="s">
        <v>386</v>
      </c>
      <c r="E6748" s="546">
        <v>729.33333300000004</v>
      </c>
    </row>
    <row r="6749" spans="2:5" x14ac:dyDescent="0.25">
      <c r="B6749" s="545">
        <v>8194</v>
      </c>
      <c r="C6749" s="545" t="s">
        <v>1340</v>
      </c>
      <c r="D6749" s="669" t="s">
        <v>386</v>
      </c>
      <c r="E6749" s="546">
        <v>722.67999299999997</v>
      </c>
    </row>
    <row r="6750" spans="2:5" x14ac:dyDescent="0.25">
      <c r="B6750" s="545">
        <v>8195</v>
      </c>
      <c r="C6750" s="545" t="s">
        <v>4301</v>
      </c>
      <c r="D6750" s="669" t="s">
        <v>386</v>
      </c>
      <c r="E6750" s="546">
        <v>764.74285499999996</v>
      </c>
    </row>
    <row r="6751" spans="2:5" x14ac:dyDescent="0.25">
      <c r="B6751" s="545">
        <v>8196</v>
      </c>
      <c r="C6751" s="545" t="s">
        <v>1776</v>
      </c>
      <c r="D6751" s="669" t="s">
        <v>386</v>
      </c>
      <c r="E6751" s="546">
        <v>808.27692100000002</v>
      </c>
    </row>
    <row r="6752" spans="2:5" x14ac:dyDescent="0.25">
      <c r="B6752" s="545">
        <v>8197</v>
      </c>
      <c r="C6752" s="545" t="s">
        <v>4840</v>
      </c>
      <c r="D6752" s="669" t="s">
        <v>386</v>
      </c>
      <c r="E6752" s="546">
        <v>806.625</v>
      </c>
    </row>
    <row r="6753" spans="2:5" x14ac:dyDescent="0.25">
      <c r="B6753" s="545">
        <v>8198</v>
      </c>
      <c r="C6753" s="545" t="s">
        <v>4938</v>
      </c>
      <c r="D6753" s="669" t="s">
        <v>386</v>
      </c>
      <c r="E6753" s="546">
        <v>815.366669</v>
      </c>
    </row>
    <row r="6754" spans="2:5" x14ac:dyDescent="0.25">
      <c r="B6754" s="545">
        <v>8199</v>
      </c>
      <c r="C6754" s="545" t="s">
        <v>4266</v>
      </c>
      <c r="D6754" s="669" t="s">
        <v>386</v>
      </c>
      <c r="E6754" s="546">
        <v>762.45714499999997</v>
      </c>
    </row>
    <row r="6755" spans="2:5" x14ac:dyDescent="0.25">
      <c r="B6755" s="545">
        <v>8200</v>
      </c>
      <c r="C6755" s="545" t="s">
        <v>5001</v>
      </c>
      <c r="D6755" s="669" t="s">
        <v>386</v>
      </c>
      <c r="E6755" s="546">
        <v>823.03749800000003</v>
      </c>
    </row>
    <row r="6756" spans="2:5" x14ac:dyDescent="0.25">
      <c r="B6756" s="545">
        <v>8201</v>
      </c>
      <c r="C6756" s="545" t="s">
        <v>386</v>
      </c>
      <c r="D6756" s="669" t="s">
        <v>386</v>
      </c>
      <c r="E6756" s="546">
        <v>845.89999399999999</v>
      </c>
    </row>
    <row r="6757" spans="2:5" x14ac:dyDescent="0.25">
      <c r="B6757" s="545">
        <v>8202</v>
      </c>
      <c r="C6757" s="545" t="s">
        <v>5157</v>
      </c>
      <c r="D6757" s="669" t="s">
        <v>386</v>
      </c>
      <c r="E6757" s="546">
        <v>839.42500299999995</v>
      </c>
    </row>
    <row r="6758" spans="2:5" x14ac:dyDescent="0.25">
      <c r="B6758" s="545">
        <v>8203</v>
      </c>
      <c r="C6758" s="545" t="s">
        <v>4669</v>
      </c>
      <c r="D6758" s="669" t="s">
        <v>386</v>
      </c>
      <c r="E6758" s="546">
        <v>793.76000999999997</v>
      </c>
    </row>
    <row r="6759" spans="2:5" x14ac:dyDescent="0.25">
      <c r="B6759" s="545">
        <v>8204</v>
      </c>
      <c r="C6759" s="545" t="s">
        <v>4807</v>
      </c>
      <c r="D6759" s="669" t="s">
        <v>386</v>
      </c>
      <c r="E6759" s="546">
        <v>803.97499100000005</v>
      </c>
    </row>
    <row r="6760" spans="2:5" x14ac:dyDescent="0.25">
      <c r="B6760" s="545">
        <v>8205</v>
      </c>
      <c r="C6760" s="545" t="s">
        <v>1101</v>
      </c>
      <c r="D6760" s="669" t="s">
        <v>386</v>
      </c>
      <c r="E6760" s="546">
        <v>834.17999299999997</v>
      </c>
    </row>
    <row r="6761" spans="2:5" x14ac:dyDescent="0.25">
      <c r="B6761" s="545">
        <v>8206</v>
      </c>
      <c r="C6761" s="545" t="s">
        <v>6737</v>
      </c>
      <c r="D6761" s="669" t="s">
        <v>386</v>
      </c>
      <c r="E6761" s="546">
        <v>844.04286400000001</v>
      </c>
    </row>
    <row r="6762" spans="2:5" x14ac:dyDescent="0.25">
      <c r="B6762" s="545">
        <v>8207</v>
      </c>
      <c r="C6762" s="545" t="s">
        <v>5276</v>
      </c>
      <c r="D6762" s="669" t="s">
        <v>386</v>
      </c>
      <c r="E6762" s="546">
        <v>857.379999</v>
      </c>
    </row>
    <row r="6763" spans="2:5" x14ac:dyDescent="0.25">
      <c r="B6763" s="545">
        <v>8208</v>
      </c>
      <c r="C6763" s="545" t="s">
        <v>4345</v>
      </c>
      <c r="D6763" s="669" t="s">
        <v>386</v>
      </c>
      <c r="E6763" s="546">
        <v>767.78749800000003</v>
      </c>
    </row>
    <row r="6764" spans="2:5" x14ac:dyDescent="0.25">
      <c r="B6764" s="545">
        <v>8209</v>
      </c>
      <c r="C6764" s="545" t="s">
        <v>4488</v>
      </c>
      <c r="D6764" s="669" t="s">
        <v>386</v>
      </c>
      <c r="E6764" s="546">
        <v>779.09999100000005</v>
      </c>
    </row>
    <row r="6765" spans="2:5" x14ac:dyDescent="0.25">
      <c r="B6765" s="545">
        <v>8210</v>
      </c>
      <c r="C6765" s="545" t="s">
        <v>4717</v>
      </c>
      <c r="D6765" s="669" t="s">
        <v>386</v>
      </c>
      <c r="E6765" s="546">
        <v>797.58000500000003</v>
      </c>
    </row>
    <row r="6766" spans="2:5" x14ac:dyDescent="0.25">
      <c r="B6766" s="545">
        <v>8211</v>
      </c>
      <c r="C6766" s="545" t="s">
        <v>5038</v>
      </c>
      <c r="D6766" s="669" t="s">
        <v>386</v>
      </c>
      <c r="E6766" s="546">
        <v>826.53334600000005</v>
      </c>
    </row>
    <row r="6767" spans="2:5" x14ac:dyDescent="0.25">
      <c r="B6767" s="545">
        <v>8212</v>
      </c>
      <c r="C6767" s="545" t="s">
        <v>4975</v>
      </c>
      <c r="D6767" s="669" t="s">
        <v>386</v>
      </c>
      <c r="E6767" s="546">
        <v>819.77999899999998</v>
      </c>
    </row>
    <row r="6768" spans="2:5" x14ac:dyDescent="0.25">
      <c r="B6768" s="545">
        <v>8213</v>
      </c>
      <c r="C6768" s="545" t="s">
        <v>5176</v>
      </c>
      <c r="D6768" s="669" t="s">
        <v>386</v>
      </c>
      <c r="E6768" s="546">
        <v>841.80000800000005</v>
      </c>
    </row>
    <row r="6769" spans="2:5" x14ac:dyDescent="0.25">
      <c r="B6769" s="545">
        <v>8214</v>
      </c>
      <c r="C6769" s="545" t="s">
        <v>4541</v>
      </c>
      <c r="D6769" s="669" t="s">
        <v>386</v>
      </c>
      <c r="E6769" s="546">
        <v>783.09167000000002</v>
      </c>
    </row>
    <row r="6770" spans="2:5" x14ac:dyDescent="0.25">
      <c r="B6770" s="545">
        <v>8215</v>
      </c>
      <c r="C6770" s="545" t="s">
        <v>5023</v>
      </c>
      <c r="D6770" s="669" t="s">
        <v>386</v>
      </c>
      <c r="E6770" s="546">
        <v>825.02173900000003</v>
      </c>
    </row>
    <row r="6771" spans="2:5" x14ac:dyDescent="0.25">
      <c r="B6771" s="545">
        <v>8216</v>
      </c>
      <c r="C6771" s="545" t="s">
        <v>4733</v>
      </c>
      <c r="D6771" s="669" t="s">
        <v>386</v>
      </c>
      <c r="E6771" s="546">
        <v>799.13334099999997</v>
      </c>
    </row>
    <row r="6772" spans="2:5" x14ac:dyDescent="0.25">
      <c r="B6772" s="545">
        <v>8217</v>
      </c>
      <c r="C6772" s="545" t="s">
        <v>4730</v>
      </c>
      <c r="D6772" s="669" t="s">
        <v>386</v>
      </c>
      <c r="E6772" s="546">
        <v>798.73333700000001</v>
      </c>
    </row>
    <row r="6773" spans="2:5" x14ac:dyDescent="0.25">
      <c r="B6773" s="545">
        <v>8218</v>
      </c>
      <c r="C6773" s="545" t="s">
        <v>5072</v>
      </c>
      <c r="D6773" s="669" t="s">
        <v>386</v>
      </c>
      <c r="E6773" s="546">
        <v>830.82000700000003</v>
      </c>
    </row>
    <row r="6774" spans="2:5" x14ac:dyDescent="0.25">
      <c r="B6774" s="545">
        <v>8219</v>
      </c>
      <c r="C6774" s="545" t="s">
        <v>3230</v>
      </c>
      <c r="D6774" s="669" t="s">
        <v>386</v>
      </c>
      <c r="E6774" s="546">
        <v>702.61333400000001</v>
      </c>
    </row>
    <row r="6775" spans="2:5" x14ac:dyDescent="0.25">
      <c r="B6775" s="545">
        <v>8220</v>
      </c>
      <c r="C6775" s="545" t="s">
        <v>7037</v>
      </c>
      <c r="D6775" s="669" t="s">
        <v>386</v>
      </c>
      <c r="E6775" s="546">
        <v>660.54998799999998</v>
      </c>
    </row>
    <row r="6776" spans="2:5" x14ac:dyDescent="0.25">
      <c r="B6776" s="545">
        <v>8221</v>
      </c>
      <c r="C6776" s="545" t="s">
        <v>3461</v>
      </c>
      <c r="D6776" s="669" t="s">
        <v>386</v>
      </c>
      <c r="E6776" s="546">
        <v>713.93333900000005</v>
      </c>
    </row>
    <row r="6777" spans="2:5" x14ac:dyDescent="0.25">
      <c r="B6777" s="545">
        <v>8222</v>
      </c>
      <c r="C6777" s="545" t="s">
        <v>4335</v>
      </c>
      <c r="D6777" s="669" t="s">
        <v>386</v>
      </c>
      <c r="E6777" s="546">
        <v>767.22499800000003</v>
      </c>
    </row>
    <row r="6778" spans="2:5" x14ac:dyDescent="0.25">
      <c r="B6778" s="545">
        <v>8223</v>
      </c>
      <c r="C6778" s="545" t="s">
        <v>4032</v>
      </c>
      <c r="D6778" s="669" t="s">
        <v>386</v>
      </c>
      <c r="E6778" s="546">
        <v>746.94443799999999</v>
      </c>
    </row>
    <row r="6779" spans="2:5" x14ac:dyDescent="0.25">
      <c r="B6779" s="545">
        <v>8224</v>
      </c>
      <c r="C6779" s="545" t="s">
        <v>4194</v>
      </c>
      <c r="D6779" s="669" t="s">
        <v>386</v>
      </c>
      <c r="E6779" s="546">
        <v>757.14286600000003</v>
      </c>
    </row>
    <row r="6780" spans="2:5" x14ac:dyDescent="0.25">
      <c r="B6780" s="545">
        <v>8225</v>
      </c>
      <c r="C6780" s="545" t="s">
        <v>3710</v>
      </c>
      <c r="D6780" s="669" t="s">
        <v>386</v>
      </c>
      <c r="E6780" s="546">
        <v>779.72000700000001</v>
      </c>
    </row>
    <row r="6781" spans="2:5" x14ac:dyDescent="0.25">
      <c r="B6781" s="545">
        <v>8226</v>
      </c>
      <c r="C6781" s="545" t="s">
        <v>5111</v>
      </c>
      <c r="D6781" s="669" t="s">
        <v>386</v>
      </c>
      <c r="E6781" s="546">
        <v>834.51764600000001</v>
      </c>
    </row>
    <row r="6782" spans="2:5" x14ac:dyDescent="0.25">
      <c r="B6782" s="545">
        <v>8227</v>
      </c>
      <c r="C6782" s="545" t="s">
        <v>4698</v>
      </c>
      <c r="D6782" s="669" t="s">
        <v>386</v>
      </c>
      <c r="E6782" s="546">
        <v>795.56666600000005</v>
      </c>
    </row>
    <row r="6783" spans="2:5" x14ac:dyDescent="0.25">
      <c r="B6783" s="545">
        <v>8228</v>
      </c>
      <c r="C6783" s="545" t="s">
        <v>5209</v>
      </c>
      <c r="D6783" s="669" t="s">
        <v>386</v>
      </c>
      <c r="E6783" s="546">
        <v>846.75</v>
      </c>
    </row>
    <row r="6784" spans="2:5" x14ac:dyDescent="0.25">
      <c r="B6784" s="545">
        <v>8229</v>
      </c>
      <c r="C6784" s="545" t="s">
        <v>4293</v>
      </c>
      <c r="D6784" s="669" t="s">
        <v>386</v>
      </c>
      <c r="E6784" s="546">
        <v>804.75</v>
      </c>
    </row>
    <row r="6785" spans="2:5" x14ac:dyDescent="0.25">
      <c r="B6785" s="545">
        <v>8230</v>
      </c>
      <c r="C6785" s="545" t="s">
        <v>5201</v>
      </c>
      <c r="D6785" s="669" t="s">
        <v>386</v>
      </c>
      <c r="E6785" s="546">
        <v>845.69090100000005</v>
      </c>
    </row>
    <row r="6786" spans="2:5" x14ac:dyDescent="0.25">
      <c r="B6786" s="545">
        <v>8231</v>
      </c>
      <c r="C6786" s="545" t="s">
        <v>6683</v>
      </c>
      <c r="D6786" s="669" t="s">
        <v>386</v>
      </c>
      <c r="E6786" s="546">
        <v>788.31666099999995</v>
      </c>
    </row>
    <row r="6787" spans="2:5" x14ac:dyDescent="0.25">
      <c r="B6787" s="545">
        <v>8232</v>
      </c>
      <c r="C6787" s="545" t="s">
        <v>7506</v>
      </c>
      <c r="D6787" s="669" t="s">
        <v>386</v>
      </c>
      <c r="E6787" s="546">
        <v>775.76000999999997</v>
      </c>
    </row>
    <row r="6788" spans="2:5" x14ac:dyDescent="0.25">
      <c r="B6788" s="545">
        <v>8233</v>
      </c>
      <c r="C6788" s="545" t="s">
        <v>4961</v>
      </c>
      <c r="D6788" s="669" t="s">
        <v>386</v>
      </c>
      <c r="E6788" s="546">
        <v>817.883331</v>
      </c>
    </row>
    <row r="6789" spans="2:5" x14ac:dyDescent="0.25">
      <c r="B6789" s="545">
        <v>8234</v>
      </c>
      <c r="C6789" s="545" t="s">
        <v>5379</v>
      </c>
      <c r="D6789" s="669" t="s">
        <v>386</v>
      </c>
      <c r="E6789" s="546">
        <v>874.82857000000001</v>
      </c>
    </row>
    <row r="6790" spans="2:5" x14ac:dyDescent="0.25">
      <c r="B6790" s="545">
        <v>8235</v>
      </c>
      <c r="C6790" s="545" t="s">
        <v>5434</v>
      </c>
      <c r="D6790" s="669" t="s">
        <v>386</v>
      </c>
      <c r="E6790" s="546">
        <v>884.95714499999997</v>
      </c>
    </row>
    <row r="6791" spans="2:5" x14ac:dyDescent="0.25">
      <c r="B6791" s="545">
        <v>8236</v>
      </c>
      <c r="C6791" s="545" t="s">
        <v>7049</v>
      </c>
      <c r="D6791" s="669" t="s">
        <v>386</v>
      </c>
      <c r="E6791" s="546">
        <v>854.77999899999998</v>
      </c>
    </row>
    <row r="6792" spans="2:5" x14ac:dyDescent="0.25">
      <c r="B6792" s="545">
        <v>8237</v>
      </c>
      <c r="C6792" s="545" t="s">
        <v>5104</v>
      </c>
      <c r="D6792" s="669" t="s">
        <v>386</v>
      </c>
      <c r="E6792" s="546">
        <v>833.73333700000001</v>
      </c>
    </row>
    <row r="6793" spans="2:5" x14ac:dyDescent="0.25">
      <c r="B6793" s="545">
        <v>8238</v>
      </c>
      <c r="C6793" s="545" t="s">
        <v>5264</v>
      </c>
      <c r="D6793" s="669" t="s">
        <v>386</v>
      </c>
      <c r="E6793" s="546">
        <v>855.73332700000003</v>
      </c>
    </row>
    <row r="6794" spans="2:5" x14ac:dyDescent="0.25">
      <c r="B6794" s="545">
        <v>8239</v>
      </c>
      <c r="C6794" s="545" t="s">
        <v>5167</v>
      </c>
      <c r="D6794" s="669" t="s">
        <v>386</v>
      </c>
      <c r="E6794" s="546">
        <v>840.39999799999998</v>
      </c>
    </row>
    <row r="6795" spans="2:5" x14ac:dyDescent="0.25">
      <c r="B6795" s="545">
        <v>8240</v>
      </c>
      <c r="C6795" s="545" t="s">
        <v>4869</v>
      </c>
      <c r="D6795" s="669" t="s">
        <v>386</v>
      </c>
      <c r="E6795" s="546">
        <v>845.96667500000001</v>
      </c>
    </row>
    <row r="6796" spans="2:5" x14ac:dyDescent="0.25">
      <c r="B6796" s="545">
        <v>8241</v>
      </c>
      <c r="C6796" s="545" t="s">
        <v>4092</v>
      </c>
      <c r="D6796" s="669" t="s">
        <v>386</v>
      </c>
      <c r="E6796" s="546">
        <v>821.70001200000002</v>
      </c>
    </row>
    <row r="6797" spans="2:5" x14ac:dyDescent="0.25">
      <c r="B6797" s="545">
        <v>8242</v>
      </c>
      <c r="C6797" s="545" t="s">
        <v>4558</v>
      </c>
      <c r="D6797" s="669" t="s">
        <v>386</v>
      </c>
      <c r="E6797" s="546">
        <v>819.10000600000001</v>
      </c>
    </row>
    <row r="6798" spans="2:5" x14ac:dyDescent="0.25">
      <c r="B6798" s="545">
        <v>8243</v>
      </c>
      <c r="C6798" s="545" t="s">
        <v>5107</v>
      </c>
      <c r="D6798" s="669" t="s">
        <v>386</v>
      </c>
      <c r="E6798" s="546">
        <v>834.02497900000003</v>
      </c>
    </row>
    <row r="6799" spans="2:5" x14ac:dyDescent="0.25">
      <c r="B6799" s="545">
        <v>8244</v>
      </c>
      <c r="C6799" s="545" t="s">
        <v>1293</v>
      </c>
      <c r="D6799" s="669" t="s">
        <v>386</v>
      </c>
      <c r="E6799" s="546">
        <v>824.95001200000002</v>
      </c>
    </row>
    <row r="6800" spans="2:5" x14ac:dyDescent="0.25">
      <c r="B6800" s="545">
        <v>8245</v>
      </c>
      <c r="C6800" s="545" t="s">
        <v>5085</v>
      </c>
      <c r="D6800" s="669" t="s">
        <v>386</v>
      </c>
      <c r="E6800" s="546">
        <v>831.53000499999996</v>
      </c>
    </row>
    <row r="6801" spans="2:5" x14ac:dyDescent="0.25">
      <c r="B6801" s="545">
        <v>8251</v>
      </c>
      <c r="C6801" s="545" t="s">
        <v>2705</v>
      </c>
      <c r="D6801" s="669" t="s">
        <v>377</v>
      </c>
      <c r="E6801" s="546">
        <v>828.68332899999996</v>
      </c>
    </row>
    <row r="6802" spans="2:5" x14ac:dyDescent="0.25">
      <c r="B6802" s="545">
        <v>8252</v>
      </c>
      <c r="C6802" s="545" t="s">
        <v>4601</v>
      </c>
      <c r="D6802" s="669" t="s">
        <v>377</v>
      </c>
      <c r="E6802" s="546">
        <v>788.05833399999995</v>
      </c>
    </row>
    <row r="6803" spans="2:5" x14ac:dyDescent="0.25">
      <c r="B6803" s="545">
        <v>8253</v>
      </c>
      <c r="C6803" s="545" t="s">
        <v>6931</v>
      </c>
      <c r="D6803" s="669" t="s">
        <v>377</v>
      </c>
      <c r="E6803" s="546">
        <v>788.79998799999998</v>
      </c>
    </row>
    <row r="6804" spans="2:5" x14ac:dyDescent="0.25">
      <c r="B6804" s="545">
        <v>8254</v>
      </c>
      <c r="C6804" s="545" t="s">
        <v>4301</v>
      </c>
      <c r="D6804" s="669" t="s">
        <v>377</v>
      </c>
      <c r="E6804" s="546">
        <v>786.91109900000004</v>
      </c>
    </row>
    <row r="6805" spans="2:5" x14ac:dyDescent="0.25">
      <c r="B6805" s="545">
        <v>8255</v>
      </c>
      <c r="C6805" s="545" t="s">
        <v>4554</v>
      </c>
      <c r="D6805" s="669" t="s">
        <v>377</v>
      </c>
      <c r="E6805" s="546">
        <v>784.14999399999999</v>
      </c>
    </row>
    <row r="6806" spans="2:5" x14ac:dyDescent="0.25">
      <c r="B6806" s="545">
        <v>8256</v>
      </c>
      <c r="C6806" s="545" t="s">
        <v>5095</v>
      </c>
      <c r="D6806" s="669" t="s">
        <v>377</v>
      </c>
      <c r="E6806" s="546">
        <v>832.55999799999995</v>
      </c>
    </row>
    <row r="6807" spans="2:5" x14ac:dyDescent="0.25">
      <c r="B6807" s="545">
        <v>8257</v>
      </c>
      <c r="C6807" s="545" t="s">
        <v>5349</v>
      </c>
      <c r="D6807" s="669" t="s">
        <v>377</v>
      </c>
      <c r="E6807" s="546">
        <v>870.63332100000002</v>
      </c>
    </row>
    <row r="6808" spans="2:5" x14ac:dyDescent="0.25">
      <c r="B6808" s="545">
        <v>8258</v>
      </c>
      <c r="C6808" s="545" t="s">
        <v>5191</v>
      </c>
      <c r="D6808" s="669" t="s">
        <v>377</v>
      </c>
      <c r="E6808" s="546">
        <v>844.67498799999998</v>
      </c>
    </row>
    <row r="6809" spans="2:5" x14ac:dyDescent="0.25">
      <c r="B6809" s="545">
        <v>8259</v>
      </c>
      <c r="C6809" s="545" t="s">
        <v>6955</v>
      </c>
      <c r="D6809" s="669" t="s">
        <v>377</v>
      </c>
      <c r="E6809" s="546">
        <v>802.83334400000001</v>
      </c>
    </row>
    <row r="6810" spans="2:5" x14ac:dyDescent="0.25">
      <c r="B6810" s="545">
        <v>8260</v>
      </c>
      <c r="C6810" s="545" t="s">
        <v>4780</v>
      </c>
      <c r="D6810" s="669" t="s">
        <v>377</v>
      </c>
      <c r="E6810" s="546">
        <v>802.13333499999999</v>
      </c>
    </row>
    <row r="6811" spans="2:5" x14ac:dyDescent="0.25">
      <c r="B6811" s="545">
        <v>8261</v>
      </c>
      <c r="C6811" s="545" t="s">
        <v>2805</v>
      </c>
      <c r="D6811" s="669" t="s">
        <v>377</v>
      </c>
      <c r="E6811" s="546">
        <v>798.32499700000005</v>
      </c>
    </row>
    <row r="6812" spans="2:5" x14ac:dyDescent="0.25">
      <c r="B6812" s="545">
        <v>8262</v>
      </c>
      <c r="C6812" s="545" t="s">
        <v>4496</v>
      </c>
      <c r="D6812" s="669" t="s">
        <v>377</v>
      </c>
      <c r="E6812" s="546">
        <v>779.860004</v>
      </c>
    </row>
    <row r="6813" spans="2:5" x14ac:dyDescent="0.25">
      <c r="B6813" s="545">
        <v>8263</v>
      </c>
      <c r="C6813" s="545" t="s">
        <v>4930</v>
      </c>
      <c r="D6813" s="669" t="s">
        <v>377</v>
      </c>
      <c r="E6813" s="546">
        <v>814.89999399999999</v>
      </c>
    </row>
    <row r="6814" spans="2:5" x14ac:dyDescent="0.25">
      <c r="B6814" s="545">
        <v>8264</v>
      </c>
      <c r="C6814" s="545" t="s">
        <v>4869</v>
      </c>
      <c r="D6814" s="669" t="s">
        <v>377</v>
      </c>
      <c r="E6814" s="546">
        <v>808.70000500000003</v>
      </c>
    </row>
    <row r="6815" spans="2:5" x14ac:dyDescent="0.25">
      <c r="B6815" s="545">
        <v>8265</v>
      </c>
      <c r="C6815" s="545" t="s">
        <v>4688</v>
      </c>
      <c r="D6815" s="669" t="s">
        <v>377</v>
      </c>
      <c r="E6815" s="546">
        <v>795.00000599999998</v>
      </c>
    </row>
    <row r="6816" spans="2:5" x14ac:dyDescent="0.25">
      <c r="B6816" s="545">
        <v>8266</v>
      </c>
      <c r="C6816" s="545" t="s">
        <v>4470</v>
      </c>
      <c r="D6816" s="669" t="s">
        <v>377</v>
      </c>
      <c r="E6816" s="546">
        <v>778.125</v>
      </c>
    </row>
    <row r="6817" spans="2:5" x14ac:dyDescent="0.25">
      <c r="B6817" s="545">
        <v>8267</v>
      </c>
      <c r="C6817" s="545" t="s">
        <v>4525</v>
      </c>
      <c r="D6817" s="669" t="s">
        <v>377</v>
      </c>
      <c r="E6817" s="546">
        <v>781.44999700000005</v>
      </c>
    </row>
    <row r="6818" spans="2:5" x14ac:dyDescent="0.25">
      <c r="B6818" s="545">
        <v>8268</v>
      </c>
      <c r="C6818" s="545" t="s">
        <v>4176</v>
      </c>
      <c r="D6818" s="669" t="s">
        <v>377</v>
      </c>
      <c r="E6818" s="546">
        <v>760.09999900000003</v>
      </c>
    </row>
    <row r="6819" spans="2:5" x14ac:dyDescent="0.25">
      <c r="B6819" s="545">
        <v>8269</v>
      </c>
      <c r="C6819" s="545" t="s">
        <v>4523</v>
      </c>
      <c r="D6819" s="669" t="s">
        <v>377</v>
      </c>
      <c r="E6819" s="546">
        <v>781.24999000000003</v>
      </c>
    </row>
    <row r="6820" spans="2:5" x14ac:dyDescent="0.25">
      <c r="B6820" s="545">
        <v>8270</v>
      </c>
      <c r="C6820" s="545" t="s">
        <v>4242</v>
      </c>
      <c r="D6820" s="669" t="s">
        <v>377</v>
      </c>
      <c r="E6820" s="546">
        <v>760.47692400000005</v>
      </c>
    </row>
    <row r="6821" spans="2:5" x14ac:dyDescent="0.25">
      <c r="B6821" s="545">
        <v>8271</v>
      </c>
      <c r="C6821" s="545" t="s">
        <v>6480</v>
      </c>
      <c r="D6821" s="669" t="s">
        <v>377</v>
      </c>
      <c r="E6821" s="546">
        <v>760.35556399999996</v>
      </c>
    </row>
    <row r="6822" spans="2:5" x14ac:dyDescent="0.25">
      <c r="B6822" s="545">
        <v>8272</v>
      </c>
      <c r="C6822" s="545" t="s">
        <v>4476</v>
      </c>
      <c r="D6822" s="669" t="s">
        <v>377</v>
      </c>
      <c r="E6822" s="546">
        <v>778.50000699999998</v>
      </c>
    </row>
    <row r="6823" spans="2:5" x14ac:dyDescent="0.25">
      <c r="B6823" s="545">
        <v>8273</v>
      </c>
      <c r="C6823" s="545" t="s">
        <v>3334</v>
      </c>
      <c r="D6823" s="669" t="s">
        <v>377</v>
      </c>
      <c r="E6823" s="546">
        <v>768.46363399999996</v>
      </c>
    </row>
    <row r="6824" spans="2:5" x14ac:dyDescent="0.25">
      <c r="B6824" s="545">
        <v>8274</v>
      </c>
      <c r="C6824" s="545" t="s">
        <v>2191</v>
      </c>
      <c r="D6824" s="669" t="s">
        <v>377</v>
      </c>
      <c r="E6824" s="546">
        <v>740.114284</v>
      </c>
    </row>
    <row r="6825" spans="2:5" x14ac:dyDescent="0.25">
      <c r="B6825" s="545">
        <v>8275</v>
      </c>
      <c r="C6825" s="545" t="s">
        <v>3935</v>
      </c>
      <c r="D6825" s="669" t="s">
        <v>377</v>
      </c>
      <c r="E6825" s="546">
        <v>740.81001000000003</v>
      </c>
    </row>
    <row r="6826" spans="2:5" x14ac:dyDescent="0.25">
      <c r="B6826" s="545">
        <v>8276</v>
      </c>
      <c r="C6826" s="545" t="s">
        <v>4314</v>
      </c>
      <c r="D6826" s="669" t="s">
        <v>377</v>
      </c>
      <c r="E6826" s="546">
        <v>765.79998799999998</v>
      </c>
    </row>
    <row r="6827" spans="2:5" x14ac:dyDescent="0.25">
      <c r="B6827" s="545">
        <v>8277</v>
      </c>
      <c r="C6827" s="545" t="s">
        <v>4122</v>
      </c>
      <c r="D6827" s="669" t="s">
        <v>377</v>
      </c>
      <c r="E6827" s="546">
        <v>752.15000399999997</v>
      </c>
    </row>
    <row r="6828" spans="2:5" x14ac:dyDescent="0.25">
      <c r="B6828" s="545">
        <v>8278</v>
      </c>
      <c r="C6828" s="545" t="s">
        <v>3623</v>
      </c>
      <c r="D6828" s="669" t="s">
        <v>377</v>
      </c>
      <c r="E6828" s="546">
        <v>723.30832399999997</v>
      </c>
    </row>
    <row r="6829" spans="2:5" x14ac:dyDescent="0.25">
      <c r="B6829" s="545">
        <v>8279</v>
      </c>
      <c r="C6829" s="545" t="s">
        <v>2470</v>
      </c>
      <c r="D6829" s="669" t="s">
        <v>377</v>
      </c>
      <c r="E6829" s="546">
        <v>664.79999799999996</v>
      </c>
    </row>
    <row r="6830" spans="2:5" x14ac:dyDescent="0.25">
      <c r="B6830" s="545">
        <v>8280</v>
      </c>
      <c r="C6830" s="545" t="s">
        <v>6681</v>
      </c>
      <c r="D6830" s="669" t="s">
        <v>377</v>
      </c>
      <c r="E6830" s="546">
        <v>790.29333099999997</v>
      </c>
    </row>
    <row r="6831" spans="2:5" x14ac:dyDescent="0.25">
      <c r="B6831" s="545">
        <v>8281</v>
      </c>
      <c r="C6831" s="545" t="s">
        <v>3133</v>
      </c>
      <c r="D6831" s="669" t="s">
        <v>377</v>
      </c>
      <c r="E6831" s="546">
        <v>789.14000199999998</v>
      </c>
    </row>
    <row r="6832" spans="2:5" x14ac:dyDescent="0.25">
      <c r="B6832" s="545">
        <v>8282</v>
      </c>
      <c r="C6832" s="545" t="s">
        <v>4712</v>
      </c>
      <c r="D6832" s="669" t="s">
        <v>377</v>
      </c>
      <c r="E6832" s="546">
        <v>797.13332800000001</v>
      </c>
    </row>
    <row r="6833" spans="2:5" x14ac:dyDescent="0.25">
      <c r="B6833" s="545">
        <v>8283</v>
      </c>
      <c r="C6833" s="545" t="s">
        <v>4731</v>
      </c>
      <c r="D6833" s="669" t="s">
        <v>377</v>
      </c>
      <c r="E6833" s="546">
        <v>798.80000099999995</v>
      </c>
    </row>
    <row r="6834" spans="2:5" x14ac:dyDescent="0.25">
      <c r="B6834" s="545">
        <v>8284</v>
      </c>
      <c r="C6834" s="545" t="s">
        <v>3806</v>
      </c>
      <c r="D6834" s="669" t="s">
        <v>377</v>
      </c>
      <c r="E6834" s="546">
        <v>823.95001200000002</v>
      </c>
    </row>
    <row r="6835" spans="2:5" x14ac:dyDescent="0.25">
      <c r="B6835" s="545">
        <v>8285</v>
      </c>
      <c r="C6835" s="545" t="s">
        <v>4737</v>
      </c>
      <c r="D6835" s="669" t="s">
        <v>377</v>
      </c>
      <c r="E6835" s="546">
        <v>799.25</v>
      </c>
    </row>
    <row r="6836" spans="2:5" x14ac:dyDescent="0.25">
      <c r="B6836" s="545">
        <v>8286</v>
      </c>
      <c r="C6836" s="545" t="s">
        <v>4694</v>
      </c>
      <c r="D6836" s="669" t="s">
        <v>377</v>
      </c>
      <c r="E6836" s="546">
        <v>795.41110600000002</v>
      </c>
    </row>
    <row r="6837" spans="2:5" x14ac:dyDescent="0.25">
      <c r="B6837" s="545">
        <v>8287</v>
      </c>
      <c r="C6837" s="545" t="s">
        <v>4009</v>
      </c>
      <c r="D6837" s="669" t="s">
        <v>377</v>
      </c>
      <c r="E6837" s="546">
        <v>745.55000299999995</v>
      </c>
    </row>
    <row r="6838" spans="2:5" x14ac:dyDescent="0.25">
      <c r="B6838" s="545">
        <v>8288</v>
      </c>
      <c r="C6838" s="545" t="s">
        <v>4116</v>
      </c>
      <c r="D6838" s="669" t="s">
        <v>377</v>
      </c>
      <c r="E6838" s="546">
        <v>751.8</v>
      </c>
    </row>
    <row r="6839" spans="2:5" x14ac:dyDescent="0.25">
      <c r="B6839" s="545">
        <v>8289</v>
      </c>
      <c r="C6839" s="545" t="s">
        <v>4298</v>
      </c>
      <c r="D6839" s="669" t="s">
        <v>377</v>
      </c>
      <c r="E6839" s="546">
        <v>764.42857100000003</v>
      </c>
    </row>
    <row r="6840" spans="2:5" x14ac:dyDescent="0.25">
      <c r="B6840" s="545">
        <v>8290</v>
      </c>
      <c r="C6840" s="545" t="s">
        <v>4014</v>
      </c>
      <c r="D6840" s="669" t="s">
        <v>377</v>
      </c>
      <c r="E6840" s="546">
        <v>782.36250299999995</v>
      </c>
    </row>
    <row r="6841" spans="2:5" x14ac:dyDescent="0.25">
      <c r="B6841" s="545">
        <v>8291</v>
      </c>
      <c r="C6841" s="545" t="s">
        <v>7314</v>
      </c>
      <c r="D6841" s="669" t="s">
        <v>377</v>
      </c>
      <c r="E6841" s="546">
        <v>772.01249700000005</v>
      </c>
    </row>
    <row r="6842" spans="2:5" x14ac:dyDescent="0.25">
      <c r="B6842" s="545">
        <v>8292</v>
      </c>
      <c r="C6842" s="545" t="s">
        <v>3920</v>
      </c>
      <c r="D6842" s="669" t="s">
        <v>377</v>
      </c>
      <c r="E6842" s="546">
        <v>740.08572800000002</v>
      </c>
    </row>
    <row r="6843" spans="2:5" x14ac:dyDescent="0.25">
      <c r="B6843" s="545">
        <v>8293</v>
      </c>
      <c r="C6843" s="545" t="s">
        <v>2400</v>
      </c>
      <c r="D6843" s="669" t="s">
        <v>377</v>
      </c>
      <c r="E6843" s="546">
        <v>753.10001199999999</v>
      </c>
    </row>
    <row r="6844" spans="2:5" x14ac:dyDescent="0.25">
      <c r="B6844" s="545">
        <v>8294</v>
      </c>
      <c r="C6844" s="545" t="s">
        <v>3604</v>
      </c>
      <c r="D6844" s="669" t="s">
        <v>377</v>
      </c>
      <c r="E6844" s="546">
        <v>721.63333499999999</v>
      </c>
    </row>
    <row r="6845" spans="2:5" x14ac:dyDescent="0.25">
      <c r="B6845" s="545">
        <v>8295</v>
      </c>
      <c r="C6845" s="545" t="s">
        <v>3747</v>
      </c>
      <c r="D6845" s="669" t="s">
        <v>377</v>
      </c>
      <c r="E6845" s="546">
        <v>729.61111800000003</v>
      </c>
    </row>
    <row r="6846" spans="2:5" x14ac:dyDescent="0.25">
      <c r="B6846" s="545">
        <v>8296</v>
      </c>
      <c r="C6846" s="545" t="s">
        <v>3217</v>
      </c>
      <c r="D6846" s="669" t="s">
        <v>377</v>
      </c>
      <c r="E6846" s="546">
        <v>701.94285400000001</v>
      </c>
    </row>
    <row r="6847" spans="2:5" x14ac:dyDescent="0.25">
      <c r="B6847" s="545">
        <v>8297</v>
      </c>
      <c r="C6847" s="545" t="s">
        <v>3311</v>
      </c>
      <c r="D6847" s="669" t="s">
        <v>377</v>
      </c>
      <c r="E6847" s="546">
        <v>706.616669</v>
      </c>
    </row>
    <row r="6848" spans="2:5" x14ac:dyDescent="0.25">
      <c r="B6848" s="545">
        <v>8298</v>
      </c>
      <c r="C6848" s="545" t="s">
        <v>5481</v>
      </c>
      <c r="D6848" s="669" t="s">
        <v>377</v>
      </c>
      <c r="E6848" s="546">
        <v>893.26666299999999</v>
      </c>
    </row>
    <row r="6849" spans="2:5" x14ac:dyDescent="0.25">
      <c r="B6849" s="545">
        <v>8299</v>
      </c>
      <c r="C6849" s="545" t="s">
        <v>5332</v>
      </c>
      <c r="D6849" s="669" t="s">
        <v>377</v>
      </c>
      <c r="E6849" s="546">
        <v>867.86249499999997</v>
      </c>
    </row>
    <row r="6850" spans="2:5" x14ac:dyDescent="0.25">
      <c r="B6850" s="545">
        <v>8300</v>
      </c>
      <c r="C6850" s="545" t="s">
        <v>5117</v>
      </c>
      <c r="D6850" s="669" t="s">
        <v>377</v>
      </c>
      <c r="E6850" s="546">
        <v>835.01665800000001</v>
      </c>
    </row>
    <row r="6851" spans="2:5" x14ac:dyDescent="0.25">
      <c r="B6851" s="545">
        <v>8301</v>
      </c>
      <c r="C6851" s="545" t="s">
        <v>5078</v>
      </c>
      <c r="D6851" s="669" t="s">
        <v>377</v>
      </c>
      <c r="E6851" s="546">
        <v>831.06666099999995</v>
      </c>
    </row>
    <row r="6852" spans="2:5" x14ac:dyDescent="0.25">
      <c r="B6852" s="545">
        <v>8302</v>
      </c>
      <c r="C6852" s="545" t="s">
        <v>4773</v>
      </c>
      <c r="D6852" s="669" t="s">
        <v>377</v>
      </c>
      <c r="E6852" s="546">
        <v>801.97778700000003</v>
      </c>
    </row>
    <row r="6853" spans="2:5" x14ac:dyDescent="0.25">
      <c r="B6853" s="545">
        <v>8303</v>
      </c>
      <c r="C6853" s="545" t="s">
        <v>4814</v>
      </c>
      <c r="D6853" s="669" t="s">
        <v>377</v>
      </c>
      <c r="E6853" s="546">
        <v>804.42500299999995</v>
      </c>
    </row>
    <row r="6854" spans="2:5" x14ac:dyDescent="0.25">
      <c r="B6854" s="545">
        <v>8304</v>
      </c>
      <c r="C6854" s="545" t="s">
        <v>7538</v>
      </c>
      <c r="D6854" s="669" t="s">
        <v>377</v>
      </c>
      <c r="E6854" s="546">
        <v>787.71666500000003</v>
      </c>
    </row>
    <row r="6855" spans="2:5" x14ac:dyDescent="0.25">
      <c r="B6855" s="545">
        <v>8305</v>
      </c>
      <c r="C6855" s="545" t="s">
        <v>4573</v>
      </c>
      <c r="D6855" s="669" t="s">
        <v>377</v>
      </c>
      <c r="E6855" s="546">
        <v>786.02381800000001</v>
      </c>
    </row>
    <row r="6856" spans="2:5" x14ac:dyDescent="0.25">
      <c r="B6856" s="545">
        <v>8306</v>
      </c>
      <c r="C6856" s="545" t="s">
        <v>4438</v>
      </c>
      <c r="D6856" s="669" t="s">
        <v>377</v>
      </c>
      <c r="E6856" s="546">
        <v>775.827271</v>
      </c>
    </row>
    <row r="6857" spans="2:5" x14ac:dyDescent="0.25">
      <c r="B6857" s="545">
        <v>8307</v>
      </c>
      <c r="C6857" s="545" t="s">
        <v>4680</v>
      </c>
      <c r="D6857" s="669" t="s">
        <v>377</v>
      </c>
      <c r="E6857" s="546">
        <v>826.29998799999998</v>
      </c>
    </row>
    <row r="6858" spans="2:5" x14ac:dyDescent="0.25">
      <c r="B6858" s="545">
        <v>8308</v>
      </c>
      <c r="C6858" s="545" t="s">
        <v>4870</v>
      </c>
      <c r="D6858" s="669" t="s">
        <v>377</v>
      </c>
      <c r="E6858" s="546">
        <v>808.776475</v>
      </c>
    </row>
    <row r="6859" spans="2:5" x14ac:dyDescent="0.25">
      <c r="B6859" s="545">
        <v>8309</v>
      </c>
      <c r="C6859" s="545" t="s">
        <v>4663</v>
      </c>
      <c r="D6859" s="669" t="s">
        <v>377</v>
      </c>
      <c r="E6859" s="546">
        <v>793.19999700000005</v>
      </c>
    </row>
    <row r="6860" spans="2:5" x14ac:dyDescent="0.25">
      <c r="B6860" s="545">
        <v>8310</v>
      </c>
      <c r="C6860" s="545" t="s">
        <v>4723</v>
      </c>
      <c r="D6860" s="669" t="s">
        <v>377</v>
      </c>
      <c r="E6860" s="546">
        <v>797.71111399999995</v>
      </c>
    </row>
    <row r="6861" spans="2:5" x14ac:dyDescent="0.25">
      <c r="B6861" s="545">
        <v>8311</v>
      </c>
      <c r="C6861" s="545" t="s">
        <v>4225</v>
      </c>
      <c r="D6861" s="669" t="s">
        <v>377</v>
      </c>
      <c r="E6861" s="546">
        <v>759.58332800000005</v>
      </c>
    </row>
    <row r="6862" spans="2:5" x14ac:dyDescent="0.25">
      <c r="B6862" s="545">
        <v>8312</v>
      </c>
      <c r="C6862" s="545" t="s">
        <v>4016</v>
      </c>
      <c r="D6862" s="669" t="s">
        <v>377</v>
      </c>
      <c r="E6862" s="546">
        <v>745.95714499999997</v>
      </c>
    </row>
    <row r="6863" spans="2:5" x14ac:dyDescent="0.25">
      <c r="B6863" s="545">
        <v>8313</v>
      </c>
      <c r="C6863" s="545" t="s">
        <v>4300</v>
      </c>
      <c r="D6863" s="669" t="s">
        <v>377</v>
      </c>
      <c r="E6863" s="546">
        <v>764.65999799999997</v>
      </c>
    </row>
    <row r="6864" spans="2:5" x14ac:dyDescent="0.25">
      <c r="B6864" s="545">
        <v>8314</v>
      </c>
      <c r="C6864" s="545" t="s">
        <v>4198</v>
      </c>
      <c r="D6864" s="669" t="s">
        <v>377</v>
      </c>
      <c r="E6864" s="546">
        <v>757.60000200000002</v>
      </c>
    </row>
    <row r="6865" spans="2:5" x14ac:dyDescent="0.25">
      <c r="B6865" s="545">
        <v>8315</v>
      </c>
      <c r="C6865" s="545" t="s">
        <v>4597</v>
      </c>
      <c r="D6865" s="669" t="s">
        <v>377</v>
      </c>
      <c r="E6865" s="546">
        <v>787.72499100000005</v>
      </c>
    </row>
    <row r="6866" spans="2:5" x14ac:dyDescent="0.25">
      <c r="B6866" s="545">
        <v>8316</v>
      </c>
      <c r="C6866" s="545" t="s">
        <v>4423</v>
      </c>
      <c r="D6866" s="669" t="s">
        <v>377</v>
      </c>
      <c r="E6866" s="546">
        <v>774.47142699999995</v>
      </c>
    </row>
    <row r="6867" spans="2:5" x14ac:dyDescent="0.25">
      <c r="B6867" s="545">
        <v>8317</v>
      </c>
      <c r="C6867" s="545" t="s">
        <v>7537</v>
      </c>
      <c r="D6867" s="669" t="s">
        <v>377</v>
      </c>
      <c r="E6867" s="546">
        <v>769.32223199999999</v>
      </c>
    </row>
    <row r="6868" spans="2:5" x14ac:dyDescent="0.25">
      <c r="B6868" s="545">
        <v>8318</v>
      </c>
      <c r="C6868" s="545" t="s">
        <v>7506</v>
      </c>
      <c r="D6868" s="669" t="s">
        <v>377</v>
      </c>
      <c r="E6868" s="546">
        <v>774.97500600000001</v>
      </c>
    </row>
    <row r="6869" spans="2:5" x14ac:dyDescent="0.25">
      <c r="B6869" s="545">
        <v>8319</v>
      </c>
      <c r="C6869" s="545" t="s">
        <v>4308</v>
      </c>
      <c r="D6869" s="669" t="s">
        <v>377</v>
      </c>
      <c r="E6869" s="546">
        <v>765.15000199999997</v>
      </c>
    </row>
    <row r="6870" spans="2:5" x14ac:dyDescent="0.25">
      <c r="B6870" s="545">
        <v>8320</v>
      </c>
      <c r="C6870" s="545" t="s">
        <v>7569</v>
      </c>
      <c r="D6870" s="669" t="s">
        <v>377</v>
      </c>
      <c r="E6870" s="546">
        <v>762.740002</v>
      </c>
    </row>
    <row r="6871" spans="2:5" x14ac:dyDescent="0.25">
      <c r="B6871" s="545">
        <v>8321</v>
      </c>
      <c r="C6871" s="545" t="s">
        <v>377</v>
      </c>
      <c r="D6871" s="669" t="s">
        <v>377</v>
      </c>
      <c r="E6871" s="546">
        <v>761.10952599999996</v>
      </c>
    </row>
    <row r="6872" spans="2:5" x14ac:dyDescent="0.25">
      <c r="B6872" s="545">
        <v>8322</v>
      </c>
      <c r="C6872" s="545" t="s">
        <v>4278</v>
      </c>
      <c r="D6872" s="669" t="s">
        <v>377</v>
      </c>
      <c r="E6872" s="546">
        <v>763.42500299999995</v>
      </c>
    </row>
    <row r="6873" spans="2:5" x14ac:dyDescent="0.25">
      <c r="B6873" s="545">
        <v>8323</v>
      </c>
      <c r="C6873" s="545" t="s">
        <v>4258</v>
      </c>
      <c r="D6873" s="669" t="s">
        <v>377</v>
      </c>
      <c r="E6873" s="546">
        <v>761.82666400000005</v>
      </c>
    </row>
    <row r="6874" spans="2:5" x14ac:dyDescent="0.25">
      <c r="B6874" s="545">
        <v>8324</v>
      </c>
      <c r="C6874" s="545" t="s">
        <v>4316</v>
      </c>
      <c r="D6874" s="669" t="s">
        <v>377</v>
      </c>
      <c r="E6874" s="546">
        <v>765.90000199999997</v>
      </c>
    </row>
    <row r="6875" spans="2:5" x14ac:dyDescent="0.25">
      <c r="B6875" s="545">
        <v>8325</v>
      </c>
      <c r="C6875" s="545" t="s">
        <v>4935</v>
      </c>
      <c r="D6875" s="669" t="s">
        <v>377</v>
      </c>
      <c r="E6875" s="546">
        <v>815.23333700000001</v>
      </c>
    </row>
    <row r="6876" spans="2:5" x14ac:dyDescent="0.25">
      <c r="B6876" s="545">
        <v>8326</v>
      </c>
      <c r="C6876" s="545" t="s">
        <v>1269</v>
      </c>
      <c r="D6876" s="669" t="s">
        <v>377</v>
      </c>
      <c r="E6876" s="546">
        <v>824.01250500000003</v>
      </c>
    </row>
    <row r="6877" spans="2:5" x14ac:dyDescent="0.25">
      <c r="B6877" s="545">
        <v>8327</v>
      </c>
      <c r="C6877" s="545" t="s">
        <v>4513</v>
      </c>
      <c r="D6877" s="669" t="s">
        <v>377</v>
      </c>
      <c r="E6877" s="546">
        <v>780.65713100000005</v>
      </c>
    </row>
    <row r="6878" spans="2:5" x14ac:dyDescent="0.25">
      <c r="B6878" s="545">
        <v>8328</v>
      </c>
      <c r="C6878" s="545" t="s">
        <v>4628</v>
      </c>
      <c r="D6878" s="669" t="s">
        <v>377</v>
      </c>
      <c r="E6878" s="546">
        <v>790.79999799999996</v>
      </c>
    </row>
    <row r="6879" spans="2:5" x14ac:dyDescent="0.25">
      <c r="B6879" s="545">
        <v>8329</v>
      </c>
      <c r="C6879" s="545" t="s">
        <v>6909</v>
      </c>
      <c r="D6879" s="669" t="s">
        <v>377</v>
      </c>
      <c r="E6879" s="546">
        <v>790.55384700000002</v>
      </c>
    </row>
    <row r="6880" spans="2:5" x14ac:dyDescent="0.25">
      <c r="B6880" s="545">
        <v>8330</v>
      </c>
      <c r="C6880" s="545" t="s">
        <v>4652</v>
      </c>
      <c r="D6880" s="669" t="s">
        <v>377</v>
      </c>
      <c r="E6880" s="546">
        <v>792.57500700000003</v>
      </c>
    </row>
    <row r="6881" spans="2:5" x14ac:dyDescent="0.25">
      <c r="B6881" s="545">
        <v>8331</v>
      </c>
      <c r="C6881" s="545" t="s">
        <v>4469</v>
      </c>
      <c r="D6881" s="669" t="s">
        <v>377</v>
      </c>
      <c r="E6881" s="546">
        <v>778.11110399999995</v>
      </c>
    </row>
    <row r="6882" spans="2:5" x14ac:dyDescent="0.25">
      <c r="B6882" s="545">
        <v>8332</v>
      </c>
      <c r="C6882" s="545" t="s">
        <v>4549</v>
      </c>
      <c r="D6882" s="669" t="s">
        <v>377</v>
      </c>
      <c r="E6882" s="546">
        <v>783.96667000000002</v>
      </c>
    </row>
    <row r="6883" spans="2:5" x14ac:dyDescent="0.25">
      <c r="B6883" s="545">
        <v>8333</v>
      </c>
      <c r="C6883" s="545" t="s">
        <v>6955</v>
      </c>
      <c r="D6883" s="669" t="s">
        <v>377</v>
      </c>
      <c r="E6883" s="546">
        <v>808.63333599999999</v>
      </c>
    </row>
    <row r="6884" spans="2:5" x14ac:dyDescent="0.25">
      <c r="B6884" s="545">
        <v>8334</v>
      </c>
      <c r="C6884" s="545" t="s">
        <v>2645</v>
      </c>
      <c r="D6884" s="669" t="s">
        <v>377</v>
      </c>
      <c r="E6884" s="546">
        <v>805.11034700000005</v>
      </c>
    </row>
    <row r="6885" spans="2:5" x14ac:dyDescent="0.25">
      <c r="B6885" s="545">
        <v>8335</v>
      </c>
      <c r="C6885" s="545" t="s">
        <v>4633</v>
      </c>
      <c r="D6885" s="669" t="s">
        <v>377</v>
      </c>
      <c r="E6885" s="546">
        <v>791.00370299999997</v>
      </c>
    </row>
    <row r="6886" spans="2:5" x14ac:dyDescent="0.25">
      <c r="B6886" s="545">
        <v>8336</v>
      </c>
      <c r="C6886" s="545" t="s">
        <v>4617</v>
      </c>
      <c r="D6886" s="669" t="s">
        <v>377</v>
      </c>
      <c r="E6886" s="546">
        <v>789.24285899999995</v>
      </c>
    </row>
    <row r="6887" spans="2:5" x14ac:dyDescent="0.25">
      <c r="B6887" s="545">
        <v>8351</v>
      </c>
      <c r="C6887" s="545" t="s">
        <v>4025</v>
      </c>
      <c r="D6887" s="669" t="s">
        <v>376</v>
      </c>
      <c r="E6887" s="546">
        <v>746.70740899999998</v>
      </c>
    </row>
    <row r="6888" spans="2:5" x14ac:dyDescent="0.25">
      <c r="B6888" s="545">
        <v>8352</v>
      </c>
      <c r="C6888" s="545" t="s">
        <v>2546</v>
      </c>
      <c r="D6888" s="669" t="s">
        <v>376</v>
      </c>
      <c r="E6888" s="546">
        <v>827.14616000000001</v>
      </c>
    </row>
    <row r="6889" spans="2:5" x14ac:dyDescent="0.25">
      <c r="B6889" s="545">
        <v>8353</v>
      </c>
      <c r="C6889" s="545" t="s">
        <v>4978</v>
      </c>
      <c r="D6889" s="669" t="s">
        <v>376</v>
      </c>
      <c r="E6889" s="546">
        <v>820.14117799999997</v>
      </c>
    </row>
    <row r="6890" spans="2:5" x14ac:dyDescent="0.25">
      <c r="B6890" s="545">
        <v>8354</v>
      </c>
      <c r="C6890" s="545" t="s">
        <v>4184</v>
      </c>
      <c r="D6890" s="669" t="s">
        <v>376</v>
      </c>
      <c r="E6890" s="546">
        <v>756.14762099999996</v>
      </c>
    </row>
    <row r="6891" spans="2:5" x14ac:dyDescent="0.25">
      <c r="B6891" s="545">
        <v>8355</v>
      </c>
      <c r="C6891" s="545" t="s">
        <v>4377</v>
      </c>
      <c r="D6891" s="669" t="s">
        <v>376</v>
      </c>
      <c r="E6891" s="546">
        <v>770.29999699999996</v>
      </c>
    </row>
    <row r="6892" spans="2:5" x14ac:dyDescent="0.25">
      <c r="B6892" s="545">
        <v>8356</v>
      </c>
      <c r="C6892" s="545" t="s">
        <v>2347</v>
      </c>
      <c r="D6892" s="669" t="s">
        <v>376</v>
      </c>
      <c r="E6892" s="546">
        <v>773.42727400000001</v>
      </c>
    </row>
    <row r="6893" spans="2:5" x14ac:dyDescent="0.25">
      <c r="B6893" s="545">
        <v>8357</v>
      </c>
      <c r="C6893" s="545" t="s">
        <v>4618</v>
      </c>
      <c r="D6893" s="669" t="s">
        <v>376</v>
      </c>
      <c r="E6893" s="546">
        <v>789.30000299999995</v>
      </c>
    </row>
    <row r="6894" spans="2:5" x14ac:dyDescent="0.25">
      <c r="B6894" s="545">
        <v>8358</v>
      </c>
      <c r="C6894" s="545" t="s">
        <v>5123</v>
      </c>
      <c r="D6894" s="669" t="s">
        <v>376</v>
      </c>
      <c r="E6894" s="546">
        <v>835.66110900000001</v>
      </c>
    </row>
    <row r="6895" spans="2:5" x14ac:dyDescent="0.25">
      <c r="B6895" s="545">
        <v>8359</v>
      </c>
      <c r="C6895" s="545" t="s">
        <v>4558</v>
      </c>
      <c r="D6895" s="669" t="s">
        <v>376</v>
      </c>
      <c r="E6895" s="546">
        <v>822.01765</v>
      </c>
    </row>
    <row r="6896" spans="2:5" x14ac:dyDescent="0.25">
      <c r="B6896" s="545">
        <v>8360</v>
      </c>
      <c r="C6896" s="545" t="s">
        <v>4972</v>
      </c>
      <c r="D6896" s="669" t="s">
        <v>376</v>
      </c>
      <c r="E6896" s="546">
        <v>819.14999399999999</v>
      </c>
    </row>
    <row r="6897" spans="2:5" x14ac:dyDescent="0.25">
      <c r="B6897" s="545">
        <v>8361</v>
      </c>
      <c r="C6897" s="545" t="s">
        <v>5021</v>
      </c>
      <c r="D6897" s="669" t="s">
        <v>376</v>
      </c>
      <c r="E6897" s="546">
        <v>824.76999499999999</v>
      </c>
    </row>
    <row r="6898" spans="2:5" x14ac:dyDescent="0.25">
      <c r="B6898" s="545">
        <v>8362</v>
      </c>
      <c r="C6898" s="545" t="s">
        <v>5002</v>
      </c>
      <c r="D6898" s="669" t="s">
        <v>376</v>
      </c>
      <c r="E6898" s="546">
        <v>823.10000300000002</v>
      </c>
    </row>
    <row r="6899" spans="2:5" x14ac:dyDescent="0.25">
      <c r="B6899" s="545">
        <v>8363</v>
      </c>
      <c r="C6899" s="545" t="s">
        <v>4091</v>
      </c>
      <c r="D6899" s="669" t="s">
        <v>376</v>
      </c>
      <c r="E6899" s="546">
        <v>750.55000099999995</v>
      </c>
    </row>
    <row r="6900" spans="2:5" x14ac:dyDescent="0.25">
      <c r="B6900" s="545">
        <v>8364</v>
      </c>
      <c r="C6900" s="545" t="s">
        <v>4675</v>
      </c>
      <c r="D6900" s="669" t="s">
        <v>376</v>
      </c>
      <c r="E6900" s="546">
        <v>794.21764800000005</v>
      </c>
    </row>
    <row r="6901" spans="2:5" x14ac:dyDescent="0.25">
      <c r="B6901" s="545">
        <v>8365</v>
      </c>
      <c r="C6901" s="545" t="s">
        <v>5120</v>
      </c>
      <c r="D6901" s="669" t="s">
        <v>376</v>
      </c>
      <c r="E6901" s="546">
        <v>835.28181600000005</v>
      </c>
    </row>
    <row r="6902" spans="2:5" x14ac:dyDescent="0.25">
      <c r="B6902" s="545">
        <v>8366</v>
      </c>
      <c r="C6902" s="545" t="s">
        <v>4941</v>
      </c>
      <c r="D6902" s="669" t="s">
        <v>376</v>
      </c>
      <c r="E6902" s="546">
        <v>815.684214</v>
      </c>
    </row>
    <row r="6903" spans="2:5" x14ac:dyDescent="0.25">
      <c r="B6903" s="545">
        <v>8367</v>
      </c>
      <c r="C6903" s="545" t="s">
        <v>5045</v>
      </c>
      <c r="D6903" s="669" t="s">
        <v>376</v>
      </c>
      <c r="E6903" s="546">
        <v>827.59997599999997</v>
      </c>
    </row>
    <row r="6904" spans="2:5" x14ac:dyDescent="0.25">
      <c r="B6904" s="545">
        <v>8368</v>
      </c>
      <c r="C6904" s="545" t="s">
        <v>4993</v>
      </c>
      <c r="D6904" s="669" t="s">
        <v>376</v>
      </c>
      <c r="E6904" s="546">
        <v>822.32667200000003</v>
      </c>
    </row>
    <row r="6905" spans="2:5" x14ac:dyDescent="0.25">
      <c r="B6905" s="545">
        <v>8369</v>
      </c>
      <c r="C6905" s="545" t="s">
        <v>4747</v>
      </c>
      <c r="D6905" s="669" t="s">
        <v>376</v>
      </c>
      <c r="E6905" s="546">
        <v>799.64285700000005</v>
      </c>
    </row>
    <row r="6906" spans="2:5" x14ac:dyDescent="0.25">
      <c r="B6906" s="545">
        <v>8370</v>
      </c>
      <c r="C6906" s="545" t="s">
        <v>4120</v>
      </c>
      <c r="D6906" s="669" t="s">
        <v>376</v>
      </c>
      <c r="E6906" s="546">
        <v>752.04509700000006</v>
      </c>
    </row>
    <row r="6907" spans="2:5" x14ac:dyDescent="0.25">
      <c r="B6907" s="545">
        <v>8371</v>
      </c>
      <c r="C6907" s="545" t="s">
        <v>376</v>
      </c>
      <c r="D6907" s="669" t="s">
        <v>376</v>
      </c>
      <c r="E6907" s="546">
        <v>766.47499800000003</v>
      </c>
    </row>
    <row r="6908" spans="2:5" x14ac:dyDescent="0.25">
      <c r="B6908" s="545">
        <v>8372</v>
      </c>
      <c r="C6908" s="545" t="s">
        <v>4446</v>
      </c>
      <c r="D6908" s="669" t="s">
        <v>376</v>
      </c>
      <c r="E6908" s="546">
        <v>776.65789800000005</v>
      </c>
    </row>
    <row r="6909" spans="2:5" x14ac:dyDescent="0.25">
      <c r="B6909" s="545">
        <v>8373</v>
      </c>
      <c r="C6909" s="545" t="s">
        <v>5136</v>
      </c>
      <c r="D6909" s="669" t="s">
        <v>376</v>
      </c>
      <c r="E6909" s="546">
        <v>837.29375100000004</v>
      </c>
    </row>
    <row r="6910" spans="2:5" x14ac:dyDescent="0.25">
      <c r="B6910" s="545">
        <v>8374</v>
      </c>
      <c r="C6910" s="545" t="s">
        <v>6930</v>
      </c>
      <c r="D6910" s="669" t="s">
        <v>376</v>
      </c>
      <c r="E6910" s="546">
        <v>852.79998799999998</v>
      </c>
    </row>
    <row r="6911" spans="2:5" x14ac:dyDescent="0.25">
      <c r="B6911" s="545">
        <v>8375</v>
      </c>
      <c r="C6911" s="545" t="s">
        <v>2494</v>
      </c>
      <c r="D6911" s="669" t="s">
        <v>376</v>
      </c>
      <c r="E6911" s="546">
        <v>862.51818800000001</v>
      </c>
    </row>
    <row r="6912" spans="2:5" x14ac:dyDescent="0.25">
      <c r="B6912" s="545">
        <v>8376</v>
      </c>
      <c r="C6912" s="545" t="s">
        <v>3187</v>
      </c>
      <c r="D6912" s="669" t="s">
        <v>376</v>
      </c>
      <c r="E6912" s="546">
        <v>842.58235400000001</v>
      </c>
    </row>
    <row r="6913" spans="2:5" x14ac:dyDescent="0.25">
      <c r="B6913" s="545">
        <v>8377</v>
      </c>
      <c r="C6913" s="545" t="s">
        <v>913</v>
      </c>
      <c r="D6913" s="669" t="s">
        <v>376</v>
      </c>
      <c r="E6913" s="546">
        <v>825.60999500000003</v>
      </c>
    </row>
    <row r="6914" spans="2:5" x14ac:dyDescent="0.25">
      <c r="B6914" s="545">
        <v>8378</v>
      </c>
      <c r="C6914" s="545" t="s">
        <v>6938</v>
      </c>
      <c r="D6914" s="669" t="s">
        <v>376</v>
      </c>
      <c r="E6914" s="546">
        <v>807.20000100000004</v>
      </c>
    </row>
    <row r="6915" spans="2:5" x14ac:dyDescent="0.25">
      <c r="B6915" s="545">
        <v>8379</v>
      </c>
      <c r="C6915" s="545" t="s">
        <v>4142</v>
      </c>
      <c r="D6915" s="669" t="s">
        <v>376</v>
      </c>
      <c r="E6915" s="546">
        <v>753.57857799999999</v>
      </c>
    </row>
    <row r="6916" spans="2:5" x14ac:dyDescent="0.25">
      <c r="B6916" s="545">
        <v>8380</v>
      </c>
      <c r="C6916" s="545" t="s">
        <v>4656</v>
      </c>
      <c r="D6916" s="669" t="s">
        <v>376</v>
      </c>
      <c r="E6916" s="546">
        <v>792.67143499999997</v>
      </c>
    </row>
    <row r="6917" spans="2:5" x14ac:dyDescent="0.25">
      <c r="B6917" s="545">
        <v>8381</v>
      </c>
      <c r="C6917" s="545" t="s">
        <v>4958</v>
      </c>
      <c r="D6917" s="669" t="s">
        <v>376</v>
      </c>
      <c r="E6917" s="546">
        <v>817.30000199999995</v>
      </c>
    </row>
    <row r="6918" spans="2:5" x14ac:dyDescent="0.25">
      <c r="B6918" s="545">
        <v>8382</v>
      </c>
      <c r="C6918" s="545" t="s">
        <v>5257</v>
      </c>
      <c r="D6918" s="669" t="s">
        <v>376</v>
      </c>
      <c r="E6918" s="546">
        <v>854.58999900000003</v>
      </c>
    </row>
    <row r="6919" spans="2:5" x14ac:dyDescent="0.25">
      <c r="B6919" s="545">
        <v>8383</v>
      </c>
      <c r="C6919" s="545" t="s">
        <v>5239</v>
      </c>
      <c r="D6919" s="669" t="s">
        <v>376</v>
      </c>
      <c r="E6919" s="546">
        <v>851.88666599999999</v>
      </c>
    </row>
    <row r="6920" spans="2:5" x14ac:dyDescent="0.25">
      <c r="B6920" s="545">
        <v>8384</v>
      </c>
      <c r="C6920" s="545" t="s">
        <v>4981</v>
      </c>
      <c r="D6920" s="669" t="s">
        <v>376</v>
      </c>
      <c r="E6920" s="546">
        <v>820.5</v>
      </c>
    </row>
    <row r="6921" spans="2:5" x14ac:dyDescent="0.25">
      <c r="B6921" s="545">
        <v>8385</v>
      </c>
      <c r="C6921" s="545" t="s">
        <v>5058</v>
      </c>
      <c r="D6921" s="669" t="s">
        <v>376</v>
      </c>
      <c r="E6921" s="546">
        <v>829.12000699999999</v>
      </c>
    </row>
    <row r="6922" spans="2:5" x14ac:dyDescent="0.25">
      <c r="B6922" s="545">
        <v>8386</v>
      </c>
      <c r="C6922" s="545" t="s">
        <v>4689</v>
      </c>
      <c r="D6922" s="669" t="s">
        <v>376</v>
      </c>
      <c r="E6922" s="546">
        <v>795.11251100000004</v>
      </c>
    </row>
    <row r="6923" spans="2:5" x14ac:dyDescent="0.25">
      <c r="B6923" s="545">
        <v>8387</v>
      </c>
      <c r="C6923" s="545" t="s">
        <v>4577</v>
      </c>
      <c r="D6923" s="669" t="s">
        <v>376</v>
      </c>
      <c r="E6923" s="546">
        <v>786.44593899999995</v>
      </c>
    </row>
    <row r="6924" spans="2:5" x14ac:dyDescent="0.25">
      <c r="B6924" s="545">
        <v>8388</v>
      </c>
      <c r="C6924" s="545" t="s">
        <v>4776</v>
      </c>
      <c r="D6924" s="669" t="s">
        <v>376</v>
      </c>
      <c r="E6924" s="546">
        <v>802.01250500000003</v>
      </c>
    </row>
    <row r="6925" spans="2:5" x14ac:dyDescent="0.25">
      <c r="B6925" s="545">
        <v>8389</v>
      </c>
      <c r="C6925" s="545" t="s">
        <v>5036</v>
      </c>
      <c r="D6925" s="669" t="s">
        <v>376</v>
      </c>
      <c r="E6925" s="546">
        <v>826.45833300000004</v>
      </c>
    </row>
    <row r="6926" spans="2:5" x14ac:dyDescent="0.25">
      <c r="B6926" s="545">
        <v>8390</v>
      </c>
      <c r="C6926" s="545" t="s">
        <v>7613</v>
      </c>
      <c r="D6926" s="669" t="s">
        <v>376</v>
      </c>
      <c r="E6926" s="546">
        <v>831.42173700000001</v>
      </c>
    </row>
    <row r="6927" spans="2:5" x14ac:dyDescent="0.25">
      <c r="B6927" s="545">
        <v>8391</v>
      </c>
      <c r="C6927" s="545" t="s">
        <v>5018</v>
      </c>
      <c r="D6927" s="669" t="s">
        <v>376</v>
      </c>
      <c r="E6927" s="546">
        <v>824.27221999999995</v>
      </c>
    </row>
    <row r="6928" spans="2:5" x14ac:dyDescent="0.25">
      <c r="B6928" s="545">
        <v>8392</v>
      </c>
      <c r="C6928" s="545" t="s">
        <v>5462</v>
      </c>
      <c r="D6928" s="669" t="s">
        <v>376</v>
      </c>
      <c r="E6928" s="546">
        <v>890.41666699999996</v>
      </c>
    </row>
    <row r="6929" spans="2:5" x14ac:dyDescent="0.25">
      <c r="B6929" s="545">
        <v>8393</v>
      </c>
      <c r="C6929" s="545" t="s">
        <v>5414</v>
      </c>
      <c r="D6929" s="669" t="s">
        <v>376</v>
      </c>
      <c r="E6929" s="546">
        <v>881</v>
      </c>
    </row>
    <row r="6930" spans="2:5" x14ac:dyDescent="0.25">
      <c r="B6930" s="545">
        <v>8394</v>
      </c>
      <c r="C6930" s="545" t="s">
        <v>5020</v>
      </c>
      <c r="D6930" s="669" t="s">
        <v>376</v>
      </c>
      <c r="E6930" s="546">
        <v>824.7</v>
      </c>
    </row>
    <row r="6931" spans="2:5" x14ac:dyDescent="0.25">
      <c r="B6931" s="545">
        <v>8395</v>
      </c>
      <c r="C6931" s="545" t="s">
        <v>5184</v>
      </c>
      <c r="D6931" s="669" t="s">
        <v>376</v>
      </c>
      <c r="E6931" s="546">
        <v>843.97142699999995</v>
      </c>
    </row>
    <row r="6932" spans="2:5" x14ac:dyDescent="0.25">
      <c r="B6932" s="545">
        <v>8396</v>
      </c>
      <c r="C6932" s="545" t="s">
        <v>5498</v>
      </c>
      <c r="D6932" s="669" t="s">
        <v>376</v>
      </c>
      <c r="E6932" s="546">
        <v>895.86665900000003</v>
      </c>
    </row>
    <row r="6933" spans="2:5" x14ac:dyDescent="0.25">
      <c r="B6933" s="545">
        <v>8397</v>
      </c>
      <c r="C6933" s="545" t="s">
        <v>5004</v>
      </c>
      <c r="D6933" s="669" t="s">
        <v>376</v>
      </c>
      <c r="E6933" s="546">
        <v>823.35714299999995</v>
      </c>
    </row>
    <row r="6934" spans="2:5" x14ac:dyDescent="0.25">
      <c r="B6934" s="545">
        <v>8398</v>
      </c>
      <c r="C6934" s="545" t="s">
        <v>835</v>
      </c>
      <c r="D6934" s="669" t="s">
        <v>376</v>
      </c>
      <c r="E6934" s="546">
        <v>851.27777800000001</v>
      </c>
    </row>
    <row r="6935" spans="2:5" x14ac:dyDescent="0.25">
      <c r="B6935" s="545">
        <v>8399</v>
      </c>
      <c r="C6935" s="545" t="s">
        <v>5358</v>
      </c>
      <c r="D6935" s="669" t="s">
        <v>376</v>
      </c>
      <c r="E6935" s="546">
        <v>871.59523200000001</v>
      </c>
    </row>
    <row r="6936" spans="2:5" x14ac:dyDescent="0.25">
      <c r="B6936" s="545">
        <v>8400</v>
      </c>
      <c r="C6936" s="545" t="s">
        <v>5616</v>
      </c>
      <c r="D6936" s="669" t="s">
        <v>376</v>
      </c>
      <c r="E6936" s="546">
        <v>915.69545700000003</v>
      </c>
    </row>
    <row r="6937" spans="2:5" x14ac:dyDescent="0.25">
      <c r="B6937" s="545">
        <v>8401</v>
      </c>
      <c r="C6937" s="545" t="s">
        <v>5745</v>
      </c>
      <c r="D6937" s="669" t="s">
        <v>376</v>
      </c>
      <c r="E6937" s="546">
        <v>952.29998799999998</v>
      </c>
    </row>
    <row r="6938" spans="2:5" x14ac:dyDescent="0.25">
      <c r="B6938" s="545">
        <v>8402</v>
      </c>
      <c r="C6938" s="545" t="s">
        <v>5757</v>
      </c>
      <c r="D6938" s="669" t="s">
        <v>376</v>
      </c>
      <c r="E6938" s="546">
        <v>955.42500700000005</v>
      </c>
    </row>
    <row r="6939" spans="2:5" x14ac:dyDescent="0.25">
      <c r="B6939" s="545">
        <v>8403</v>
      </c>
      <c r="C6939" s="545" t="s">
        <v>5794</v>
      </c>
      <c r="D6939" s="669" t="s">
        <v>376</v>
      </c>
      <c r="E6939" s="546">
        <v>964.59999600000003</v>
      </c>
    </row>
    <row r="6940" spans="2:5" x14ac:dyDescent="0.25">
      <c r="B6940" s="545">
        <v>8404</v>
      </c>
      <c r="C6940" s="545" t="s">
        <v>5612</v>
      </c>
      <c r="D6940" s="669" t="s">
        <v>376</v>
      </c>
      <c r="E6940" s="546">
        <v>1007.674988</v>
      </c>
    </row>
    <row r="6941" spans="2:5" x14ac:dyDescent="0.25">
      <c r="B6941" s="545">
        <v>8405</v>
      </c>
      <c r="C6941" s="545" t="s">
        <v>5701</v>
      </c>
      <c r="D6941" s="669" t="s">
        <v>376</v>
      </c>
      <c r="E6941" s="546">
        <v>939.24545599999999</v>
      </c>
    </row>
    <row r="6942" spans="2:5" x14ac:dyDescent="0.25">
      <c r="B6942" s="545">
        <v>8406</v>
      </c>
      <c r="C6942" s="545" t="s">
        <v>5496</v>
      </c>
      <c r="D6942" s="669" t="s">
        <v>376</v>
      </c>
      <c r="E6942" s="546">
        <v>894.91428900000005</v>
      </c>
    </row>
    <row r="6943" spans="2:5" x14ac:dyDescent="0.25">
      <c r="B6943" s="545">
        <v>8407</v>
      </c>
      <c r="C6943" s="545" t="s">
        <v>7055</v>
      </c>
      <c r="D6943" s="669" t="s">
        <v>376</v>
      </c>
      <c r="E6943" s="546">
        <v>952.72499800000003</v>
      </c>
    </row>
    <row r="6944" spans="2:5" x14ac:dyDescent="0.25">
      <c r="B6944" s="545">
        <v>8408</v>
      </c>
      <c r="C6944" s="545" t="s">
        <v>5781</v>
      </c>
      <c r="D6944" s="669" t="s">
        <v>376</v>
      </c>
      <c r="E6944" s="546">
        <v>960.98000500000001</v>
      </c>
    </row>
    <row r="6945" spans="2:5" x14ac:dyDescent="0.25">
      <c r="B6945" s="545">
        <v>8409</v>
      </c>
      <c r="C6945" s="545" t="s">
        <v>7439</v>
      </c>
      <c r="D6945" s="669" t="s">
        <v>376</v>
      </c>
      <c r="E6945" s="546">
        <v>932.32499700000005</v>
      </c>
    </row>
    <row r="6946" spans="2:5" x14ac:dyDescent="0.25">
      <c r="B6946" s="545">
        <v>8410</v>
      </c>
      <c r="C6946" s="545" t="s">
        <v>5665</v>
      </c>
      <c r="D6946" s="669" t="s">
        <v>376</v>
      </c>
      <c r="E6946" s="546">
        <v>929.48124299999995</v>
      </c>
    </row>
    <row r="6947" spans="2:5" x14ac:dyDescent="0.25">
      <c r="B6947" s="545">
        <v>8411</v>
      </c>
      <c r="C6947" s="545" t="s">
        <v>5907</v>
      </c>
      <c r="D6947" s="669" t="s">
        <v>376</v>
      </c>
      <c r="E6947" s="546">
        <v>1002.827271</v>
      </c>
    </row>
    <row r="6948" spans="2:5" x14ac:dyDescent="0.25">
      <c r="B6948" s="545">
        <v>8412</v>
      </c>
      <c r="C6948" s="545" t="s">
        <v>5944</v>
      </c>
      <c r="D6948" s="669" t="s">
        <v>376</v>
      </c>
      <c r="E6948" s="546">
        <v>1024.0999879999999</v>
      </c>
    </row>
    <row r="6949" spans="2:5" x14ac:dyDescent="0.25">
      <c r="B6949" s="545">
        <v>8413</v>
      </c>
      <c r="C6949" s="545" t="s">
        <v>5931</v>
      </c>
      <c r="D6949" s="669" t="s">
        <v>376</v>
      </c>
      <c r="E6949" s="546">
        <v>1015.724998</v>
      </c>
    </row>
    <row r="6950" spans="2:5" x14ac:dyDescent="0.25">
      <c r="B6950" s="545">
        <v>8414</v>
      </c>
      <c r="C6950" s="545" t="s">
        <v>5844</v>
      </c>
      <c r="D6950" s="669" t="s">
        <v>376</v>
      </c>
      <c r="E6950" s="546">
        <v>980.46001000000001</v>
      </c>
    </row>
    <row r="6951" spans="2:5" x14ac:dyDescent="0.25">
      <c r="B6951" s="545">
        <v>8451</v>
      </c>
      <c r="C6951" s="545" t="s">
        <v>4358</v>
      </c>
      <c r="D6951" s="669" t="s">
        <v>379</v>
      </c>
      <c r="E6951" s="546">
        <v>808.32856100000004</v>
      </c>
    </row>
    <row r="6952" spans="2:5" x14ac:dyDescent="0.25">
      <c r="B6952" s="545">
        <v>8452</v>
      </c>
      <c r="C6952" s="545" t="s">
        <v>2445</v>
      </c>
      <c r="D6952" s="669" t="s">
        <v>379</v>
      </c>
      <c r="E6952" s="546">
        <v>805.98749499999997</v>
      </c>
    </row>
    <row r="6953" spans="2:5" x14ac:dyDescent="0.25">
      <c r="B6953" s="545">
        <v>8453</v>
      </c>
      <c r="C6953" s="545" t="s">
        <v>4764</v>
      </c>
      <c r="D6953" s="669" t="s">
        <v>379</v>
      </c>
      <c r="E6953" s="546">
        <v>801.21428600000002</v>
      </c>
    </row>
    <row r="6954" spans="2:5" x14ac:dyDescent="0.25">
      <c r="B6954" s="545">
        <v>8454</v>
      </c>
      <c r="C6954" s="545" t="s">
        <v>5032</v>
      </c>
      <c r="D6954" s="669" t="s">
        <v>379</v>
      </c>
      <c r="E6954" s="546">
        <v>826.03333899999996</v>
      </c>
    </row>
    <row r="6955" spans="2:5" x14ac:dyDescent="0.25">
      <c r="B6955" s="545">
        <v>8455</v>
      </c>
      <c r="C6955" s="545" t="s">
        <v>7596</v>
      </c>
      <c r="D6955" s="669" t="s">
        <v>379</v>
      </c>
      <c r="E6955" s="546">
        <v>790.27999299999999</v>
      </c>
    </row>
    <row r="6956" spans="2:5" x14ac:dyDescent="0.25">
      <c r="B6956" s="545">
        <v>8456</v>
      </c>
      <c r="C6956" s="545" t="s">
        <v>4919</v>
      </c>
      <c r="D6956" s="669" t="s">
        <v>379</v>
      </c>
      <c r="E6956" s="546">
        <v>814.01999499999999</v>
      </c>
    </row>
    <row r="6957" spans="2:5" x14ac:dyDescent="0.25">
      <c r="B6957" s="545">
        <v>8457</v>
      </c>
      <c r="C6957" s="545" t="s">
        <v>4671</v>
      </c>
      <c r="D6957" s="669" t="s">
        <v>379</v>
      </c>
      <c r="E6957" s="546">
        <v>793.85000600000001</v>
      </c>
    </row>
    <row r="6958" spans="2:5" x14ac:dyDescent="0.25">
      <c r="B6958" s="545">
        <v>8458</v>
      </c>
      <c r="C6958" s="545" t="s">
        <v>4368</v>
      </c>
      <c r="D6958" s="669" t="s">
        <v>379</v>
      </c>
      <c r="E6958" s="546">
        <v>812.54999399999997</v>
      </c>
    </row>
    <row r="6959" spans="2:5" x14ac:dyDescent="0.25">
      <c r="B6959" s="545">
        <v>8459</v>
      </c>
      <c r="C6959" s="545" t="s">
        <v>4398</v>
      </c>
      <c r="D6959" s="669" t="s">
        <v>379</v>
      </c>
      <c r="E6959" s="546">
        <v>772.08181500000001</v>
      </c>
    </row>
    <row r="6960" spans="2:5" x14ac:dyDescent="0.25">
      <c r="B6960" s="545">
        <v>8460</v>
      </c>
      <c r="C6960" s="545" t="s">
        <v>7542</v>
      </c>
      <c r="D6960" s="669" t="s">
        <v>379</v>
      </c>
      <c r="E6960" s="546">
        <v>788.02857300000005</v>
      </c>
    </row>
    <row r="6961" spans="2:5" x14ac:dyDescent="0.25">
      <c r="B6961" s="545">
        <v>8461</v>
      </c>
      <c r="C6961" s="545" t="s">
        <v>5292</v>
      </c>
      <c r="D6961" s="669" t="s">
        <v>379</v>
      </c>
      <c r="E6961" s="546">
        <v>859.91818000000001</v>
      </c>
    </row>
    <row r="6962" spans="2:5" x14ac:dyDescent="0.25">
      <c r="B6962" s="545">
        <v>8462</v>
      </c>
      <c r="C6962" s="545" t="s">
        <v>5198</v>
      </c>
      <c r="D6962" s="669" t="s">
        <v>379</v>
      </c>
      <c r="E6962" s="546">
        <v>845.48000500000001</v>
      </c>
    </row>
    <row r="6963" spans="2:5" x14ac:dyDescent="0.25">
      <c r="B6963" s="545">
        <v>8463</v>
      </c>
      <c r="C6963" s="545" t="s">
        <v>5189</v>
      </c>
      <c r="D6963" s="669" t="s">
        <v>379</v>
      </c>
      <c r="E6963" s="546">
        <v>844.66665899999998</v>
      </c>
    </row>
    <row r="6964" spans="2:5" x14ac:dyDescent="0.25">
      <c r="B6964" s="545">
        <v>8464</v>
      </c>
      <c r="C6964" s="545" t="s">
        <v>6848</v>
      </c>
      <c r="D6964" s="669" t="s">
        <v>379</v>
      </c>
      <c r="E6964" s="546">
        <v>870.31999499999995</v>
      </c>
    </row>
    <row r="6965" spans="2:5" x14ac:dyDescent="0.25">
      <c r="B6965" s="545">
        <v>8465</v>
      </c>
      <c r="C6965" s="545" t="s">
        <v>2919</v>
      </c>
      <c r="D6965" s="669" t="s">
        <v>379</v>
      </c>
      <c r="E6965" s="546">
        <v>855.25453900000002</v>
      </c>
    </row>
    <row r="6966" spans="2:5" x14ac:dyDescent="0.25">
      <c r="B6966" s="545">
        <v>8466</v>
      </c>
      <c r="C6966" s="545" t="s">
        <v>5050</v>
      </c>
      <c r="D6966" s="669" t="s">
        <v>379</v>
      </c>
      <c r="E6966" s="546">
        <v>867.60000600000001</v>
      </c>
    </row>
    <row r="6967" spans="2:5" x14ac:dyDescent="0.25">
      <c r="B6967" s="545">
        <v>8467</v>
      </c>
      <c r="C6967" s="545" t="s">
        <v>4301</v>
      </c>
      <c r="D6967" s="669" t="s">
        <v>379</v>
      </c>
      <c r="E6967" s="546">
        <v>844.55000299999995</v>
      </c>
    </row>
    <row r="6968" spans="2:5" x14ac:dyDescent="0.25">
      <c r="B6968" s="545">
        <v>8468</v>
      </c>
      <c r="C6968" s="545" t="s">
        <v>5196</v>
      </c>
      <c r="D6968" s="669" t="s">
        <v>379</v>
      </c>
      <c r="E6968" s="546">
        <v>845.39999399999999</v>
      </c>
    </row>
    <row r="6969" spans="2:5" x14ac:dyDescent="0.25">
      <c r="B6969" s="545">
        <v>8469</v>
      </c>
      <c r="C6969" s="545" t="s">
        <v>6957</v>
      </c>
      <c r="D6969" s="669" t="s">
        <v>379</v>
      </c>
      <c r="E6969" s="546">
        <v>863.61999500000002</v>
      </c>
    </row>
    <row r="6970" spans="2:5" x14ac:dyDescent="0.25">
      <c r="B6970" s="545">
        <v>8470</v>
      </c>
      <c r="C6970" s="545" t="s">
        <v>5308</v>
      </c>
      <c r="D6970" s="669" t="s">
        <v>379</v>
      </c>
      <c r="E6970" s="546">
        <v>863.25556099999994</v>
      </c>
    </row>
    <row r="6971" spans="2:5" x14ac:dyDescent="0.25">
      <c r="B6971" s="545">
        <v>8471</v>
      </c>
      <c r="C6971" s="545" t="s">
        <v>7026</v>
      </c>
      <c r="D6971" s="669" t="s">
        <v>379</v>
      </c>
      <c r="E6971" s="546">
        <v>876.70000500000003</v>
      </c>
    </row>
    <row r="6972" spans="2:5" x14ac:dyDescent="0.25">
      <c r="B6972" s="545">
        <v>8472</v>
      </c>
      <c r="C6972" s="545" t="s">
        <v>5357</v>
      </c>
      <c r="D6972" s="669" t="s">
        <v>379</v>
      </c>
      <c r="E6972" s="546">
        <v>871.44999700000005</v>
      </c>
    </row>
    <row r="6973" spans="2:5" x14ac:dyDescent="0.25">
      <c r="B6973" s="545">
        <v>8473</v>
      </c>
      <c r="C6973" s="545" t="s">
        <v>5166</v>
      </c>
      <c r="D6973" s="669" t="s">
        <v>379</v>
      </c>
      <c r="E6973" s="546">
        <v>840.133331</v>
      </c>
    </row>
    <row r="6974" spans="2:5" x14ac:dyDescent="0.25">
      <c r="B6974" s="545">
        <v>8474</v>
      </c>
      <c r="C6974" s="545" t="s">
        <v>5178</v>
      </c>
      <c r="D6974" s="669" t="s">
        <v>379</v>
      </c>
      <c r="E6974" s="546">
        <v>842.23333700000001</v>
      </c>
    </row>
    <row r="6975" spans="2:5" x14ac:dyDescent="0.25">
      <c r="B6975" s="545">
        <v>8475</v>
      </c>
      <c r="C6975" s="545" t="s">
        <v>1525</v>
      </c>
      <c r="D6975" s="669" t="s">
        <v>379</v>
      </c>
      <c r="E6975" s="546">
        <v>889.32500500000003</v>
      </c>
    </row>
    <row r="6976" spans="2:5" x14ac:dyDescent="0.25">
      <c r="B6976" s="545">
        <v>8476</v>
      </c>
      <c r="C6976" s="545" t="s">
        <v>5410</v>
      </c>
      <c r="D6976" s="669" t="s">
        <v>379</v>
      </c>
      <c r="E6976" s="546">
        <v>880.23999000000003</v>
      </c>
    </row>
    <row r="6977" spans="2:5" x14ac:dyDescent="0.25">
      <c r="B6977" s="545">
        <v>8477</v>
      </c>
      <c r="C6977" s="545" t="s">
        <v>5613</v>
      </c>
      <c r="D6977" s="669" t="s">
        <v>379</v>
      </c>
      <c r="E6977" s="546">
        <v>914.80714599999999</v>
      </c>
    </row>
    <row r="6978" spans="2:5" x14ac:dyDescent="0.25">
      <c r="B6978" s="545">
        <v>8478</v>
      </c>
      <c r="C6978" s="545" t="s">
        <v>1315</v>
      </c>
      <c r="D6978" s="669" t="s">
        <v>379</v>
      </c>
      <c r="E6978" s="546">
        <v>882.69999199999995</v>
      </c>
    </row>
    <row r="6979" spans="2:5" x14ac:dyDescent="0.25">
      <c r="B6979" s="545">
        <v>8479</v>
      </c>
      <c r="C6979" s="545" t="s">
        <v>5485</v>
      </c>
      <c r="D6979" s="669" t="s">
        <v>379</v>
      </c>
      <c r="E6979" s="546">
        <v>893.7</v>
      </c>
    </row>
    <row r="6980" spans="2:5" x14ac:dyDescent="0.25">
      <c r="B6980" s="545">
        <v>8480</v>
      </c>
      <c r="C6980" s="545" t="s">
        <v>379</v>
      </c>
      <c r="D6980" s="669" t="s">
        <v>379</v>
      </c>
      <c r="E6980" s="546">
        <v>865.85000300000002</v>
      </c>
    </row>
    <row r="6981" spans="2:5" x14ac:dyDescent="0.25">
      <c r="B6981" s="545">
        <v>8481</v>
      </c>
      <c r="C6981" s="545" t="s">
        <v>1579</v>
      </c>
      <c r="D6981" s="669" t="s">
        <v>379</v>
      </c>
      <c r="E6981" s="546">
        <v>855.73333700000001</v>
      </c>
    </row>
    <row r="6982" spans="2:5" x14ac:dyDescent="0.25">
      <c r="B6982" s="545">
        <v>8482</v>
      </c>
      <c r="C6982" s="545" t="s">
        <v>3488</v>
      </c>
      <c r="D6982" s="669" t="s">
        <v>379</v>
      </c>
      <c r="E6982" s="546">
        <v>839.70000300000004</v>
      </c>
    </row>
    <row r="6983" spans="2:5" x14ac:dyDescent="0.25">
      <c r="B6983" s="545">
        <v>8483</v>
      </c>
      <c r="C6983" s="545" t="s">
        <v>5438</v>
      </c>
      <c r="D6983" s="669" t="s">
        <v>379</v>
      </c>
      <c r="E6983" s="546">
        <v>885.60909200000003</v>
      </c>
    </row>
    <row r="6984" spans="2:5" x14ac:dyDescent="0.25">
      <c r="B6984" s="545">
        <v>8484</v>
      </c>
      <c r="C6984" s="545" t="s">
        <v>5567</v>
      </c>
      <c r="D6984" s="669" t="s">
        <v>379</v>
      </c>
      <c r="E6984" s="546">
        <v>906.83683699999995</v>
      </c>
    </row>
    <row r="6985" spans="2:5" x14ac:dyDescent="0.25">
      <c r="B6985" s="545">
        <v>8485</v>
      </c>
      <c r="C6985" s="545" t="s">
        <v>6672</v>
      </c>
      <c r="D6985" s="669" t="s">
        <v>379</v>
      </c>
      <c r="E6985" s="546">
        <v>887.97500600000001</v>
      </c>
    </row>
    <row r="6986" spans="2:5" x14ac:dyDescent="0.25">
      <c r="B6986" s="545">
        <v>8486</v>
      </c>
      <c r="C6986" s="545" t="s">
        <v>5504</v>
      </c>
      <c r="D6986" s="669" t="s">
        <v>379</v>
      </c>
      <c r="E6986" s="546">
        <v>896.19999199999995</v>
      </c>
    </row>
    <row r="6987" spans="2:5" x14ac:dyDescent="0.25">
      <c r="B6987" s="545">
        <v>8487</v>
      </c>
      <c r="C6987" s="545" t="s">
        <v>5363</v>
      </c>
      <c r="D6987" s="669" t="s">
        <v>379</v>
      </c>
      <c r="E6987" s="546">
        <v>873.39999399999999</v>
      </c>
    </row>
    <row r="6988" spans="2:5" x14ac:dyDescent="0.25">
      <c r="B6988" s="545">
        <v>8488</v>
      </c>
      <c r="C6988" s="545" t="s">
        <v>5348</v>
      </c>
      <c r="D6988" s="669" t="s">
        <v>379</v>
      </c>
      <c r="E6988" s="546">
        <v>870.14999399999999</v>
      </c>
    </row>
    <row r="6989" spans="2:5" x14ac:dyDescent="0.25">
      <c r="B6989" s="545">
        <v>8489</v>
      </c>
      <c r="C6989" s="545" t="s">
        <v>1042</v>
      </c>
      <c r="D6989" s="669" t="s">
        <v>379</v>
      </c>
      <c r="E6989" s="546">
        <v>891.65000399999997</v>
      </c>
    </row>
    <row r="6990" spans="2:5" x14ac:dyDescent="0.25">
      <c r="B6990" s="545">
        <v>8490</v>
      </c>
      <c r="C6990" s="545" t="s">
        <v>7539</v>
      </c>
      <c r="D6990" s="669" t="s">
        <v>379</v>
      </c>
      <c r="E6990" s="546">
        <v>909.09166500000003</v>
      </c>
    </row>
    <row r="6991" spans="2:5" x14ac:dyDescent="0.25">
      <c r="B6991" s="545">
        <v>8491</v>
      </c>
      <c r="C6991" s="545" t="s">
        <v>5505</v>
      </c>
      <c r="D6991" s="669" t="s">
        <v>379</v>
      </c>
      <c r="E6991" s="546">
        <v>896.25</v>
      </c>
    </row>
    <row r="6992" spans="2:5" x14ac:dyDescent="0.25">
      <c r="B6992" s="545">
        <v>8492</v>
      </c>
      <c r="C6992" s="545" t="s">
        <v>5697</v>
      </c>
      <c r="D6992" s="669" t="s">
        <v>379</v>
      </c>
      <c r="E6992" s="546">
        <v>938.57499700000005</v>
      </c>
    </row>
    <row r="6993" spans="2:5" x14ac:dyDescent="0.25">
      <c r="B6993" s="545">
        <v>8493</v>
      </c>
      <c r="C6993" s="545" t="s">
        <v>5880</v>
      </c>
      <c r="D6993" s="669" t="s">
        <v>379</v>
      </c>
      <c r="E6993" s="546">
        <v>992.52002000000005</v>
      </c>
    </row>
    <row r="6994" spans="2:5" x14ac:dyDescent="0.25">
      <c r="B6994" s="545">
        <v>8494</v>
      </c>
      <c r="C6994" s="545" t="s">
        <v>5776</v>
      </c>
      <c r="D6994" s="669" t="s">
        <v>379</v>
      </c>
      <c r="E6994" s="546">
        <v>960.57777899999996</v>
      </c>
    </row>
    <row r="6995" spans="2:5" x14ac:dyDescent="0.25">
      <c r="B6995" s="545">
        <v>8495</v>
      </c>
      <c r="C6995" s="545" t="s">
        <v>7448</v>
      </c>
      <c r="D6995" s="669" t="s">
        <v>379</v>
      </c>
      <c r="E6995" s="546">
        <v>939.94167100000004</v>
      </c>
    </row>
    <row r="6996" spans="2:5" x14ac:dyDescent="0.25">
      <c r="B6996" s="545">
        <v>8497</v>
      </c>
      <c r="C6996" s="545" t="s">
        <v>5661</v>
      </c>
      <c r="D6996" s="669" t="s">
        <v>379</v>
      </c>
      <c r="E6996" s="546">
        <v>927.77000399999997</v>
      </c>
    </row>
    <row r="6997" spans="2:5" x14ac:dyDescent="0.25">
      <c r="B6997" s="545">
        <v>8498</v>
      </c>
      <c r="C6997" s="545" t="s">
        <v>3284</v>
      </c>
      <c r="D6997" s="669" t="s">
        <v>379</v>
      </c>
      <c r="E6997" s="546">
        <v>952.00000999999997</v>
      </c>
    </row>
    <row r="6998" spans="2:5" x14ac:dyDescent="0.25">
      <c r="B6998" s="545">
        <v>8499</v>
      </c>
      <c r="C6998" s="545" t="s">
        <v>1433</v>
      </c>
      <c r="D6998" s="669" t="s">
        <v>379</v>
      </c>
      <c r="E6998" s="546">
        <v>963.375</v>
      </c>
    </row>
    <row r="6999" spans="2:5" x14ac:dyDescent="0.25">
      <c r="B6999" s="545">
        <v>8500</v>
      </c>
      <c r="C6999" s="545" t="s">
        <v>5537</v>
      </c>
      <c r="D6999" s="669" t="s">
        <v>379</v>
      </c>
      <c r="E6999" s="546">
        <v>901.65832999999998</v>
      </c>
    </row>
    <row r="7000" spans="2:5" x14ac:dyDescent="0.25">
      <c r="B7000" s="545">
        <v>8501</v>
      </c>
      <c r="C7000" s="545" t="s">
        <v>5649</v>
      </c>
      <c r="D7000" s="669" t="s">
        <v>379</v>
      </c>
      <c r="E7000" s="546">
        <v>925.02726600000005</v>
      </c>
    </row>
    <row r="7001" spans="2:5" x14ac:dyDescent="0.25">
      <c r="B7001" s="545">
        <v>8502</v>
      </c>
      <c r="C7001" s="545" t="s">
        <v>5723</v>
      </c>
      <c r="D7001" s="669" t="s">
        <v>379</v>
      </c>
      <c r="E7001" s="546">
        <v>945.80000399999994</v>
      </c>
    </row>
    <row r="7002" spans="2:5" x14ac:dyDescent="0.25">
      <c r="B7002" s="545">
        <v>8551</v>
      </c>
      <c r="C7002" s="545" t="s">
        <v>4813</v>
      </c>
      <c r="D7002" s="669" t="s">
        <v>372</v>
      </c>
      <c r="E7002" s="546">
        <v>804.40909099999999</v>
      </c>
    </row>
    <row r="7003" spans="2:5" x14ac:dyDescent="0.25">
      <c r="B7003" s="545">
        <v>8552</v>
      </c>
      <c r="C7003" s="545" t="s">
        <v>1445</v>
      </c>
      <c r="D7003" s="669" t="s">
        <v>372</v>
      </c>
      <c r="E7003" s="546">
        <v>795.07778599999995</v>
      </c>
    </row>
    <row r="7004" spans="2:5" x14ac:dyDescent="0.25">
      <c r="B7004" s="545">
        <v>8553</v>
      </c>
      <c r="C7004" s="545" t="s">
        <v>4859</v>
      </c>
      <c r="D7004" s="669" t="s">
        <v>372</v>
      </c>
      <c r="E7004" s="546">
        <v>808.07777899999996</v>
      </c>
    </row>
    <row r="7005" spans="2:5" x14ac:dyDescent="0.25">
      <c r="B7005" s="545">
        <v>8554</v>
      </c>
      <c r="C7005" s="545" t="s">
        <v>4787</v>
      </c>
      <c r="D7005" s="669" t="s">
        <v>372</v>
      </c>
      <c r="E7005" s="546">
        <v>802.55999799999995</v>
      </c>
    </row>
    <row r="7006" spans="2:5" x14ac:dyDescent="0.25">
      <c r="B7006" s="545">
        <v>8555</v>
      </c>
      <c r="C7006" s="545" t="s">
        <v>4665</v>
      </c>
      <c r="D7006" s="669" t="s">
        <v>372</v>
      </c>
      <c r="E7006" s="546">
        <v>793.23999000000003</v>
      </c>
    </row>
    <row r="7007" spans="2:5" x14ac:dyDescent="0.25">
      <c r="B7007" s="545">
        <v>8556</v>
      </c>
      <c r="C7007" s="545" t="s">
        <v>6501</v>
      </c>
      <c r="D7007" s="669" t="s">
        <v>372</v>
      </c>
      <c r="E7007" s="546">
        <v>810.42999899999995</v>
      </c>
    </row>
    <row r="7008" spans="2:5" x14ac:dyDescent="0.25">
      <c r="B7008" s="545">
        <v>8557</v>
      </c>
      <c r="C7008" s="545" t="s">
        <v>4872</v>
      </c>
      <c r="D7008" s="669" t="s">
        <v>372</v>
      </c>
      <c r="E7008" s="546">
        <v>809.17856700000004</v>
      </c>
    </row>
    <row r="7009" spans="2:5" x14ac:dyDescent="0.25">
      <c r="B7009" s="545">
        <v>8558</v>
      </c>
      <c r="C7009" s="545" t="s">
        <v>5098</v>
      </c>
      <c r="D7009" s="669" t="s">
        <v>372</v>
      </c>
      <c r="E7009" s="546">
        <v>832.72000100000002</v>
      </c>
    </row>
    <row r="7010" spans="2:5" x14ac:dyDescent="0.25">
      <c r="B7010" s="545">
        <v>8559</v>
      </c>
      <c r="C7010" s="545" t="s">
        <v>5015</v>
      </c>
      <c r="D7010" s="669" t="s">
        <v>372</v>
      </c>
      <c r="E7010" s="546">
        <v>824.15000399999997</v>
      </c>
    </row>
    <row r="7011" spans="2:5" x14ac:dyDescent="0.25">
      <c r="B7011" s="545">
        <v>8560</v>
      </c>
      <c r="C7011" s="545" t="s">
        <v>4808</v>
      </c>
      <c r="D7011" s="669" t="s">
        <v>372</v>
      </c>
      <c r="E7011" s="546">
        <v>804.04283799999996</v>
      </c>
    </row>
    <row r="7012" spans="2:5" x14ac:dyDescent="0.25">
      <c r="B7012" s="545">
        <v>8561</v>
      </c>
      <c r="C7012" s="545" t="s">
        <v>5050</v>
      </c>
      <c r="D7012" s="669" t="s">
        <v>372</v>
      </c>
      <c r="E7012" s="546">
        <v>828.375</v>
      </c>
    </row>
    <row r="7013" spans="2:5" x14ac:dyDescent="0.25">
      <c r="B7013" s="545">
        <v>8562</v>
      </c>
      <c r="C7013" s="545" t="s">
        <v>4741</v>
      </c>
      <c r="D7013" s="669" t="s">
        <v>372</v>
      </c>
      <c r="E7013" s="546">
        <v>799.35000200000002</v>
      </c>
    </row>
    <row r="7014" spans="2:5" x14ac:dyDescent="0.25">
      <c r="B7014" s="545">
        <v>8563</v>
      </c>
      <c r="C7014" s="545" t="s">
        <v>4894</v>
      </c>
      <c r="D7014" s="669" t="s">
        <v>372</v>
      </c>
      <c r="E7014" s="546">
        <v>811.62857499999996</v>
      </c>
    </row>
    <row r="7015" spans="2:5" x14ac:dyDescent="0.25">
      <c r="B7015" s="545">
        <v>8564</v>
      </c>
      <c r="C7015" s="545" t="s">
        <v>4825</v>
      </c>
      <c r="D7015" s="669" t="s">
        <v>372</v>
      </c>
      <c r="E7015" s="546">
        <v>805.7</v>
      </c>
    </row>
    <row r="7016" spans="2:5" x14ac:dyDescent="0.25">
      <c r="B7016" s="545">
        <v>8565</v>
      </c>
      <c r="C7016" s="545" t="s">
        <v>4982</v>
      </c>
      <c r="D7016" s="669" t="s">
        <v>372</v>
      </c>
      <c r="E7016" s="546">
        <v>820.50999100000001</v>
      </c>
    </row>
    <row r="7017" spans="2:5" x14ac:dyDescent="0.25">
      <c r="B7017" s="545">
        <v>8566</v>
      </c>
      <c r="C7017" s="545" t="s">
        <v>4680</v>
      </c>
      <c r="D7017" s="669" t="s">
        <v>372</v>
      </c>
      <c r="E7017" s="546">
        <v>794.3125</v>
      </c>
    </row>
    <row r="7018" spans="2:5" x14ac:dyDescent="0.25">
      <c r="B7018" s="545">
        <v>8567</v>
      </c>
      <c r="C7018" s="545" t="s">
        <v>4781</v>
      </c>
      <c r="D7018" s="669" t="s">
        <v>372</v>
      </c>
      <c r="E7018" s="546">
        <v>802.13333499999999</v>
      </c>
    </row>
    <row r="7019" spans="2:5" x14ac:dyDescent="0.25">
      <c r="B7019" s="545">
        <v>8568</v>
      </c>
      <c r="C7019" s="545" t="s">
        <v>6997</v>
      </c>
      <c r="D7019" s="669" t="s">
        <v>372</v>
      </c>
      <c r="E7019" s="546">
        <v>826.37778000000003</v>
      </c>
    </row>
    <row r="7020" spans="2:5" x14ac:dyDescent="0.25">
      <c r="B7020" s="545">
        <v>8569</v>
      </c>
      <c r="C7020" s="545" t="s">
        <v>5093</v>
      </c>
      <c r="D7020" s="669" t="s">
        <v>372</v>
      </c>
      <c r="E7020" s="546">
        <v>832.45000200000004</v>
      </c>
    </row>
    <row r="7021" spans="2:5" x14ac:dyDescent="0.25">
      <c r="B7021" s="545">
        <v>8570</v>
      </c>
      <c r="C7021" s="545" t="s">
        <v>4846</v>
      </c>
      <c r="D7021" s="669" t="s">
        <v>372</v>
      </c>
      <c r="E7021" s="546">
        <v>806.91000399999996</v>
      </c>
    </row>
    <row r="7022" spans="2:5" x14ac:dyDescent="0.25">
      <c r="B7022" s="545">
        <v>8571</v>
      </c>
      <c r="C7022" s="545" t="s">
        <v>5186</v>
      </c>
      <c r="D7022" s="669" t="s">
        <v>372</v>
      </c>
      <c r="E7022" s="546">
        <v>844.17498799999998</v>
      </c>
    </row>
    <row r="7023" spans="2:5" x14ac:dyDescent="0.25">
      <c r="B7023" s="545">
        <v>8572</v>
      </c>
      <c r="C7023" s="545" t="s">
        <v>5211</v>
      </c>
      <c r="D7023" s="669" t="s">
        <v>372</v>
      </c>
      <c r="E7023" s="546">
        <v>846.80000800000005</v>
      </c>
    </row>
    <row r="7024" spans="2:5" x14ac:dyDescent="0.25">
      <c r="B7024" s="545">
        <v>8580</v>
      </c>
      <c r="C7024" s="545" t="s">
        <v>372</v>
      </c>
      <c r="D7024" s="669" t="s">
        <v>372</v>
      </c>
      <c r="E7024" s="546">
        <v>826.83636999999999</v>
      </c>
    </row>
    <row r="7025" spans="2:5" x14ac:dyDescent="0.25">
      <c r="B7025" s="545">
        <v>8581</v>
      </c>
      <c r="C7025" s="545" t="s">
        <v>5006</v>
      </c>
      <c r="D7025" s="669" t="s">
        <v>372</v>
      </c>
      <c r="E7025" s="546">
        <v>823.38332100000002</v>
      </c>
    </row>
    <row r="7026" spans="2:5" x14ac:dyDescent="0.25">
      <c r="B7026" s="545">
        <v>8601</v>
      </c>
      <c r="C7026" s="545" t="s">
        <v>4929</v>
      </c>
      <c r="D7026" s="669" t="s">
        <v>372</v>
      </c>
      <c r="E7026" s="546">
        <v>814.89230599999996</v>
      </c>
    </row>
    <row r="7027" spans="2:5" x14ac:dyDescent="0.25">
      <c r="B7027" s="545">
        <v>8602</v>
      </c>
      <c r="C7027" s="545" t="s">
        <v>4924</v>
      </c>
      <c r="D7027" s="669" t="s">
        <v>372</v>
      </c>
      <c r="E7027" s="546">
        <v>814.47500100000002</v>
      </c>
    </row>
    <row r="7028" spans="2:5" x14ac:dyDescent="0.25">
      <c r="B7028" s="545">
        <v>8603</v>
      </c>
      <c r="C7028" s="545" t="s">
        <v>4696</v>
      </c>
      <c r="D7028" s="669" t="s">
        <v>372</v>
      </c>
      <c r="E7028" s="546">
        <v>795.48666600000001</v>
      </c>
    </row>
    <row r="7029" spans="2:5" x14ac:dyDescent="0.25">
      <c r="B7029" s="545">
        <v>8604</v>
      </c>
      <c r="C7029" s="545" t="s">
        <v>4543</v>
      </c>
      <c r="D7029" s="669" t="s">
        <v>372</v>
      </c>
      <c r="E7029" s="546">
        <v>783.28571399999998</v>
      </c>
    </row>
    <row r="7030" spans="2:5" x14ac:dyDescent="0.25">
      <c r="B7030" s="545">
        <v>8605</v>
      </c>
      <c r="C7030" s="545" t="s">
        <v>2655</v>
      </c>
      <c r="D7030" s="669" t="s">
        <v>372</v>
      </c>
      <c r="E7030" s="546">
        <v>804.59999600000003</v>
      </c>
    </row>
    <row r="7031" spans="2:5" x14ac:dyDescent="0.25">
      <c r="B7031" s="545">
        <v>8606</v>
      </c>
      <c r="C7031" s="545" t="s">
        <v>4987</v>
      </c>
      <c r="D7031" s="669" t="s">
        <v>372</v>
      </c>
      <c r="E7031" s="546">
        <v>821.05555600000002</v>
      </c>
    </row>
    <row r="7032" spans="2:5" x14ac:dyDescent="0.25">
      <c r="B7032" s="545">
        <v>8607</v>
      </c>
      <c r="C7032" s="545" t="s">
        <v>2972</v>
      </c>
      <c r="D7032" s="669" t="s">
        <v>372</v>
      </c>
      <c r="E7032" s="546">
        <v>807.24285899999995</v>
      </c>
    </row>
    <row r="7033" spans="2:5" x14ac:dyDescent="0.25">
      <c r="B7033" s="545">
        <v>8609</v>
      </c>
      <c r="C7033" s="545" t="s">
        <v>1484</v>
      </c>
      <c r="D7033" s="669" t="s">
        <v>372</v>
      </c>
      <c r="E7033" s="546">
        <v>794.63999000000001</v>
      </c>
    </row>
    <row r="7034" spans="2:5" x14ac:dyDescent="0.25">
      <c r="B7034" s="545">
        <v>8610</v>
      </c>
      <c r="C7034" s="545" t="s">
        <v>4839</v>
      </c>
      <c r="D7034" s="669" t="s">
        <v>372</v>
      </c>
      <c r="E7034" s="546">
        <v>806.57000700000003</v>
      </c>
    </row>
    <row r="7035" spans="2:5" x14ac:dyDescent="0.25">
      <c r="B7035" s="545">
        <v>8611</v>
      </c>
      <c r="C7035" s="545" t="s">
        <v>4752</v>
      </c>
      <c r="D7035" s="669" t="s">
        <v>372</v>
      </c>
      <c r="E7035" s="546">
        <v>799.883331</v>
      </c>
    </row>
    <row r="7036" spans="2:5" x14ac:dyDescent="0.25">
      <c r="B7036" s="545">
        <v>8612</v>
      </c>
      <c r="C7036" s="545" t="s">
        <v>5064</v>
      </c>
      <c r="D7036" s="669" t="s">
        <v>372</v>
      </c>
      <c r="E7036" s="546">
        <v>829.616669</v>
      </c>
    </row>
    <row r="7037" spans="2:5" x14ac:dyDescent="0.25">
      <c r="B7037" s="545">
        <v>8613</v>
      </c>
      <c r="C7037" s="545" t="s">
        <v>1759</v>
      </c>
      <c r="D7037" s="669" t="s">
        <v>372</v>
      </c>
      <c r="E7037" s="546">
        <v>790.87498500000004</v>
      </c>
    </row>
    <row r="7038" spans="2:5" x14ac:dyDescent="0.25">
      <c r="B7038" s="545">
        <v>8614</v>
      </c>
      <c r="C7038" s="545" t="s">
        <v>5062</v>
      </c>
      <c r="D7038" s="669" t="s">
        <v>372</v>
      </c>
      <c r="E7038" s="546">
        <v>829.46667500000001</v>
      </c>
    </row>
    <row r="7039" spans="2:5" x14ac:dyDescent="0.25">
      <c r="B7039" s="545">
        <v>8615</v>
      </c>
      <c r="C7039" s="545" t="s">
        <v>4441</v>
      </c>
      <c r="D7039" s="669" t="s">
        <v>372</v>
      </c>
      <c r="E7039" s="546">
        <v>776.31666099999995</v>
      </c>
    </row>
    <row r="7040" spans="2:5" x14ac:dyDescent="0.25">
      <c r="B7040" s="545">
        <v>8616</v>
      </c>
      <c r="C7040" s="545" t="s">
        <v>4879</v>
      </c>
      <c r="D7040" s="669" t="s">
        <v>372</v>
      </c>
      <c r="E7040" s="546">
        <v>809.53334600000005</v>
      </c>
    </row>
    <row r="7041" spans="2:5" x14ac:dyDescent="0.25">
      <c r="B7041" s="545">
        <v>8617</v>
      </c>
      <c r="C7041" s="545" t="s">
        <v>4481</v>
      </c>
      <c r="D7041" s="669" t="s">
        <v>372</v>
      </c>
      <c r="E7041" s="546">
        <v>778.62498500000004</v>
      </c>
    </row>
    <row r="7042" spans="2:5" x14ac:dyDescent="0.25">
      <c r="B7042" s="545">
        <v>8618</v>
      </c>
      <c r="C7042" s="545" t="s">
        <v>6863</v>
      </c>
      <c r="D7042" s="669" t="s">
        <v>372</v>
      </c>
      <c r="E7042" s="546">
        <v>802.34444199999996</v>
      </c>
    </row>
    <row r="7043" spans="2:5" x14ac:dyDescent="0.25">
      <c r="B7043" s="545">
        <v>8619</v>
      </c>
      <c r="C7043" s="545" t="s">
        <v>6895</v>
      </c>
      <c r="D7043" s="669" t="s">
        <v>372</v>
      </c>
      <c r="E7043" s="546">
        <v>761.99998000000005</v>
      </c>
    </row>
    <row r="7044" spans="2:5" x14ac:dyDescent="0.25">
      <c r="B7044" s="545">
        <v>8620</v>
      </c>
      <c r="C7044" s="545" t="s">
        <v>6948</v>
      </c>
      <c r="D7044" s="669" t="s">
        <v>372</v>
      </c>
      <c r="E7044" s="546">
        <v>835.81052799999998</v>
      </c>
    </row>
    <row r="7045" spans="2:5" x14ac:dyDescent="0.25">
      <c r="B7045" s="545">
        <v>8621</v>
      </c>
      <c r="C7045" s="545" t="s">
        <v>4874</v>
      </c>
      <c r="D7045" s="669" t="s">
        <v>372</v>
      </c>
      <c r="E7045" s="546">
        <v>809.38667399999997</v>
      </c>
    </row>
    <row r="7046" spans="2:5" x14ac:dyDescent="0.25">
      <c r="B7046" s="545">
        <v>8622</v>
      </c>
      <c r="C7046" s="545" t="s">
        <v>4939</v>
      </c>
      <c r="D7046" s="669" t="s">
        <v>372</v>
      </c>
      <c r="E7046" s="546">
        <v>815.48000500000001</v>
      </c>
    </row>
    <row r="7047" spans="2:5" x14ac:dyDescent="0.25">
      <c r="B7047" s="545">
        <v>8623</v>
      </c>
      <c r="C7047" s="545" t="s">
        <v>4750</v>
      </c>
      <c r="D7047" s="669" t="s">
        <v>372</v>
      </c>
      <c r="E7047" s="546">
        <v>799.77999299999999</v>
      </c>
    </row>
    <row r="7048" spans="2:5" x14ac:dyDescent="0.25">
      <c r="B7048" s="545">
        <v>8624</v>
      </c>
      <c r="C7048" s="545" t="s">
        <v>5222</v>
      </c>
      <c r="D7048" s="669" t="s">
        <v>372</v>
      </c>
      <c r="E7048" s="546">
        <v>848.870588</v>
      </c>
    </row>
    <row r="7049" spans="2:5" x14ac:dyDescent="0.25">
      <c r="B7049" s="545">
        <v>8625</v>
      </c>
      <c r="C7049" s="545" t="s">
        <v>4674</v>
      </c>
      <c r="D7049" s="669" t="s">
        <v>372</v>
      </c>
      <c r="E7049" s="546">
        <v>831.77499899999998</v>
      </c>
    </row>
    <row r="7050" spans="2:5" x14ac:dyDescent="0.25">
      <c r="B7050" s="545">
        <v>8626</v>
      </c>
      <c r="C7050" s="545" t="s">
        <v>5099</v>
      </c>
      <c r="D7050" s="669" t="s">
        <v>372</v>
      </c>
      <c r="E7050" s="546">
        <v>832.87143400000002</v>
      </c>
    </row>
    <row r="7051" spans="2:5" x14ac:dyDescent="0.25">
      <c r="B7051" s="545">
        <v>8627</v>
      </c>
      <c r="C7051" s="545" t="s">
        <v>4713</v>
      </c>
      <c r="D7051" s="669" t="s">
        <v>372</v>
      </c>
      <c r="E7051" s="546">
        <v>797.29091000000005</v>
      </c>
    </row>
    <row r="7052" spans="2:5" x14ac:dyDescent="0.25">
      <c r="B7052" s="545">
        <v>8628</v>
      </c>
      <c r="C7052" s="545" t="s">
        <v>1269</v>
      </c>
      <c r="D7052" s="669" t="s">
        <v>372</v>
      </c>
      <c r="E7052" s="546">
        <v>826.42500299999995</v>
      </c>
    </row>
    <row r="7053" spans="2:5" x14ac:dyDescent="0.25">
      <c r="B7053" s="545">
        <v>8629</v>
      </c>
      <c r="C7053" s="545" t="s">
        <v>4287</v>
      </c>
      <c r="D7053" s="669" t="s">
        <v>372</v>
      </c>
      <c r="E7053" s="546">
        <v>763.59999800000003</v>
      </c>
    </row>
    <row r="7054" spans="2:5" x14ac:dyDescent="0.25">
      <c r="B7054" s="545">
        <v>8630</v>
      </c>
      <c r="C7054" s="545" t="s">
        <v>4378</v>
      </c>
      <c r="D7054" s="669" t="s">
        <v>372</v>
      </c>
      <c r="E7054" s="546">
        <v>770.46665399999995</v>
      </c>
    </row>
    <row r="7055" spans="2:5" x14ac:dyDescent="0.25">
      <c r="B7055" s="545">
        <v>8631</v>
      </c>
      <c r="C7055" s="545" t="s">
        <v>3645</v>
      </c>
      <c r="D7055" s="669" t="s">
        <v>372</v>
      </c>
      <c r="E7055" s="546">
        <v>836.11817499999995</v>
      </c>
    </row>
    <row r="7056" spans="2:5" x14ac:dyDescent="0.25">
      <c r="B7056" s="545">
        <v>8632</v>
      </c>
      <c r="C7056" s="545" t="s">
        <v>5091</v>
      </c>
      <c r="D7056" s="669" t="s">
        <v>372</v>
      </c>
      <c r="E7056" s="546">
        <v>832.02856399999996</v>
      </c>
    </row>
    <row r="7057" spans="2:5" x14ac:dyDescent="0.25">
      <c r="B7057" s="545">
        <v>8633</v>
      </c>
      <c r="C7057" s="545" t="s">
        <v>4937</v>
      </c>
      <c r="D7057" s="669" t="s">
        <v>372</v>
      </c>
      <c r="E7057" s="546">
        <v>815.34000200000003</v>
      </c>
    </row>
    <row r="7058" spans="2:5" x14ac:dyDescent="0.25">
      <c r="B7058" s="545">
        <v>8634</v>
      </c>
      <c r="C7058" s="545" t="s">
        <v>4756</v>
      </c>
      <c r="D7058" s="669" t="s">
        <v>372</v>
      </c>
      <c r="E7058" s="546">
        <v>800.55999799999995</v>
      </c>
    </row>
    <row r="7059" spans="2:5" x14ac:dyDescent="0.25">
      <c r="B7059" s="545">
        <v>8635</v>
      </c>
      <c r="C7059" s="545" t="s">
        <v>4567</v>
      </c>
      <c r="D7059" s="669" t="s">
        <v>372</v>
      </c>
      <c r="E7059" s="546">
        <v>785.35000600000001</v>
      </c>
    </row>
    <row r="7060" spans="2:5" x14ac:dyDescent="0.25">
      <c r="B7060" s="545">
        <v>8636</v>
      </c>
      <c r="C7060" s="545" t="s">
        <v>4799</v>
      </c>
      <c r="D7060" s="669" t="s">
        <v>372</v>
      </c>
      <c r="E7060" s="546">
        <v>803.38889600000005</v>
      </c>
    </row>
    <row r="7061" spans="2:5" x14ac:dyDescent="0.25">
      <c r="B7061" s="545">
        <v>8637</v>
      </c>
      <c r="C7061" s="545" t="s">
        <v>4898</v>
      </c>
      <c r="D7061" s="669" t="s">
        <v>372</v>
      </c>
      <c r="E7061" s="546">
        <v>811.85833700000001</v>
      </c>
    </row>
    <row r="7062" spans="2:5" x14ac:dyDescent="0.25">
      <c r="B7062" s="545">
        <v>8638</v>
      </c>
      <c r="C7062" s="545" t="s">
        <v>4855</v>
      </c>
      <c r="D7062" s="669" t="s">
        <v>372</v>
      </c>
      <c r="E7062" s="546">
        <v>807.60909200000003</v>
      </c>
    </row>
    <row r="7063" spans="2:5" x14ac:dyDescent="0.25">
      <c r="B7063" s="545">
        <v>8639</v>
      </c>
      <c r="C7063" s="545" t="s">
        <v>4882</v>
      </c>
      <c r="D7063" s="669" t="s">
        <v>372</v>
      </c>
      <c r="E7063" s="546">
        <v>809.76666299999999</v>
      </c>
    </row>
    <row r="7064" spans="2:5" x14ac:dyDescent="0.25">
      <c r="B7064" s="545">
        <v>8640</v>
      </c>
      <c r="C7064" s="545" t="s">
        <v>4942</v>
      </c>
      <c r="D7064" s="669" t="s">
        <v>372</v>
      </c>
      <c r="E7064" s="546">
        <v>815.77500899999995</v>
      </c>
    </row>
    <row r="7065" spans="2:5" x14ac:dyDescent="0.25">
      <c r="B7065" s="545">
        <v>8641</v>
      </c>
      <c r="C7065" s="545" t="s">
        <v>3001</v>
      </c>
      <c r="D7065" s="669" t="s">
        <v>372</v>
      </c>
      <c r="E7065" s="546">
        <v>768.67498799999998</v>
      </c>
    </row>
    <row r="7066" spans="2:5" x14ac:dyDescent="0.25">
      <c r="B7066" s="545">
        <v>8642</v>
      </c>
      <c r="C7066" s="545" t="s">
        <v>6557</v>
      </c>
      <c r="D7066" s="669" t="s">
        <v>372</v>
      </c>
      <c r="E7066" s="546">
        <v>796.34999600000003</v>
      </c>
    </row>
    <row r="7067" spans="2:5" x14ac:dyDescent="0.25">
      <c r="B7067" s="545">
        <v>8643</v>
      </c>
      <c r="C7067" s="545" t="s">
        <v>4466</v>
      </c>
      <c r="D7067" s="669" t="s">
        <v>372</v>
      </c>
      <c r="E7067" s="546">
        <v>777.90000899999995</v>
      </c>
    </row>
    <row r="7068" spans="2:5" x14ac:dyDescent="0.25">
      <c r="B7068" s="545">
        <v>8644</v>
      </c>
      <c r="C7068" s="545" t="s">
        <v>7439</v>
      </c>
      <c r="D7068" s="669" t="s">
        <v>372</v>
      </c>
      <c r="E7068" s="546">
        <v>803.74286800000004</v>
      </c>
    </row>
    <row r="7069" spans="2:5" x14ac:dyDescent="0.25">
      <c r="B7069" s="545">
        <v>8645</v>
      </c>
      <c r="C7069" s="545" t="s">
        <v>4820</v>
      </c>
      <c r="D7069" s="669" t="s">
        <v>372</v>
      </c>
      <c r="E7069" s="546">
        <v>805.06667100000004</v>
      </c>
    </row>
    <row r="7070" spans="2:5" x14ac:dyDescent="0.25">
      <c r="B7070" s="545">
        <v>8646</v>
      </c>
      <c r="C7070" s="545" t="s">
        <v>4500</v>
      </c>
      <c r="D7070" s="669" t="s">
        <v>372</v>
      </c>
      <c r="E7070" s="546">
        <v>780.02499399999999</v>
      </c>
    </row>
    <row r="7071" spans="2:5" x14ac:dyDescent="0.25">
      <c r="B7071" s="545">
        <v>8647</v>
      </c>
      <c r="C7071" s="545" t="s">
        <v>4759</v>
      </c>
      <c r="D7071" s="669" t="s">
        <v>372</v>
      </c>
      <c r="E7071" s="546">
        <v>800.71428600000002</v>
      </c>
    </row>
    <row r="7072" spans="2:5" x14ac:dyDescent="0.25">
      <c r="B7072" s="545">
        <v>8648</v>
      </c>
      <c r="C7072" s="545" t="s">
        <v>4642</v>
      </c>
      <c r="D7072" s="669" t="s">
        <v>372</v>
      </c>
      <c r="E7072" s="546">
        <v>791.66668700000002</v>
      </c>
    </row>
    <row r="7073" spans="2:5" x14ac:dyDescent="0.25">
      <c r="B7073" s="545">
        <v>8649</v>
      </c>
      <c r="C7073" s="545" t="s">
        <v>4849</v>
      </c>
      <c r="D7073" s="669" t="s">
        <v>372</v>
      </c>
      <c r="E7073" s="546">
        <v>807.1</v>
      </c>
    </row>
    <row r="7074" spans="2:5" x14ac:dyDescent="0.25">
      <c r="B7074" s="545">
        <v>8650</v>
      </c>
      <c r="C7074" s="545" t="s">
        <v>4762</v>
      </c>
      <c r="D7074" s="669" t="s">
        <v>372</v>
      </c>
      <c r="E7074" s="546">
        <v>801.10000600000001</v>
      </c>
    </row>
    <row r="7075" spans="2:5" x14ac:dyDescent="0.25">
      <c r="B7075" s="545">
        <v>8651</v>
      </c>
      <c r="C7075" s="545" t="s">
        <v>7211</v>
      </c>
      <c r="D7075" s="669" t="s">
        <v>365</v>
      </c>
      <c r="E7075" s="546">
        <v>921</v>
      </c>
    </row>
    <row r="7076" spans="2:5" x14ac:dyDescent="0.25">
      <c r="B7076" s="545">
        <v>8652</v>
      </c>
      <c r="C7076" s="545" t="s">
        <v>7212</v>
      </c>
      <c r="D7076" s="669" t="s">
        <v>365</v>
      </c>
      <c r="E7076" s="546">
        <v>901.55001800000002</v>
      </c>
    </row>
    <row r="7077" spans="2:5" x14ac:dyDescent="0.25">
      <c r="B7077" s="545">
        <v>8653</v>
      </c>
      <c r="C7077" s="545" t="s">
        <v>7213</v>
      </c>
      <c r="D7077" s="669" t="s">
        <v>365</v>
      </c>
      <c r="E7077" s="546">
        <v>929.40002400000003</v>
      </c>
    </row>
    <row r="7078" spans="2:5" x14ac:dyDescent="0.25">
      <c r="B7078" s="545">
        <v>8654</v>
      </c>
      <c r="C7078" s="545" t="s">
        <v>7214</v>
      </c>
      <c r="D7078" s="669" t="s">
        <v>365</v>
      </c>
      <c r="E7078" s="546">
        <v>932.16664600000001</v>
      </c>
    </row>
    <row r="7079" spans="2:5" x14ac:dyDescent="0.25">
      <c r="B7079" s="545">
        <v>8655</v>
      </c>
      <c r="C7079" s="545" t="s">
        <v>7215</v>
      </c>
      <c r="D7079" s="669" t="s">
        <v>365</v>
      </c>
      <c r="E7079" s="546">
        <v>944.89333499999998</v>
      </c>
    </row>
    <row r="7080" spans="2:5" x14ac:dyDescent="0.25">
      <c r="B7080" s="545">
        <v>8656</v>
      </c>
      <c r="C7080" s="545" t="s">
        <v>7216</v>
      </c>
      <c r="D7080" s="669" t="s">
        <v>365</v>
      </c>
      <c r="E7080" s="546">
        <v>926.5</v>
      </c>
    </row>
    <row r="7081" spans="2:5" x14ac:dyDescent="0.25">
      <c r="B7081" s="545">
        <v>8657</v>
      </c>
      <c r="C7081" s="545" t="s">
        <v>7217</v>
      </c>
      <c r="D7081" s="669" t="s">
        <v>365</v>
      </c>
      <c r="E7081" s="546">
        <v>950.610004</v>
      </c>
    </row>
    <row r="7082" spans="2:5" x14ac:dyDescent="0.25">
      <c r="B7082" s="545">
        <v>8658</v>
      </c>
      <c r="C7082" s="545" t="s">
        <v>7218</v>
      </c>
      <c r="D7082" s="669" t="s">
        <v>365</v>
      </c>
      <c r="E7082" s="546">
        <v>950.51667299999997</v>
      </c>
    </row>
    <row r="7083" spans="2:5" x14ac:dyDescent="0.25">
      <c r="B7083" s="545">
        <v>8659</v>
      </c>
      <c r="C7083" s="545" t="s">
        <v>7219</v>
      </c>
      <c r="D7083" s="669" t="s">
        <v>365</v>
      </c>
      <c r="E7083" s="546">
        <v>942.37501499999996</v>
      </c>
    </row>
    <row r="7084" spans="2:5" x14ac:dyDescent="0.25">
      <c r="B7084" s="545">
        <v>8660</v>
      </c>
      <c r="C7084" s="545" t="s">
        <v>5394</v>
      </c>
      <c r="D7084" s="669" t="s">
        <v>365</v>
      </c>
      <c r="E7084" s="546">
        <v>878.75999100000001</v>
      </c>
    </row>
    <row r="7085" spans="2:5" x14ac:dyDescent="0.25">
      <c r="B7085" s="545">
        <v>8661</v>
      </c>
      <c r="C7085" s="545" t="s">
        <v>5475</v>
      </c>
      <c r="D7085" s="669" t="s">
        <v>365</v>
      </c>
      <c r="E7085" s="546">
        <v>892.75651700000003</v>
      </c>
    </row>
    <row r="7086" spans="2:5" x14ac:dyDescent="0.25">
      <c r="B7086" s="545">
        <v>8662</v>
      </c>
      <c r="C7086" s="545" t="s">
        <v>5548</v>
      </c>
      <c r="D7086" s="669" t="s">
        <v>365</v>
      </c>
      <c r="E7086" s="546">
        <v>903.77368799999999</v>
      </c>
    </row>
    <row r="7087" spans="2:5" x14ac:dyDescent="0.25">
      <c r="B7087" s="545">
        <v>8663</v>
      </c>
      <c r="C7087" s="545" t="s">
        <v>5717</v>
      </c>
      <c r="D7087" s="669" t="s">
        <v>365</v>
      </c>
      <c r="E7087" s="546">
        <v>944.25715000000002</v>
      </c>
    </row>
    <row r="7088" spans="2:5" x14ac:dyDescent="0.25">
      <c r="B7088" s="545">
        <v>8664</v>
      </c>
      <c r="C7088" s="545" t="s">
        <v>5654</v>
      </c>
      <c r="D7088" s="669" t="s">
        <v>365</v>
      </c>
      <c r="E7088" s="546">
        <v>925.45999800000004</v>
      </c>
    </row>
    <row r="7089" spans="2:5" x14ac:dyDescent="0.25">
      <c r="B7089" s="545">
        <v>8665</v>
      </c>
      <c r="C7089" s="545" t="s">
        <v>5981</v>
      </c>
      <c r="D7089" s="669" t="s">
        <v>365</v>
      </c>
      <c r="E7089" s="546">
        <v>1039.573676</v>
      </c>
    </row>
    <row r="7090" spans="2:5" x14ac:dyDescent="0.25">
      <c r="B7090" s="545">
        <v>8666</v>
      </c>
      <c r="C7090" s="545" t="s">
        <v>5631</v>
      </c>
      <c r="D7090" s="669" t="s">
        <v>365</v>
      </c>
      <c r="E7090" s="546">
        <v>919.72141799999997</v>
      </c>
    </row>
    <row r="7091" spans="2:5" x14ac:dyDescent="0.25">
      <c r="B7091" s="545">
        <v>8667</v>
      </c>
      <c r="C7091" s="545" t="s">
        <v>2960</v>
      </c>
      <c r="D7091" s="669" t="s">
        <v>365</v>
      </c>
      <c r="E7091" s="546">
        <v>930.95998499999996</v>
      </c>
    </row>
    <row r="7092" spans="2:5" x14ac:dyDescent="0.25">
      <c r="B7092" s="545">
        <v>8668</v>
      </c>
      <c r="C7092" s="545" t="s">
        <v>2108</v>
      </c>
      <c r="D7092" s="669" t="s">
        <v>365</v>
      </c>
      <c r="E7092" s="546">
        <v>931.33334400000001</v>
      </c>
    </row>
    <row r="7093" spans="2:5" x14ac:dyDescent="0.25">
      <c r="B7093" s="545">
        <v>8669</v>
      </c>
      <c r="C7093" s="545" t="s">
        <v>5376</v>
      </c>
      <c r="D7093" s="669" t="s">
        <v>365</v>
      </c>
      <c r="E7093" s="546">
        <v>874.429034</v>
      </c>
    </row>
    <row r="7094" spans="2:5" x14ac:dyDescent="0.25">
      <c r="B7094" s="545">
        <v>8670</v>
      </c>
      <c r="C7094" s="545" t="s">
        <v>5378</v>
      </c>
      <c r="D7094" s="669" t="s">
        <v>365</v>
      </c>
      <c r="E7094" s="546">
        <v>874.58750899999995</v>
      </c>
    </row>
    <row r="7095" spans="2:5" x14ac:dyDescent="0.25">
      <c r="B7095" s="545">
        <v>8671</v>
      </c>
      <c r="C7095" s="545" t="s">
        <v>5851</v>
      </c>
      <c r="D7095" s="669" t="s">
        <v>365</v>
      </c>
      <c r="E7095" s="546">
        <v>983.06667100000004</v>
      </c>
    </row>
    <row r="7096" spans="2:5" x14ac:dyDescent="0.25">
      <c r="B7096" s="545">
        <v>8672</v>
      </c>
      <c r="C7096" s="545" t="s">
        <v>6781</v>
      </c>
      <c r="D7096" s="669" t="s">
        <v>365</v>
      </c>
      <c r="E7096" s="546">
        <v>844.23214499999995</v>
      </c>
    </row>
    <row r="7097" spans="2:5" x14ac:dyDescent="0.25">
      <c r="B7097" s="545">
        <v>8673</v>
      </c>
      <c r="C7097" s="545" t="s">
        <v>6831</v>
      </c>
      <c r="D7097" s="669" t="s">
        <v>365</v>
      </c>
      <c r="E7097" s="546">
        <v>947.16999499999997</v>
      </c>
    </row>
    <row r="7098" spans="2:5" x14ac:dyDescent="0.25">
      <c r="B7098" s="545">
        <v>8674</v>
      </c>
      <c r="C7098" s="545" t="s">
        <v>5887</v>
      </c>
      <c r="D7098" s="669" t="s">
        <v>365</v>
      </c>
      <c r="E7098" s="546">
        <v>994.03478199999995</v>
      </c>
    </row>
    <row r="7099" spans="2:5" x14ac:dyDescent="0.25">
      <c r="B7099" s="545">
        <v>8675</v>
      </c>
      <c r="C7099" s="545" t="s">
        <v>6889</v>
      </c>
      <c r="D7099" s="669" t="s">
        <v>365</v>
      </c>
      <c r="E7099" s="546">
        <v>947.97500600000001</v>
      </c>
    </row>
    <row r="7100" spans="2:5" x14ac:dyDescent="0.25">
      <c r="B7100" s="545">
        <v>8676</v>
      </c>
      <c r="C7100" s="545" t="s">
        <v>6942</v>
      </c>
      <c r="D7100" s="669" t="s">
        <v>365</v>
      </c>
      <c r="E7100" s="546">
        <v>1027.4833269999999</v>
      </c>
    </row>
    <row r="7101" spans="2:5" x14ac:dyDescent="0.25">
      <c r="B7101" s="545">
        <v>8677</v>
      </c>
      <c r="C7101" s="545" t="s">
        <v>4693</v>
      </c>
      <c r="D7101" s="669" t="s">
        <v>365</v>
      </c>
      <c r="E7101" s="546">
        <v>941.27691700000003</v>
      </c>
    </row>
    <row r="7102" spans="2:5" x14ac:dyDescent="0.25">
      <c r="B7102" s="545">
        <v>8678</v>
      </c>
      <c r="C7102" s="545" t="s">
        <v>5645</v>
      </c>
      <c r="D7102" s="669" t="s">
        <v>365</v>
      </c>
      <c r="E7102" s="546">
        <v>924.16001000000006</v>
      </c>
    </row>
    <row r="7103" spans="2:5" x14ac:dyDescent="0.25">
      <c r="B7103" s="545">
        <v>8679</v>
      </c>
      <c r="C7103" s="545" t="s">
        <v>7013</v>
      </c>
      <c r="D7103" s="669" t="s">
        <v>365</v>
      </c>
      <c r="E7103" s="546">
        <v>1025.075012</v>
      </c>
    </row>
    <row r="7104" spans="2:5" x14ac:dyDescent="0.25">
      <c r="B7104" s="545">
        <v>8680</v>
      </c>
      <c r="C7104" s="545" t="s">
        <v>6058</v>
      </c>
      <c r="D7104" s="669" t="s">
        <v>365</v>
      </c>
      <c r="E7104" s="546">
        <v>1082.999994</v>
      </c>
    </row>
    <row r="7105" spans="2:5" x14ac:dyDescent="0.25">
      <c r="B7105" s="545">
        <v>8681</v>
      </c>
      <c r="C7105" s="545" t="s">
        <v>5901</v>
      </c>
      <c r="D7105" s="669" t="s">
        <v>365</v>
      </c>
      <c r="E7105" s="546">
        <v>998.64736800000003</v>
      </c>
    </row>
    <row r="7106" spans="2:5" x14ac:dyDescent="0.25">
      <c r="B7106" s="545">
        <v>8682</v>
      </c>
      <c r="C7106" s="545" t="s">
        <v>5177</v>
      </c>
      <c r="D7106" s="669" t="s">
        <v>365</v>
      </c>
      <c r="E7106" s="546">
        <v>841.86190699999997</v>
      </c>
    </row>
    <row r="7107" spans="2:5" x14ac:dyDescent="0.25">
      <c r="B7107" s="545">
        <v>8683</v>
      </c>
      <c r="C7107" s="545" t="s">
        <v>6987</v>
      </c>
      <c r="D7107" s="669" t="s">
        <v>365</v>
      </c>
      <c r="E7107" s="546">
        <v>872.54999799999996</v>
      </c>
    </row>
    <row r="7108" spans="2:5" x14ac:dyDescent="0.25">
      <c r="B7108" s="545">
        <v>8684</v>
      </c>
      <c r="C7108" s="545" t="s">
        <v>5652</v>
      </c>
      <c r="D7108" s="669" t="s">
        <v>365</v>
      </c>
      <c r="E7108" s="546">
        <v>925.35000600000001</v>
      </c>
    </row>
    <row r="7109" spans="2:5" x14ac:dyDescent="0.25">
      <c r="B7109" s="545">
        <v>8685</v>
      </c>
      <c r="C7109" s="545" t="s">
        <v>5392</v>
      </c>
      <c r="D7109" s="669" t="s">
        <v>365</v>
      </c>
      <c r="E7109" s="546">
        <v>878.23846000000003</v>
      </c>
    </row>
    <row r="7110" spans="2:5" x14ac:dyDescent="0.25">
      <c r="B7110" s="545">
        <v>8686</v>
      </c>
      <c r="C7110" s="545" t="s">
        <v>5400</v>
      </c>
      <c r="D7110" s="669" t="s">
        <v>365</v>
      </c>
      <c r="E7110" s="546">
        <v>879.46665399999995</v>
      </c>
    </row>
    <row r="7111" spans="2:5" x14ac:dyDescent="0.25">
      <c r="B7111" s="545">
        <v>8687</v>
      </c>
      <c r="C7111" s="545" t="s">
        <v>5610</v>
      </c>
      <c r="D7111" s="669" t="s">
        <v>365</v>
      </c>
      <c r="E7111" s="546">
        <v>914.52222400000005</v>
      </c>
    </row>
    <row r="7112" spans="2:5" x14ac:dyDescent="0.25">
      <c r="B7112" s="545">
        <v>8688</v>
      </c>
      <c r="C7112" s="545" t="s">
        <v>5557</v>
      </c>
      <c r="D7112" s="669" t="s">
        <v>365</v>
      </c>
      <c r="E7112" s="546">
        <v>905.96000400000003</v>
      </c>
    </row>
    <row r="7113" spans="2:5" x14ac:dyDescent="0.25">
      <c r="B7113" s="545">
        <v>8689</v>
      </c>
      <c r="C7113" s="545" t="s">
        <v>2572</v>
      </c>
      <c r="D7113" s="669" t="s">
        <v>365</v>
      </c>
      <c r="E7113" s="546">
        <v>922.81666099999995</v>
      </c>
    </row>
    <row r="7114" spans="2:5" x14ac:dyDescent="0.25">
      <c r="B7114" s="545">
        <v>8690</v>
      </c>
      <c r="C7114" s="545" t="s">
        <v>5878</v>
      </c>
      <c r="D7114" s="669" t="s">
        <v>365</v>
      </c>
      <c r="E7114" s="546">
        <v>992.00001399999996</v>
      </c>
    </row>
    <row r="7115" spans="2:5" x14ac:dyDescent="0.25">
      <c r="B7115" s="545">
        <v>8691</v>
      </c>
      <c r="C7115" s="545" t="s">
        <v>5607</v>
      </c>
      <c r="D7115" s="669" t="s">
        <v>365</v>
      </c>
      <c r="E7115" s="546">
        <v>913.75</v>
      </c>
    </row>
    <row r="7116" spans="2:5" x14ac:dyDescent="0.25">
      <c r="B7116" s="545">
        <v>8692</v>
      </c>
      <c r="C7116" s="545" t="s">
        <v>7267</v>
      </c>
      <c r="D7116" s="669" t="s">
        <v>365</v>
      </c>
      <c r="E7116" s="546">
        <v>914.12501499999996</v>
      </c>
    </row>
    <row r="7117" spans="2:5" x14ac:dyDescent="0.25">
      <c r="B7117" s="545">
        <v>8693</v>
      </c>
      <c r="C7117" s="545" t="s">
        <v>6004</v>
      </c>
      <c r="D7117" s="669" t="s">
        <v>365</v>
      </c>
      <c r="E7117" s="546">
        <v>1050.952393</v>
      </c>
    </row>
    <row r="7118" spans="2:5" x14ac:dyDescent="0.25">
      <c r="B7118" s="545">
        <v>8694</v>
      </c>
      <c r="C7118" s="545" t="s">
        <v>5539</v>
      </c>
      <c r="D7118" s="669" t="s">
        <v>365</v>
      </c>
      <c r="E7118" s="546">
        <v>901.72500600000001</v>
      </c>
    </row>
    <row r="7119" spans="2:5" x14ac:dyDescent="0.25">
      <c r="B7119" s="545">
        <v>8695</v>
      </c>
      <c r="C7119" s="545" t="s">
        <v>7285</v>
      </c>
      <c r="D7119" s="669" t="s">
        <v>365</v>
      </c>
      <c r="E7119" s="546">
        <v>848.71250299999997</v>
      </c>
    </row>
    <row r="7120" spans="2:5" x14ac:dyDescent="0.25">
      <c r="B7120" s="545">
        <v>8696</v>
      </c>
      <c r="C7120" s="545" t="s">
        <v>5624</v>
      </c>
      <c r="D7120" s="669" t="s">
        <v>365</v>
      </c>
      <c r="E7120" s="546">
        <v>917.54165599999999</v>
      </c>
    </row>
    <row r="7121" spans="2:5" x14ac:dyDescent="0.25">
      <c r="B7121" s="545">
        <v>8697</v>
      </c>
      <c r="C7121" s="545" t="s">
        <v>7305</v>
      </c>
      <c r="D7121" s="669" t="s">
        <v>365</v>
      </c>
      <c r="E7121" s="546">
        <v>1053.7958349999999</v>
      </c>
    </row>
    <row r="7122" spans="2:5" x14ac:dyDescent="0.25">
      <c r="B7122" s="545">
        <v>8698</v>
      </c>
      <c r="C7122" s="545" t="s">
        <v>5785</v>
      </c>
      <c r="D7122" s="669" t="s">
        <v>365</v>
      </c>
      <c r="E7122" s="546">
        <v>961.88888899999995</v>
      </c>
    </row>
    <row r="7123" spans="2:5" x14ac:dyDescent="0.25">
      <c r="B7123" s="545">
        <v>8699</v>
      </c>
      <c r="C7123" s="545" t="s">
        <v>5821</v>
      </c>
      <c r="D7123" s="669" t="s">
        <v>365</v>
      </c>
      <c r="E7123" s="546">
        <v>972.24445300000002</v>
      </c>
    </row>
    <row r="7124" spans="2:5" x14ac:dyDescent="0.25">
      <c r="B7124" s="545">
        <v>8700</v>
      </c>
      <c r="C7124" s="545" t="s">
        <v>5970</v>
      </c>
      <c r="D7124" s="669" t="s">
        <v>365</v>
      </c>
      <c r="E7124" s="546">
        <v>1035.857143</v>
      </c>
    </row>
    <row r="7125" spans="2:5" x14ac:dyDescent="0.25">
      <c r="B7125" s="545">
        <v>8701</v>
      </c>
      <c r="C7125" s="545" t="s">
        <v>5820</v>
      </c>
      <c r="D7125" s="669" t="s">
        <v>365</v>
      </c>
      <c r="E7125" s="546">
        <v>971.52857300000005</v>
      </c>
    </row>
    <row r="7126" spans="2:5" x14ac:dyDescent="0.25">
      <c r="B7126" s="545">
        <v>8702</v>
      </c>
      <c r="C7126" s="545" t="s">
        <v>5584</v>
      </c>
      <c r="D7126" s="669" t="s">
        <v>365</v>
      </c>
      <c r="E7126" s="546">
        <v>908.38667399999997</v>
      </c>
    </row>
    <row r="7127" spans="2:5" x14ac:dyDescent="0.25">
      <c r="B7127" s="545">
        <v>8703</v>
      </c>
      <c r="C7127" s="545" t="s">
        <v>5927</v>
      </c>
      <c r="D7127" s="669" t="s">
        <v>365</v>
      </c>
      <c r="E7127" s="546">
        <v>1013.749997</v>
      </c>
    </row>
    <row r="7128" spans="2:5" x14ac:dyDescent="0.25">
      <c r="B7128" s="545">
        <v>8704</v>
      </c>
      <c r="C7128" s="545" t="s">
        <v>5914</v>
      </c>
      <c r="D7128" s="669" t="s">
        <v>365</v>
      </c>
      <c r="E7128" s="546">
        <v>1006.499988</v>
      </c>
    </row>
    <row r="7129" spans="2:5" x14ac:dyDescent="0.25">
      <c r="B7129" s="545">
        <v>8705</v>
      </c>
      <c r="C7129" s="545" t="s">
        <v>4136</v>
      </c>
      <c r="D7129" s="669" t="s">
        <v>365</v>
      </c>
      <c r="E7129" s="546">
        <v>1019.7280029999999</v>
      </c>
    </row>
    <row r="7130" spans="2:5" x14ac:dyDescent="0.25">
      <c r="B7130" s="545">
        <v>8706</v>
      </c>
      <c r="C7130" s="545" t="s">
        <v>5827</v>
      </c>
      <c r="D7130" s="669" t="s">
        <v>365</v>
      </c>
      <c r="E7130" s="546">
        <v>974.67142999999999</v>
      </c>
    </row>
    <row r="7131" spans="2:5" x14ac:dyDescent="0.25">
      <c r="B7131" s="545">
        <v>8707</v>
      </c>
      <c r="C7131" s="545" t="s">
        <v>5695</v>
      </c>
      <c r="D7131" s="669" t="s">
        <v>365</v>
      </c>
      <c r="E7131" s="546">
        <v>937.40999799999997</v>
      </c>
    </row>
    <row r="7132" spans="2:5" x14ac:dyDescent="0.25">
      <c r="B7132" s="545">
        <v>8708</v>
      </c>
      <c r="C7132" s="545" t="s">
        <v>5819</v>
      </c>
      <c r="D7132" s="669" t="s">
        <v>365</v>
      </c>
      <c r="E7132" s="546">
        <v>971.45712700000001</v>
      </c>
    </row>
    <row r="7133" spans="2:5" x14ac:dyDescent="0.25">
      <c r="B7133" s="545">
        <v>8709</v>
      </c>
      <c r="C7133" s="545" t="s">
        <v>7550</v>
      </c>
      <c r="D7133" s="669" t="s">
        <v>365</v>
      </c>
      <c r="E7133" s="546">
        <v>884.43846699999995</v>
      </c>
    </row>
    <row r="7134" spans="2:5" x14ac:dyDescent="0.25">
      <c r="B7134" s="545">
        <v>8710</v>
      </c>
      <c r="C7134" s="545" t="s">
        <v>5870</v>
      </c>
      <c r="D7134" s="669" t="s">
        <v>365</v>
      </c>
      <c r="E7134" s="546">
        <v>987.23571300000003</v>
      </c>
    </row>
    <row r="7135" spans="2:5" x14ac:dyDescent="0.25">
      <c r="B7135" s="545">
        <v>8711</v>
      </c>
      <c r="C7135" s="545" t="s">
        <v>5478</v>
      </c>
      <c r="D7135" s="669" t="s">
        <v>365</v>
      </c>
      <c r="E7135" s="546">
        <v>893.2</v>
      </c>
    </row>
    <row r="7136" spans="2:5" x14ac:dyDescent="0.25">
      <c r="B7136" s="545">
        <v>8712</v>
      </c>
      <c r="C7136" s="545" t="s">
        <v>7556</v>
      </c>
      <c r="D7136" s="669" t="s">
        <v>365</v>
      </c>
      <c r="E7136" s="546">
        <v>821.53529300000002</v>
      </c>
    </row>
    <row r="7137" spans="2:5" x14ac:dyDescent="0.25">
      <c r="B7137" s="545">
        <v>8713</v>
      </c>
      <c r="C7137" s="545" t="s">
        <v>6093</v>
      </c>
      <c r="D7137" s="669" t="s">
        <v>365</v>
      </c>
      <c r="E7137" s="546">
        <v>1108.3264770000001</v>
      </c>
    </row>
    <row r="7138" spans="2:5" x14ac:dyDescent="0.25">
      <c r="B7138" s="545">
        <v>8714</v>
      </c>
      <c r="C7138" s="545" t="s">
        <v>6098</v>
      </c>
      <c r="D7138" s="669" t="s">
        <v>365</v>
      </c>
      <c r="E7138" s="546">
        <v>1115.546161</v>
      </c>
    </row>
    <row r="7139" spans="2:5" x14ac:dyDescent="0.25">
      <c r="B7139" s="545">
        <v>8715</v>
      </c>
      <c r="C7139" s="545" t="s">
        <v>6943</v>
      </c>
      <c r="D7139" s="669" t="s">
        <v>365</v>
      </c>
      <c r="E7139" s="546">
        <v>1050.0823580000001</v>
      </c>
    </row>
    <row r="7140" spans="2:5" x14ac:dyDescent="0.25">
      <c r="B7140" s="545">
        <v>8717</v>
      </c>
      <c r="C7140" s="545" t="s">
        <v>6001</v>
      </c>
      <c r="D7140" s="669" t="s">
        <v>365</v>
      </c>
      <c r="E7140" s="546">
        <v>1048.8228590000001</v>
      </c>
    </row>
    <row r="7141" spans="2:5" x14ac:dyDescent="0.25">
      <c r="B7141" s="545">
        <v>8720</v>
      </c>
      <c r="C7141" s="545" t="s">
        <v>5882</v>
      </c>
      <c r="D7141" s="669" t="s">
        <v>365</v>
      </c>
      <c r="E7141" s="546">
        <v>993.24285499999996</v>
      </c>
    </row>
    <row r="7142" spans="2:5" x14ac:dyDescent="0.25">
      <c r="B7142" s="545">
        <v>8751</v>
      </c>
      <c r="C7142" s="545" t="s">
        <v>5542</v>
      </c>
      <c r="D7142" s="669" t="s">
        <v>373</v>
      </c>
      <c r="E7142" s="546">
        <v>902.14375299999995</v>
      </c>
    </row>
    <row r="7143" spans="2:5" x14ac:dyDescent="0.25">
      <c r="B7143" s="545">
        <v>8752</v>
      </c>
      <c r="C7143" s="545" t="s">
        <v>6515</v>
      </c>
      <c r="D7143" s="669" t="s">
        <v>373</v>
      </c>
      <c r="E7143" s="546">
        <v>997.07646599999998</v>
      </c>
    </row>
    <row r="7144" spans="2:5" x14ac:dyDescent="0.25">
      <c r="B7144" s="545">
        <v>8753</v>
      </c>
      <c r="C7144" s="545" t="s">
        <v>5873</v>
      </c>
      <c r="D7144" s="669" t="s">
        <v>373</v>
      </c>
      <c r="E7144" s="546">
        <v>989.67999599999996</v>
      </c>
    </row>
    <row r="7145" spans="2:5" x14ac:dyDescent="0.25">
      <c r="B7145" s="545">
        <v>8754</v>
      </c>
      <c r="C7145" s="545" t="s">
        <v>1426</v>
      </c>
      <c r="D7145" s="669" t="s">
        <v>373</v>
      </c>
      <c r="E7145" s="546">
        <v>997.94090700000004</v>
      </c>
    </row>
    <row r="7146" spans="2:5" x14ac:dyDescent="0.25">
      <c r="B7146" s="545">
        <v>8755</v>
      </c>
      <c r="C7146" s="545" t="s">
        <v>373</v>
      </c>
      <c r="D7146" s="669" t="s">
        <v>373</v>
      </c>
      <c r="E7146" s="546">
        <v>976.15556200000003</v>
      </c>
    </row>
    <row r="7147" spans="2:5" x14ac:dyDescent="0.25">
      <c r="B7147" s="545">
        <v>8756</v>
      </c>
      <c r="C7147" s="545" t="s">
        <v>5991</v>
      </c>
      <c r="D7147" s="669" t="s">
        <v>373</v>
      </c>
      <c r="E7147" s="546">
        <v>1044.194438</v>
      </c>
    </row>
    <row r="7148" spans="2:5" x14ac:dyDescent="0.25">
      <c r="B7148" s="545">
        <v>8757</v>
      </c>
      <c r="C7148" s="545" t="s">
        <v>5855</v>
      </c>
      <c r="D7148" s="669" t="s">
        <v>373</v>
      </c>
      <c r="E7148" s="546">
        <v>985.08000500000003</v>
      </c>
    </row>
    <row r="7149" spans="2:5" x14ac:dyDescent="0.25">
      <c r="B7149" s="545">
        <v>8758</v>
      </c>
      <c r="C7149" s="545" t="s">
        <v>5359</v>
      </c>
      <c r="D7149" s="669" t="s">
        <v>373</v>
      </c>
      <c r="E7149" s="546">
        <v>872.00001299999997</v>
      </c>
    </row>
    <row r="7150" spans="2:5" x14ac:dyDescent="0.25">
      <c r="B7150" s="545">
        <v>8759</v>
      </c>
      <c r="C7150" s="545" t="s">
        <v>5917</v>
      </c>
      <c r="D7150" s="669" t="s">
        <v>373</v>
      </c>
      <c r="E7150" s="546">
        <v>1007.209522</v>
      </c>
    </row>
    <row r="7151" spans="2:5" x14ac:dyDescent="0.25">
      <c r="B7151" s="545">
        <v>8760</v>
      </c>
      <c r="C7151" s="545" t="s">
        <v>5217</v>
      </c>
      <c r="D7151" s="669" t="s">
        <v>373</v>
      </c>
      <c r="E7151" s="546">
        <v>848.322225</v>
      </c>
    </row>
    <row r="7152" spans="2:5" x14ac:dyDescent="0.25">
      <c r="B7152" s="545">
        <v>8761</v>
      </c>
      <c r="C7152" s="545" t="s">
        <v>4481</v>
      </c>
      <c r="D7152" s="669" t="s">
        <v>373</v>
      </c>
      <c r="E7152" s="546">
        <v>995.68125299999997</v>
      </c>
    </row>
    <row r="7153" spans="2:5" x14ac:dyDescent="0.25">
      <c r="B7153" s="545">
        <v>8762</v>
      </c>
      <c r="C7153" s="545" t="s">
        <v>6708</v>
      </c>
      <c r="D7153" s="669" t="s">
        <v>373</v>
      </c>
      <c r="E7153" s="546">
        <v>956.5</v>
      </c>
    </row>
    <row r="7154" spans="2:5" x14ac:dyDescent="0.25">
      <c r="B7154" s="545">
        <v>8763</v>
      </c>
      <c r="C7154" s="545" t="s">
        <v>5822</v>
      </c>
      <c r="D7154" s="669" t="s">
        <v>373</v>
      </c>
      <c r="E7154" s="546">
        <v>972.36111500000004</v>
      </c>
    </row>
    <row r="7155" spans="2:5" x14ac:dyDescent="0.25">
      <c r="B7155" s="545">
        <v>8764</v>
      </c>
      <c r="C7155" s="545" t="s">
        <v>5951</v>
      </c>
      <c r="D7155" s="669" t="s">
        <v>373</v>
      </c>
      <c r="E7155" s="546">
        <v>1027.561113</v>
      </c>
    </row>
    <row r="7156" spans="2:5" x14ac:dyDescent="0.25">
      <c r="B7156" s="545">
        <v>8765</v>
      </c>
      <c r="C7156" s="545" t="s">
        <v>5906</v>
      </c>
      <c r="D7156" s="669" t="s">
        <v>373</v>
      </c>
      <c r="E7156" s="546">
        <v>1002.700012</v>
      </c>
    </row>
    <row r="7157" spans="2:5" x14ac:dyDescent="0.25">
      <c r="B7157" s="545">
        <v>8766</v>
      </c>
      <c r="C7157" s="545" t="s">
        <v>5920</v>
      </c>
      <c r="D7157" s="669" t="s">
        <v>373</v>
      </c>
      <c r="E7157" s="546">
        <v>1009.03333</v>
      </c>
    </row>
    <row r="7158" spans="2:5" x14ac:dyDescent="0.25">
      <c r="B7158" s="545">
        <v>8767</v>
      </c>
      <c r="C7158" s="545" t="s">
        <v>5557</v>
      </c>
      <c r="D7158" s="669" t="s">
        <v>373</v>
      </c>
      <c r="E7158" s="546">
        <v>1028.96111</v>
      </c>
    </row>
    <row r="7159" spans="2:5" x14ac:dyDescent="0.25">
      <c r="B7159" s="545">
        <v>8768</v>
      </c>
      <c r="C7159" s="545" t="s">
        <v>5806</v>
      </c>
      <c r="D7159" s="669" t="s">
        <v>373</v>
      </c>
      <c r="E7159" s="546">
        <v>967.83998999999994</v>
      </c>
    </row>
    <row r="7160" spans="2:5" x14ac:dyDescent="0.25">
      <c r="B7160" s="545">
        <v>8769</v>
      </c>
      <c r="C7160" s="545" t="s">
        <v>700</v>
      </c>
      <c r="D7160" s="669" t="s">
        <v>373</v>
      </c>
      <c r="E7160" s="546">
        <v>1005.427277</v>
      </c>
    </row>
    <row r="7161" spans="2:5" x14ac:dyDescent="0.25">
      <c r="B7161" s="545">
        <v>8770</v>
      </c>
      <c r="C7161" s="545" t="s">
        <v>6019</v>
      </c>
      <c r="D7161" s="669" t="s">
        <v>373</v>
      </c>
      <c r="E7161" s="546">
        <v>1056.2999990000001</v>
      </c>
    </row>
    <row r="7162" spans="2:5" x14ac:dyDescent="0.25">
      <c r="B7162" s="545">
        <v>8771</v>
      </c>
      <c r="C7162" s="545" t="s">
        <v>5823</v>
      </c>
      <c r="D7162" s="669" t="s">
        <v>373</v>
      </c>
      <c r="E7162" s="546">
        <v>973.05000299999995</v>
      </c>
    </row>
    <row r="7163" spans="2:5" x14ac:dyDescent="0.25">
      <c r="B7163" s="545">
        <v>8772</v>
      </c>
      <c r="C7163" s="545" t="s">
        <v>5753</v>
      </c>
      <c r="D7163" s="669" t="s">
        <v>373</v>
      </c>
      <c r="E7163" s="546">
        <v>953.82058700000005</v>
      </c>
    </row>
    <row r="7164" spans="2:5" x14ac:dyDescent="0.25">
      <c r="B7164" s="545">
        <v>8773</v>
      </c>
      <c r="C7164" s="545" t="s">
        <v>5290</v>
      </c>
      <c r="D7164" s="669" t="s">
        <v>373</v>
      </c>
      <c r="E7164" s="546">
        <v>859.64666699999998</v>
      </c>
    </row>
    <row r="7165" spans="2:5" x14ac:dyDescent="0.25">
      <c r="B7165" s="545">
        <v>8774</v>
      </c>
      <c r="C7165" s="545" t="s">
        <v>5549</v>
      </c>
      <c r="D7165" s="669" t="s">
        <v>373</v>
      </c>
      <c r="E7165" s="546">
        <v>904.11817499999995</v>
      </c>
    </row>
    <row r="7166" spans="2:5" x14ac:dyDescent="0.25">
      <c r="B7166" s="545">
        <v>8775</v>
      </c>
      <c r="C7166" s="545" t="s">
        <v>7321</v>
      </c>
      <c r="D7166" s="669" t="s">
        <v>373</v>
      </c>
      <c r="E7166" s="546">
        <v>1027.871416</v>
      </c>
    </row>
    <row r="7167" spans="2:5" x14ac:dyDescent="0.25">
      <c r="B7167" s="545">
        <v>8776</v>
      </c>
      <c r="C7167" s="545" t="s">
        <v>4487</v>
      </c>
      <c r="D7167" s="669" t="s">
        <v>373</v>
      </c>
      <c r="E7167" s="546">
        <v>1001</v>
      </c>
    </row>
    <row r="7168" spans="2:5" x14ac:dyDescent="0.25">
      <c r="B7168" s="545">
        <v>8777</v>
      </c>
      <c r="C7168" s="545" t="s">
        <v>5364</v>
      </c>
      <c r="D7168" s="669" t="s">
        <v>373</v>
      </c>
      <c r="E7168" s="546">
        <v>873.47272799999996</v>
      </c>
    </row>
    <row r="7169" spans="2:5" x14ac:dyDescent="0.25">
      <c r="B7169" s="545">
        <v>8778</v>
      </c>
      <c r="C7169" s="545" t="s">
        <v>7420</v>
      </c>
      <c r="D7169" s="669" t="s">
        <v>373</v>
      </c>
      <c r="E7169" s="546">
        <v>994.01612699999998</v>
      </c>
    </row>
    <row r="7170" spans="2:5" x14ac:dyDescent="0.25">
      <c r="B7170" s="545">
        <v>8779</v>
      </c>
      <c r="C7170" s="545" t="s">
        <v>7497</v>
      </c>
      <c r="D7170" s="669" t="s">
        <v>373</v>
      </c>
      <c r="E7170" s="546">
        <v>1006.327276</v>
      </c>
    </row>
    <row r="7171" spans="2:5" x14ac:dyDescent="0.25">
      <c r="B7171" s="545">
        <v>8780</v>
      </c>
      <c r="C7171" s="545" t="s">
        <v>5988</v>
      </c>
      <c r="D7171" s="669" t="s">
        <v>373</v>
      </c>
      <c r="E7171" s="546">
        <v>1043.8882450000001</v>
      </c>
    </row>
    <row r="7172" spans="2:5" x14ac:dyDescent="0.25">
      <c r="B7172" s="545">
        <v>8781</v>
      </c>
      <c r="C7172" s="545" t="s">
        <v>5898</v>
      </c>
      <c r="D7172" s="669" t="s">
        <v>373</v>
      </c>
      <c r="E7172" s="546">
        <v>997.66665599999999</v>
      </c>
    </row>
    <row r="7173" spans="2:5" x14ac:dyDescent="0.25">
      <c r="B7173" s="545">
        <v>8782</v>
      </c>
      <c r="C7173" s="545" t="s">
        <v>5639</v>
      </c>
      <c r="D7173" s="669" t="s">
        <v>373</v>
      </c>
      <c r="E7173" s="546">
        <v>922.49354600000004</v>
      </c>
    </row>
    <row r="7174" spans="2:5" x14ac:dyDescent="0.25">
      <c r="B7174" s="545">
        <v>8783</v>
      </c>
      <c r="C7174" s="545" t="s">
        <v>5793</v>
      </c>
      <c r="D7174" s="669" t="s">
        <v>373</v>
      </c>
      <c r="E7174" s="546">
        <v>964.383331</v>
      </c>
    </row>
    <row r="7175" spans="2:5" x14ac:dyDescent="0.25">
      <c r="B7175" s="545">
        <v>8784</v>
      </c>
      <c r="C7175" s="545" t="s">
        <v>5856</v>
      </c>
      <c r="D7175" s="669" t="s">
        <v>373</v>
      </c>
      <c r="E7175" s="546">
        <v>985.40713900000003</v>
      </c>
    </row>
    <row r="7176" spans="2:5" x14ac:dyDescent="0.25">
      <c r="B7176" s="545">
        <v>8801</v>
      </c>
      <c r="C7176" s="545" t="s">
        <v>4746</v>
      </c>
      <c r="D7176" s="669" t="s">
        <v>384</v>
      </c>
      <c r="E7176" s="546">
        <v>799.62221299999999</v>
      </c>
    </row>
    <row r="7177" spans="2:5" x14ac:dyDescent="0.25">
      <c r="B7177" s="545">
        <v>8802</v>
      </c>
      <c r="C7177" s="545" t="s">
        <v>4771</v>
      </c>
      <c r="D7177" s="669" t="s">
        <v>384</v>
      </c>
      <c r="E7177" s="546">
        <v>801.83333300000004</v>
      </c>
    </row>
    <row r="7178" spans="2:5" x14ac:dyDescent="0.25">
      <c r="B7178" s="545">
        <v>8803</v>
      </c>
      <c r="C7178" s="545" t="s">
        <v>4572</v>
      </c>
      <c r="D7178" s="669" t="s">
        <v>384</v>
      </c>
      <c r="E7178" s="546">
        <v>785.94998199999998</v>
      </c>
    </row>
    <row r="7179" spans="2:5" x14ac:dyDescent="0.25">
      <c r="B7179" s="545">
        <v>8804</v>
      </c>
      <c r="C7179" s="545" t="s">
        <v>4503</v>
      </c>
      <c r="D7179" s="669" t="s">
        <v>384</v>
      </c>
      <c r="E7179" s="546">
        <v>780.22855900000002</v>
      </c>
    </row>
    <row r="7180" spans="2:5" x14ac:dyDescent="0.25">
      <c r="B7180" s="545">
        <v>8805</v>
      </c>
      <c r="C7180" s="545" t="s">
        <v>4624</v>
      </c>
      <c r="D7180" s="669" t="s">
        <v>384</v>
      </c>
      <c r="E7180" s="546">
        <v>790.33333300000004</v>
      </c>
    </row>
    <row r="7181" spans="2:5" x14ac:dyDescent="0.25">
      <c r="B7181" s="545">
        <v>8806</v>
      </c>
      <c r="C7181" s="545" t="s">
        <v>4301</v>
      </c>
      <c r="D7181" s="669" t="s">
        <v>384</v>
      </c>
      <c r="E7181" s="546">
        <v>797.13636899999995</v>
      </c>
    </row>
    <row r="7182" spans="2:5" x14ac:dyDescent="0.25">
      <c r="B7182" s="545">
        <v>8807</v>
      </c>
      <c r="C7182" s="545" t="s">
        <v>4472</v>
      </c>
      <c r="D7182" s="669" t="s">
        <v>384</v>
      </c>
      <c r="E7182" s="546">
        <v>778.14999399999999</v>
      </c>
    </row>
    <row r="7183" spans="2:5" x14ac:dyDescent="0.25">
      <c r="B7183" s="545">
        <v>8808</v>
      </c>
      <c r="C7183" s="545" t="s">
        <v>7027</v>
      </c>
      <c r="D7183" s="669" t="s">
        <v>384</v>
      </c>
      <c r="E7183" s="546">
        <v>770.10713799999996</v>
      </c>
    </row>
    <row r="7184" spans="2:5" x14ac:dyDescent="0.25">
      <c r="B7184" s="545">
        <v>8809</v>
      </c>
      <c r="C7184" s="545" t="s">
        <v>4369</v>
      </c>
      <c r="D7184" s="669" t="s">
        <v>384</v>
      </c>
      <c r="E7184" s="546">
        <v>769.81000400000005</v>
      </c>
    </row>
    <row r="7185" spans="2:5" x14ac:dyDescent="0.25">
      <c r="B7185" s="545">
        <v>8810</v>
      </c>
      <c r="C7185" s="545" t="s">
        <v>3812</v>
      </c>
      <c r="D7185" s="669" t="s">
        <v>384</v>
      </c>
      <c r="E7185" s="546">
        <v>733.45001200000002</v>
      </c>
    </row>
    <row r="7186" spans="2:5" x14ac:dyDescent="0.25">
      <c r="B7186" s="545">
        <v>8811</v>
      </c>
      <c r="C7186" s="545" t="s">
        <v>4256</v>
      </c>
      <c r="D7186" s="669" t="s">
        <v>384</v>
      </c>
      <c r="E7186" s="546">
        <v>761.36667899999998</v>
      </c>
    </row>
    <row r="7187" spans="2:5" x14ac:dyDescent="0.25">
      <c r="B7187" s="545">
        <v>8812</v>
      </c>
      <c r="C7187" s="545" t="s">
        <v>4533</v>
      </c>
      <c r="D7187" s="669" t="s">
        <v>384</v>
      </c>
      <c r="E7187" s="546">
        <v>782.48000500000001</v>
      </c>
    </row>
    <row r="7188" spans="2:5" x14ac:dyDescent="0.25">
      <c r="B7188" s="545">
        <v>8813</v>
      </c>
      <c r="C7188" s="545" t="s">
        <v>6514</v>
      </c>
      <c r="D7188" s="669" t="s">
        <v>384</v>
      </c>
      <c r="E7188" s="546">
        <v>776.21428600000002</v>
      </c>
    </row>
    <row r="7189" spans="2:5" x14ac:dyDescent="0.25">
      <c r="B7189" s="545">
        <v>8814</v>
      </c>
      <c r="C7189" s="545" t="s">
        <v>1549</v>
      </c>
      <c r="D7189" s="669" t="s">
        <v>384</v>
      </c>
      <c r="E7189" s="546">
        <v>782.83846300000005</v>
      </c>
    </row>
    <row r="7190" spans="2:5" x14ac:dyDescent="0.25">
      <c r="B7190" s="545">
        <v>8815</v>
      </c>
      <c r="C7190" s="545" t="s">
        <v>4458</v>
      </c>
      <c r="D7190" s="669" t="s">
        <v>384</v>
      </c>
      <c r="E7190" s="546">
        <v>777.30832399999997</v>
      </c>
    </row>
    <row r="7191" spans="2:5" x14ac:dyDescent="0.25">
      <c r="B7191" s="545">
        <v>8816</v>
      </c>
      <c r="C7191" s="545" t="s">
        <v>4547</v>
      </c>
      <c r="D7191" s="669" t="s">
        <v>384</v>
      </c>
      <c r="E7191" s="546">
        <v>783.81176400000004</v>
      </c>
    </row>
    <row r="7192" spans="2:5" x14ac:dyDescent="0.25">
      <c r="B7192" s="545">
        <v>8817</v>
      </c>
      <c r="C7192" s="545" t="s">
        <v>4007</v>
      </c>
      <c r="D7192" s="669" t="s">
        <v>384</v>
      </c>
      <c r="E7192" s="546">
        <v>745.37999300000001</v>
      </c>
    </row>
    <row r="7193" spans="2:5" x14ac:dyDescent="0.25">
      <c r="B7193" s="545">
        <v>8818</v>
      </c>
      <c r="C7193" s="545" t="s">
        <v>4384</v>
      </c>
      <c r="D7193" s="669" t="s">
        <v>384</v>
      </c>
      <c r="E7193" s="546">
        <v>770.84999600000003</v>
      </c>
    </row>
    <row r="7194" spans="2:5" x14ac:dyDescent="0.25">
      <c r="B7194" s="545">
        <v>8819</v>
      </c>
      <c r="C7194" s="545" t="s">
        <v>4420</v>
      </c>
      <c r="D7194" s="669" t="s">
        <v>384</v>
      </c>
      <c r="E7194" s="546">
        <v>774.25</v>
      </c>
    </row>
    <row r="7195" spans="2:5" x14ac:dyDescent="0.25">
      <c r="B7195" s="545">
        <v>8820</v>
      </c>
      <c r="C7195" s="545" t="s">
        <v>4499</v>
      </c>
      <c r="D7195" s="669" t="s">
        <v>384</v>
      </c>
      <c r="E7195" s="546">
        <v>779.99285499999996</v>
      </c>
    </row>
    <row r="7196" spans="2:5" x14ac:dyDescent="0.25">
      <c r="B7196" s="545">
        <v>8821</v>
      </c>
      <c r="C7196" s="545" t="s">
        <v>7225</v>
      </c>
      <c r="D7196" s="669" t="s">
        <v>384</v>
      </c>
      <c r="E7196" s="546">
        <v>792.80833900000005</v>
      </c>
    </row>
    <row r="7197" spans="2:5" x14ac:dyDescent="0.25">
      <c r="B7197" s="545">
        <v>8822</v>
      </c>
      <c r="C7197" s="545" t="s">
        <v>4581</v>
      </c>
      <c r="D7197" s="669" t="s">
        <v>384</v>
      </c>
      <c r="E7197" s="546">
        <v>786.56667100000004</v>
      </c>
    </row>
    <row r="7198" spans="2:5" x14ac:dyDescent="0.25">
      <c r="B7198" s="545">
        <v>8823</v>
      </c>
      <c r="C7198" s="545" t="s">
        <v>4311</v>
      </c>
      <c r="D7198" s="669" t="s">
        <v>384</v>
      </c>
      <c r="E7198" s="546">
        <v>765.57691799999998</v>
      </c>
    </row>
    <row r="7199" spans="2:5" x14ac:dyDescent="0.25">
      <c r="B7199" s="545">
        <v>8824</v>
      </c>
      <c r="C7199" s="545" t="s">
        <v>3093</v>
      </c>
      <c r="D7199" s="669" t="s">
        <v>384</v>
      </c>
      <c r="E7199" s="546">
        <v>785.10000600000001</v>
      </c>
    </row>
    <row r="7200" spans="2:5" x14ac:dyDescent="0.25">
      <c r="B7200" s="545">
        <v>8825</v>
      </c>
      <c r="C7200" s="545" t="s">
        <v>4526</v>
      </c>
      <c r="D7200" s="669" t="s">
        <v>384</v>
      </c>
      <c r="E7200" s="546">
        <v>781.58333300000004</v>
      </c>
    </row>
    <row r="7201" spans="2:5" x14ac:dyDescent="0.25">
      <c r="B7201" s="545">
        <v>8826</v>
      </c>
      <c r="C7201" s="545" t="s">
        <v>4546</v>
      </c>
      <c r="D7201" s="669" t="s">
        <v>384</v>
      </c>
      <c r="E7201" s="546">
        <v>783.75883199999998</v>
      </c>
    </row>
    <row r="7202" spans="2:5" x14ac:dyDescent="0.25">
      <c r="B7202" s="545">
        <v>8827</v>
      </c>
      <c r="C7202" s="545" t="s">
        <v>4592</v>
      </c>
      <c r="D7202" s="669" t="s">
        <v>384</v>
      </c>
      <c r="E7202" s="546">
        <v>787.48333200000002</v>
      </c>
    </row>
    <row r="7203" spans="2:5" x14ac:dyDescent="0.25">
      <c r="B7203" s="545">
        <v>8828</v>
      </c>
      <c r="C7203" s="545" t="s">
        <v>4770</v>
      </c>
      <c r="D7203" s="669" t="s">
        <v>384</v>
      </c>
      <c r="E7203" s="546">
        <v>801.81000400000005</v>
      </c>
    </row>
    <row r="7204" spans="2:5" x14ac:dyDescent="0.25">
      <c r="B7204" s="545">
        <v>8829</v>
      </c>
      <c r="C7204" s="545" t="s">
        <v>5502</v>
      </c>
      <c r="D7204" s="669" t="s">
        <v>384</v>
      </c>
      <c r="E7204" s="546">
        <v>896.13333599999999</v>
      </c>
    </row>
    <row r="7205" spans="2:5" x14ac:dyDescent="0.25">
      <c r="B7205" s="545">
        <v>8830</v>
      </c>
      <c r="C7205" s="545" t="s">
        <v>5043</v>
      </c>
      <c r="D7205" s="669" t="s">
        <v>384</v>
      </c>
      <c r="E7205" s="546">
        <v>827.27222700000004</v>
      </c>
    </row>
    <row r="7206" spans="2:5" x14ac:dyDescent="0.25">
      <c r="B7206" s="545">
        <v>8831</v>
      </c>
      <c r="C7206" s="545" t="s">
        <v>4433</v>
      </c>
      <c r="D7206" s="669" t="s">
        <v>384</v>
      </c>
      <c r="E7206" s="546">
        <v>775.47272799999996</v>
      </c>
    </row>
    <row r="7207" spans="2:5" x14ac:dyDescent="0.25">
      <c r="B7207" s="545">
        <v>8832</v>
      </c>
      <c r="C7207" s="545" t="s">
        <v>4294</v>
      </c>
      <c r="D7207" s="669" t="s">
        <v>384</v>
      </c>
      <c r="E7207" s="546">
        <v>764.08570199999997</v>
      </c>
    </row>
    <row r="7208" spans="2:5" x14ac:dyDescent="0.25">
      <c r="B7208" s="545">
        <v>8833</v>
      </c>
      <c r="C7208" s="545" t="s">
        <v>4428</v>
      </c>
      <c r="D7208" s="669" t="s">
        <v>384</v>
      </c>
      <c r="E7208" s="546">
        <v>774.97777599999995</v>
      </c>
    </row>
    <row r="7209" spans="2:5" x14ac:dyDescent="0.25">
      <c r="B7209" s="545">
        <v>8834</v>
      </c>
      <c r="C7209" s="545" t="s">
        <v>4291</v>
      </c>
      <c r="D7209" s="669" t="s">
        <v>384</v>
      </c>
      <c r="E7209" s="546">
        <v>763.77856899999995</v>
      </c>
    </row>
    <row r="7210" spans="2:5" x14ac:dyDescent="0.25">
      <c r="B7210" s="545">
        <v>8835</v>
      </c>
      <c r="C7210" s="545" t="s">
        <v>4273</v>
      </c>
      <c r="D7210" s="669" t="s">
        <v>384</v>
      </c>
      <c r="E7210" s="546">
        <v>762.83331299999998</v>
      </c>
    </row>
    <row r="7211" spans="2:5" x14ac:dyDescent="0.25">
      <c r="B7211" s="545">
        <v>8836</v>
      </c>
      <c r="C7211" s="545" t="s">
        <v>4899</v>
      </c>
      <c r="D7211" s="669" t="s">
        <v>384</v>
      </c>
      <c r="E7211" s="546">
        <v>812.17727400000001</v>
      </c>
    </row>
    <row r="7212" spans="2:5" x14ac:dyDescent="0.25">
      <c r="B7212" s="545">
        <v>8837</v>
      </c>
      <c r="C7212" s="545" t="s">
        <v>908</v>
      </c>
      <c r="D7212" s="669" t="s">
        <v>384</v>
      </c>
      <c r="E7212" s="546">
        <v>742.92000700000006</v>
      </c>
    </row>
    <row r="7213" spans="2:5" x14ac:dyDescent="0.25">
      <c r="B7213" s="545">
        <v>8838</v>
      </c>
      <c r="C7213" s="545" t="s">
        <v>1269</v>
      </c>
      <c r="D7213" s="669" t="s">
        <v>384</v>
      </c>
      <c r="E7213" s="546">
        <v>844.65002400000003</v>
      </c>
    </row>
    <row r="7214" spans="2:5" x14ac:dyDescent="0.25">
      <c r="B7214" s="545">
        <v>8839</v>
      </c>
      <c r="C7214" s="545" t="s">
        <v>4351</v>
      </c>
      <c r="D7214" s="669" t="s">
        <v>384</v>
      </c>
      <c r="E7214" s="546">
        <v>768.26153099999999</v>
      </c>
    </row>
    <row r="7215" spans="2:5" x14ac:dyDescent="0.25">
      <c r="B7215" s="545">
        <v>8840</v>
      </c>
      <c r="C7215" s="545" t="s">
        <v>4199</v>
      </c>
      <c r="D7215" s="669" t="s">
        <v>384</v>
      </c>
      <c r="E7215" s="546">
        <v>757.72666800000002</v>
      </c>
    </row>
    <row r="7216" spans="2:5" x14ac:dyDescent="0.25">
      <c r="B7216" s="545">
        <v>8841</v>
      </c>
      <c r="C7216" s="545" t="s">
        <v>6499</v>
      </c>
      <c r="D7216" s="669" t="s">
        <v>384</v>
      </c>
      <c r="E7216" s="546">
        <v>768.51000399999998</v>
      </c>
    </row>
    <row r="7217" spans="2:5" x14ac:dyDescent="0.25">
      <c r="B7217" s="545">
        <v>8842</v>
      </c>
      <c r="C7217" s="545" t="s">
        <v>7197</v>
      </c>
      <c r="D7217" s="669" t="s">
        <v>384</v>
      </c>
      <c r="E7217" s="546">
        <v>763.25556800000004</v>
      </c>
    </row>
    <row r="7218" spans="2:5" x14ac:dyDescent="0.25">
      <c r="B7218" s="545">
        <v>8843</v>
      </c>
      <c r="C7218" s="545" t="s">
        <v>4207</v>
      </c>
      <c r="D7218" s="669" t="s">
        <v>384</v>
      </c>
      <c r="E7218" s="546">
        <v>758.02499399999999</v>
      </c>
    </row>
    <row r="7219" spans="2:5" x14ac:dyDescent="0.25">
      <c r="B7219" s="545">
        <v>8844</v>
      </c>
      <c r="C7219" s="545" t="s">
        <v>384</v>
      </c>
      <c r="D7219" s="669" t="s">
        <v>384</v>
      </c>
      <c r="E7219" s="546">
        <v>750.78571399999998</v>
      </c>
    </row>
    <row r="7220" spans="2:5" x14ac:dyDescent="0.25">
      <c r="B7220" s="545">
        <v>8845</v>
      </c>
      <c r="C7220" s="545" t="s">
        <v>7201</v>
      </c>
      <c r="D7220" s="669" t="s">
        <v>384</v>
      </c>
      <c r="E7220" s="546">
        <v>789.04000199999996</v>
      </c>
    </row>
    <row r="7221" spans="2:5" x14ac:dyDescent="0.25">
      <c r="B7221" s="545">
        <v>8846</v>
      </c>
      <c r="C7221" s="545" t="s">
        <v>5268</v>
      </c>
      <c r="D7221" s="669" t="s">
        <v>384</v>
      </c>
      <c r="E7221" s="546">
        <v>856.46110699999997</v>
      </c>
    </row>
    <row r="7222" spans="2:5" x14ac:dyDescent="0.25">
      <c r="B7222" s="545">
        <v>8847</v>
      </c>
      <c r="C7222" s="545" t="s">
        <v>4936</v>
      </c>
      <c r="D7222" s="669" t="s">
        <v>384</v>
      </c>
      <c r="E7222" s="546">
        <v>815.240002</v>
      </c>
    </row>
    <row r="7223" spans="2:5" x14ac:dyDescent="0.25">
      <c r="B7223" s="545">
        <v>8848</v>
      </c>
      <c r="C7223" s="545" t="s">
        <v>4824</v>
      </c>
      <c r="D7223" s="669" t="s">
        <v>384</v>
      </c>
      <c r="E7223" s="546">
        <v>805.66665999999998</v>
      </c>
    </row>
    <row r="7224" spans="2:5" x14ac:dyDescent="0.25">
      <c r="B7224" s="545">
        <v>8849</v>
      </c>
      <c r="C7224" s="545" t="s">
        <v>7338</v>
      </c>
      <c r="D7224" s="669" t="s">
        <v>384</v>
      </c>
      <c r="E7224" s="546">
        <v>779.28571399999998</v>
      </c>
    </row>
    <row r="7225" spans="2:5" x14ac:dyDescent="0.25">
      <c r="B7225" s="545">
        <v>8850</v>
      </c>
      <c r="C7225" s="545" t="s">
        <v>4510</v>
      </c>
      <c r="D7225" s="669" t="s">
        <v>384</v>
      </c>
      <c r="E7225" s="546">
        <v>780.527781</v>
      </c>
    </row>
    <row r="7226" spans="2:5" x14ac:dyDescent="0.25">
      <c r="B7226" s="545">
        <v>8851</v>
      </c>
      <c r="C7226" s="545" t="s">
        <v>6930</v>
      </c>
      <c r="D7226" s="669" t="s">
        <v>384</v>
      </c>
      <c r="E7226" s="546">
        <v>817.91249800000003</v>
      </c>
    </row>
    <row r="7227" spans="2:5" x14ac:dyDescent="0.25">
      <c r="B7227" s="545">
        <v>8852</v>
      </c>
      <c r="C7227" s="545" t="s">
        <v>4511</v>
      </c>
      <c r="D7227" s="669" t="s">
        <v>384</v>
      </c>
      <c r="E7227" s="546">
        <v>780.55000500000006</v>
      </c>
    </row>
    <row r="7228" spans="2:5" x14ac:dyDescent="0.25">
      <c r="B7228" s="545">
        <v>8853</v>
      </c>
      <c r="C7228" s="545" t="s">
        <v>5313</v>
      </c>
      <c r="D7228" s="669" t="s">
        <v>384</v>
      </c>
      <c r="E7228" s="546">
        <v>863.82632000000001</v>
      </c>
    </row>
    <row r="7229" spans="2:5" x14ac:dyDescent="0.25">
      <c r="B7229" s="545">
        <v>8854</v>
      </c>
      <c r="C7229" s="545" t="s">
        <v>5188</v>
      </c>
      <c r="D7229" s="669" t="s">
        <v>384</v>
      </c>
      <c r="E7229" s="546">
        <v>844.56666099999995</v>
      </c>
    </row>
    <row r="7230" spans="2:5" x14ac:dyDescent="0.25">
      <c r="B7230" s="545">
        <v>8855</v>
      </c>
      <c r="C7230" s="545" t="s">
        <v>5181</v>
      </c>
      <c r="D7230" s="669" t="s">
        <v>384</v>
      </c>
      <c r="E7230" s="546">
        <v>842.82999900000004</v>
      </c>
    </row>
    <row r="7231" spans="2:5" x14ac:dyDescent="0.25">
      <c r="B7231" s="545">
        <v>8856</v>
      </c>
      <c r="C7231" s="545" t="s">
        <v>5393</v>
      </c>
      <c r="D7231" s="669" t="s">
        <v>384</v>
      </c>
      <c r="E7231" s="546">
        <v>878.47777599999995</v>
      </c>
    </row>
    <row r="7232" spans="2:5" x14ac:dyDescent="0.25">
      <c r="B7232" s="545">
        <v>8857</v>
      </c>
      <c r="C7232" s="545" t="s">
        <v>5060</v>
      </c>
      <c r="D7232" s="669" t="s">
        <v>384</v>
      </c>
      <c r="E7232" s="546">
        <v>829.40002400000003</v>
      </c>
    </row>
    <row r="7233" spans="2:5" x14ac:dyDescent="0.25">
      <c r="B7233" s="545">
        <v>8858</v>
      </c>
      <c r="C7233" s="545" t="s">
        <v>5024</v>
      </c>
      <c r="D7233" s="669" t="s">
        <v>384</v>
      </c>
      <c r="E7233" s="546">
        <v>831.25555799999995</v>
      </c>
    </row>
    <row r="7234" spans="2:5" x14ac:dyDescent="0.25">
      <c r="B7234" s="545">
        <v>8859</v>
      </c>
      <c r="C7234" s="545" t="s">
        <v>4136</v>
      </c>
      <c r="D7234" s="669" t="s">
        <v>384</v>
      </c>
      <c r="E7234" s="546">
        <v>898.58333800000003</v>
      </c>
    </row>
    <row r="7235" spans="2:5" x14ac:dyDescent="0.25">
      <c r="B7235" s="545">
        <v>8860</v>
      </c>
      <c r="C7235" s="545" t="s">
        <v>5605</v>
      </c>
      <c r="D7235" s="669" t="s">
        <v>384</v>
      </c>
      <c r="E7235" s="546">
        <v>912.67500299999995</v>
      </c>
    </row>
    <row r="7236" spans="2:5" x14ac:dyDescent="0.25">
      <c r="B7236" s="545">
        <v>8901</v>
      </c>
      <c r="C7236" s="545" t="s">
        <v>368</v>
      </c>
      <c r="D7236" s="669" t="s">
        <v>368</v>
      </c>
      <c r="E7236" s="546">
        <v>788.10001</v>
      </c>
    </row>
    <row r="7237" spans="2:5" x14ac:dyDescent="0.25">
      <c r="B7237" s="545">
        <v>8902</v>
      </c>
      <c r="C7237" s="545" t="s">
        <v>4757</v>
      </c>
      <c r="D7237" s="669" t="s">
        <v>368</v>
      </c>
      <c r="E7237" s="546">
        <v>800.58572000000004</v>
      </c>
    </row>
    <row r="7238" spans="2:5" x14ac:dyDescent="0.25">
      <c r="B7238" s="545">
        <v>8903</v>
      </c>
      <c r="C7238" s="545" t="s">
        <v>5185</v>
      </c>
      <c r="D7238" s="669" t="s">
        <v>368</v>
      </c>
      <c r="E7238" s="546">
        <v>844.11428799999999</v>
      </c>
    </row>
    <row r="7239" spans="2:5" x14ac:dyDescent="0.25">
      <c r="B7239" s="545">
        <v>8904</v>
      </c>
      <c r="C7239" s="545" t="s">
        <v>1373</v>
      </c>
      <c r="D7239" s="669" t="s">
        <v>368</v>
      </c>
      <c r="E7239" s="546">
        <v>851.13635299999999</v>
      </c>
    </row>
    <row r="7240" spans="2:5" x14ac:dyDescent="0.25">
      <c r="B7240" s="545">
        <v>8905</v>
      </c>
      <c r="C7240" s="545" t="s">
        <v>5101</v>
      </c>
      <c r="D7240" s="669" t="s">
        <v>368</v>
      </c>
      <c r="E7240" s="546">
        <v>833.23334199999999</v>
      </c>
    </row>
    <row r="7241" spans="2:5" x14ac:dyDescent="0.25">
      <c r="B7241" s="545">
        <v>8906</v>
      </c>
      <c r="C7241" s="545" t="s">
        <v>4981</v>
      </c>
      <c r="D7241" s="669" t="s">
        <v>368</v>
      </c>
      <c r="E7241" s="546">
        <v>840.05454899999995</v>
      </c>
    </row>
    <row r="7242" spans="2:5" x14ac:dyDescent="0.25">
      <c r="B7242" s="545">
        <v>8907</v>
      </c>
      <c r="C7242" s="545" t="s">
        <v>4995</v>
      </c>
      <c r="D7242" s="669" t="s">
        <v>368</v>
      </c>
      <c r="E7242" s="546">
        <v>822.40713900000003</v>
      </c>
    </row>
    <row r="7243" spans="2:5" x14ac:dyDescent="0.25">
      <c r="B7243" s="545">
        <v>8908</v>
      </c>
      <c r="C7243" s="545" t="s">
        <v>4796</v>
      </c>
      <c r="D7243" s="669" t="s">
        <v>368</v>
      </c>
      <c r="E7243" s="546">
        <v>803.10001</v>
      </c>
    </row>
    <row r="7244" spans="2:5" x14ac:dyDescent="0.25">
      <c r="B7244" s="545">
        <v>8909</v>
      </c>
      <c r="C7244" s="545" t="s">
        <v>5347</v>
      </c>
      <c r="D7244" s="669" t="s">
        <v>368</v>
      </c>
      <c r="E7244" s="546">
        <v>870.06363699999997</v>
      </c>
    </row>
    <row r="7245" spans="2:5" x14ac:dyDescent="0.25">
      <c r="B7245" s="545">
        <v>8910</v>
      </c>
      <c r="C7245" s="545" t="s">
        <v>1435</v>
      </c>
      <c r="D7245" s="669" t="s">
        <v>368</v>
      </c>
      <c r="E7245" s="546">
        <v>882.29999899999996</v>
      </c>
    </row>
    <row r="7246" spans="2:5" x14ac:dyDescent="0.25">
      <c r="B7246" s="545">
        <v>8911</v>
      </c>
      <c r="C7246" s="545" t="s">
        <v>5731</v>
      </c>
      <c r="D7246" s="669" t="s">
        <v>368</v>
      </c>
      <c r="E7246" s="546">
        <v>948.06111299999998</v>
      </c>
    </row>
    <row r="7247" spans="2:5" x14ac:dyDescent="0.25">
      <c r="B7247" s="545">
        <v>8912</v>
      </c>
      <c r="C7247" s="545" t="s">
        <v>4971</v>
      </c>
      <c r="D7247" s="669" t="s">
        <v>368</v>
      </c>
      <c r="E7247" s="546">
        <v>819.14167299999997</v>
      </c>
    </row>
    <row r="7248" spans="2:5" x14ac:dyDescent="0.25">
      <c r="B7248" s="545">
        <v>8913</v>
      </c>
      <c r="C7248" s="545" t="s">
        <v>5329</v>
      </c>
      <c r="D7248" s="669" t="s">
        <v>368</v>
      </c>
      <c r="E7248" s="546">
        <v>867.41249800000003</v>
      </c>
    </row>
    <row r="7249" spans="2:5" x14ac:dyDescent="0.25">
      <c r="B7249" s="545">
        <v>8914</v>
      </c>
      <c r="C7249" s="545" t="s">
        <v>4991</v>
      </c>
      <c r="D7249" s="669" t="s">
        <v>368</v>
      </c>
      <c r="E7249" s="546">
        <v>821.98570900000004</v>
      </c>
    </row>
    <row r="7250" spans="2:5" x14ac:dyDescent="0.25">
      <c r="B7250" s="545">
        <v>8915</v>
      </c>
      <c r="C7250" s="545" t="s">
        <v>4886</v>
      </c>
      <c r="D7250" s="669" t="s">
        <v>368</v>
      </c>
      <c r="E7250" s="546">
        <v>810.04001500000004</v>
      </c>
    </row>
    <row r="7251" spans="2:5" x14ac:dyDescent="0.25">
      <c r="B7251" s="545">
        <v>8916</v>
      </c>
      <c r="C7251" s="545" t="s">
        <v>2889</v>
      </c>
      <c r="D7251" s="669" t="s">
        <v>368</v>
      </c>
      <c r="E7251" s="546">
        <v>876.15714800000001</v>
      </c>
    </row>
    <row r="7252" spans="2:5" x14ac:dyDescent="0.25">
      <c r="B7252" s="545">
        <v>8918</v>
      </c>
      <c r="C7252" s="545" t="s">
        <v>5678</v>
      </c>
      <c r="D7252" s="669" t="s">
        <v>368</v>
      </c>
      <c r="E7252" s="546">
        <v>933.52940799999999</v>
      </c>
    </row>
    <row r="7253" spans="2:5" x14ac:dyDescent="0.25">
      <c r="B7253" s="545">
        <v>8919</v>
      </c>
      <c r="C7253" s="545" t="s">
        <v>5129</v>
      </c>
      <c r="D7253" s="669" t="s">
        <v>368</v>
      </c>
      <c r="E7253" s="546">
        <v>836.5</v>
      </c>
    </row>
    <row r="7254" spans="2:5" x14ac:dyDescent="0.25">
      <c r="B7254" s="545">
        <v>8920</v>
      </c>
      <c r="C7254" s="545" t="s">
        <v>5575</v>
      </c>
      <c r="D7254" s="669" t="s">
        <v>368</v>
      </c>
      <c r="E7254" s="546">
        <v>907.68999599999995</v>
      </c>
    </row>
    <row r="7255" spans="2:5" x14ac:dyDescent="0.25">
      <c r="B7255" s="545">
        <v>8921</v>
      </c>
      <c r="C7255" s="545" t="s">
        <v>4075</v>
      </c>
      <c r="D7255" s="669" t="s">
        <v>368</v>
      </c>
      <c r="E7255" s="546">
        <v>850.323533</v>
      </c>
    </row>
    <row r="7256" spans="2:5" x14ac:dyDescent="0.25">
      <c r="B7256" s="545">
        <v>8922</v>
      </c>
      <c r="C7256" s="545" t="s">
        <v>5465</v>
      </c>
      <c r="D7256" s="669" t="s">
        <v>368</v>
      </c>
      <c r="E7256" s="546">
        <v>891.10000600000001</v>
      </c>
    </row>
    <row r="7257" spans="2:5" x14ac:dyDescent="0.25">
      <c r="B7257" s="545">
        <v>8923</v>
      </c>
      <c r="C7257" s="545" t="s">
        <v>6503</v>
      </c>
      <c r="D7257" s="669" t="s">
        <v>368</v>
      </c>
      <c r="E7257" s="546">
        <v>777.27999299999999</v>
      </c>
    </row>
    <row r="7258" spans="2:5" x14ac:dyDescent="0.25">
      <c r="B7258" s="545">
        <v>8924</v>
      </c>
      <c r="C7258" s="545" t="s">
        <v>4718</v>
      </c>
      <c r="D7258" s="669" t="s">
        <v>368</v>
      </c>
      <c r="E7258" s="546">
        <v>797.58001100000001</v>
      </c>
    </row>
    <row r="7259" spans="2:5" x14ac:dyDescent="0.25">
      <c r="B7259" s="545">
        <v>8925</v>
      </c>
      <c r="C7259" s="545" t="s">
        <v>5229</v>
      </c>
      <c r="D7259" s="669" t="s">
        <v>368</v>
      </c>
      <c r="E7259" s="546">
        <v>850.184617</v>
      </c>
    </row>
    <row r="7260" spans="2:5" x14ac:dyDescent="0.25">
      <c r="B7260" s="545">
        <v>8926</v>
      </c>
      <c r="C7260" s="545" t="s">
        <v>4959</v>
      </c>
      <c r="D7260" s="669" t="s">
        <v>368</v>
      </c>
      <c r="E7260" s="546">
        <v>817.51110800000004</v>
      </c>
    </row>
    <row r="7261" spans="2:5" x14ac:dyDescent="0.25">
      <c r="B7261" s="545">
        <v>8927</v>
      </c>
      <c r="C7261" s="545" t="s">
        <v>4655</v>
      </c>
      <c r="D7261" s="669" t="s">
        <v>368</v>
      </c>
      <c r="E7261" s="546">
        <v>792.65832499999999</v>
      </c>
    </row>
    <row r="7262" spans="2:5" x14ac:dyDescent="0.25">
      <c r="B7262" s="545">
        <v>8928</v>
      </c>
      <c r="C7262" s="545" t="s">
        <v>5596</v>
      </c>
      <c r="D7262" s="669" t="s">
        <v>368</v>
      </c>
      <c r="E7262" s="546">
        <v>910.65555099999995</v>
      </c>
    </row>
    <row r="7263" spans="2:5" x14ac:dyDescent="0.25">
      <c r="B7263" s="545">
        <v>8929</v>
      </c>
      <c r="C7263" s="545" t="s">
        <v>5115</v>
      </c>
      <c r="D7263" s="669" t="s">
        <v>368</v>
      </c>
      <c r="E7263" s="546">
        <v>834.90000299999997</v>
      </c>
    </row>
    <row r="7264" spans="2:5" x14ac:dyDescent="0.25">
      <c r="B7264" s="545">
        <v>8930</v>
      </c>
      <c r="C7264" s="545" t="s">
        <v>4979</v>
      </c>
      <c r="D7264" s="669" t="s">
        <v>368</v>
      </c>
      <c r="E7264" s="546">
        <v>820.17142999999999</v>
      </c>
    </row>
    <row r="7265" spans="2:5" x14ac:dyDescent="0.25">
      <c r="B7265" s="545">
        <v>8931</v>
      </c>
      <c r="C7265" s="545" t="s">
        <v>4317</v>
      </c>
      <c r="D7265" s="669" t="s">
        <v>368</v>
      </c>
      <c r="E7265" s="546">
        <v>765.95555999999999</v>
      </c>
    </row>
    <row r="7266" spans="2:5" x14ac:dyDescent="0.25">
      <c r="B7266" s="545">
        <v>8932</v>
      </c>
      <c r="C7266" s="545" t="s">
        <v>5087</v>
      </c>
      <c r="D7266" s="669" t="s">
        <v>368</v>
      </c>
      <c r="E7266" s="546">
        <v>831.67000700000006</v>
      </c>
    </row>
    <row r="7267" spans="2:5" x14ac:dyDescent="0.25">
      <c r="B7267" s="545">
        <v>8933</v>
      </c>
      <c r="C7267" s="545" t="s">
        <v>5279</v>
      </c>
      <c r="D7267" s="669" t="s">
        <v>368</v>
      </c>
      <c r="E7267" s="546">
        <v>858</v>
      </c>
    </row>
    <row r="7268" spans="2:5" x14ac:dyDescent="0.25">
      <c r="B7268" s="545">
        <v>8934</v>
      </c>
      <c r="C7268" s="545" t="s">
        <v>7459</v>
      </c>
      <c r="D7268" s="669" t="s">
        <v>368</v>
      </c>
      <c r="E7268" s="546">
        <v>818.5</v>
      </c>
    </row>
    <row r="7269" spans="2:5" x14ac:dyDescent="0.25">
      <c r="B7269" s="545">
        <v>8935</v>
      </c>
      <c r="C7269" s="545" t="s">
        <v>2144</v>
      </c>
      <c r="D7269" s="669" t="s">
        <v>368</v>
      </c>
      <c r="E7269" s="546">
        <v>839.54286400000001</v>
      </c>
    </row>
    <row r="7270" spans="2:5" x14ac:dyDescent="0.25">
      <c r="B7270" s="545">
        <v>8936</v>
      </c>
      <c r="C7270" s="545" t="s">
        <v>4460</v>
      </c>
      <c r="D7270" s="669" t="s">
        <v>368</v>
      </c>
      <c r="E7270" s="546">
        <v>777.44000200000005</v>
      </c>
    </row>
    <row r="7271" spans="2:5" x14ac:dyDescent="0.25">
      <c r="B7271" s="545">
        <v>8937</v>
      </c>
      <c r="C7271" s="545" t="s">
        <v>7525</v>
      </c>
      <c r="D7271" s="669" t="s">
        <v>368</v>
      </c>
      <c r="E7271" s="546">
        <v>752.17142200000001</v>
      </c>
    </row>
    <row r="7272" spans="2:5" x14ac:dyDescent="0.25">
      <c r="B7272" s="545">
        <v>8938</v>
      </c>
      <c r="C7272" s="545" t="s">
        <v>7192</v>
      </c>
      <c r="D7272" s="669" t="s">
        <v>368</v>
      </c>
      <c r="E7272" s="546">
        <v>796.50001499999996</v>
      </c>
    </row>
    <row r="7273" spans="2:5" x14ac:dyDescent="0.25">
      <c r="B7273" s="545">
        <v>8939</v>
      </c>
      <c r="C7273" s="545" t="s">
        <v>4934</v>
      </c>
      <c r="D7273" s="669" t="s">
        <v>368</v>
      </c>
      <c r="E7273" s="546">
        <v>815.17499799999996</v>
      </c>
    </row>
    <row r="7274" spans="2:5" x14ac:dyDescent="0.25">
      <c r="B7274" s="545">
        <v>8940</v>
      </c>
      <c r="C7274" s="545" t="s">
        <v>5124</v>
      </c>
      <c r="D7274" s="669" t="s">
        <v>368</v>
      </c>
      <c r="E7274" s="546">
        <v>835.70000700000003</v>
      </c>
    </row>
    <row r="7275" spans="2:5" x14ac:dyDescent="0.25">
      <c r="B7275" s="545">
        <v>8941</v>
      </c>
      <c r="C7275" s="545" t="s">
        <v>5298</v>
      </c>
      <c r="D7275" s="669" t="s">
        <v>368</v>
      </c>
      <c r="E7275" s="546">
        <v>861.48000500000001</v>
      </c>
    </row>
    <row r="7276" spans="2:5" x14ac:dyDescent="0.25">
      <c r="B7276" s="545">
        <v>8942</v>
      </c>
      <c r="C7276" s="545" t="s">
        <v>4596</v>
      </c>
      <c r="D7276" s="669" t="s">
        <v>368</v>
      </c>
      <c r="E7276" s="546">
        <v>787.7</v>
      </c>
    </row>
    <row r="7277" spans="2:5" x14ac:dyDescent="0.25">
      <c r="B7277" s="545">
        <v>8943</v>
      </c>
      <c r="C7277" s="545" t="s">
        <v>5476</v>
      </c>
      <c r="D7277" s="669" t="s">
        <v>368</v>
      </c>
      <c r="E7277" s="546">
        <v>892.80000399999994</v>
      </c>
    </row>
    <row r="7278" spans="2:5" x14ac:dyDescent="0.25">
      <c r="B7278" s="545">
        <v>8944</v>
      </c>
      <c r="C7278" s="545" t="s">
        <v>7573</v>
      </c>
      <c r="D7278" s="669" t="s">
        <v>368</v>
      </c>
      <c r="E7278" s="546">
        <v>809.74615900000003</v>
      </c>
    </row>
    <row r="7279" spans="2:5" x14ac:dyDescent="0.25">
      <c r="B7279" s="545">
        <v>8945</v>
      </c>
      <c r="C7279" s="545" t="s">
        <v>6700</v>
      </c>
      <c r="D7279" s="669" t="s">
        <v>368</v>
      </c>
      <c r="E7279" s="546">
        <v>778.22222199999999</v>
      </c>
    </row>
    <row r="7280" spans="2:5" x14ac:dyDescent="0.25">
      <c r="B7280" s="545">
        <v>8946</v>
      </c>
      <c r="C7280" s="545" t="s">
        <v>6502</v>
      </c>
      <c r="D7280" s="669" t="s">
        <v>368</v>
      </c>
      <c r="E7280" s="546">
        <v>814.823083</v>
      </c>
    </row>
    <row r="7281" spans="2:5" x14ac:dyDescent="0.25">
      <c r="B7281" s="545">
        <v>8947</v>
      </c>
      <c r="C7281" s="545" t="s">
        <v>4994</v>
      </c>
      <c r="D7281" s="669" t="s">
        <v>368</v>
      </c>
      <c r="E7281" s="546">
        <v>822.34285599999998</v>
      </c>
    </row>
    <row r="7282" spans="2:5" x14ac:dyDescent="0.25">
      <c r="B7282" s="545">
        <v>8948</v>
      </c>
      <c r="C7282" s="545" t="s">
        <v>5145</v>
      </c>
      <c r="D7282" s="669" t="s">
        <v>368</v>
      </c>
      <c r="E7282" s="546">
        <v>838.16666699999996</v>
      </c>
    </row>
    <row r="7283" spans="2:5" x14ac:dyDescent="0.25">
      <c r="B7283" s="545">
        <v>8949</v>
      </c>
      <c r="C7283" s="545" t="s">
        <v>5083</v>
      </c>
      <c r="D7283" s="669" t="s">
        <v>368</v>
      </c>
      <c r="E7283" s="546">
        <v>831.37778000000003</v>
      </c>
    </row>
    <row r="7284" spans="2:5" x14ac:dyDescent="0.25">
      <c r="B7284" s="545">
        <v>8950</v>
      </c>
      <c r="C7284" s="545" t="s">
        <v>7191</v>
      </c>
      <c r="D7284" s="669" t="s">
        <v>368</v>
      </c>
      <c r="E7284" s="546">
        <v>827.69999199999995</v>
      </c>
    </row>
    <row r="7285" spans="2:5" x14ac:dyDescent="0.25">
      <c r="B7285" s="545">
        <v>8951</v>
      </c>
      <c r="C7285" s="545" t="s">
        <v>5811</v>
      </c>
      <c r="D7285" s="669" t="s">
        <v>368</v>
      </c>
      <c r="E7285" s="546">
        <v>968.77272200000004</v>
      </c>
    </row>
    <row r="7286" spans="2:5" x14ac:dyDescent="0.25">
      <c r="B7286" s="545">
        <v>9001</v>
      </c>
      <c r="C7286" s="545" t="s">
        <v>6021</v>
      </c>
      <c r="D7286" s="669" t="s">
        <v>7751</v>
      </c>
      <c r="E7286" s="546">
        <v>1058.853854</v>
      </c>
    </row>
    <row r="7287" spans="2:5" x14ac:dyDescent="0.25">
      <c r="B7287" s="545">
        <v>9002</v>
      </c>
      <c r="C7287" s="545" t="s">
        <v>5890</v>
      </c>
      <c r="D7287" s="669" t="s">
        <v>7751</v>
      </c>
      <c r="E7287" s="546">
        <v>995.37780099999998</v>
      </c>
    </row>
    <row r="7288" spans="2:5" x14ac:dyDescent="0.25">
      <c r="B7288" s="545">
        <v>9003</v>
      </c>
      <c r="C7288" s="545" t="s">
        <v>5273</v>
      </c>
      <c r="D7288" s="669" t="s">
        <v>7751</v>
      </c>
      <c r="E7288" s="546">
        <v>856.96666500000003</v>
      </c>
    </row>
    <row r="7289" spans="2:5" x14ac:dyDescent="0.25">
      <c r="B7289" s="545">
        <v>9004</v>
      </c>
      <c r="C7289" s="545" t="s">
        <v>5448</v>
      </c>
      <c r="D7289" s="669" t="s">
        <v>7751</v>
      </c>
      <c r="E7289" s="546">
        <v>887.30000800000005</v>
      </c>
    </row>
    <row r="7290" spans="2:5" x14ac:dyDescent="0.25">
      <c r="B7290" s="545">
        <v>9005</v>
      </c>
      <c r="C7290" s="545" t="s">
        <v>5995</v>
      </c>
      <c r="D7290" s="669" t="s">
        <v>7751</v>
      </c>
      <c r="E7290" s="546">
        <v>1044.768423</v>
      </c>
    </row>
    <row r="7291" spans="2:5" x14ac:dyDescent="0.25">
      <c r="B7291" s="545">
        <v>9006</v>
      </c>
      <c r="C7291" s="545" t="s">
        <v>5564</v>
      </c>
      <c r="D7291" s="669" t="s">
        <v>7751</v>
      </c>
      <c r="E7291" s="546">
        <v>906.56666700000005</v>
      </c>
    </row>
    <row r="7292" spans="2:5" x14ac:dyDescent="0.25">
      <c r="B7292" s="545">
        <v>9007</v>
      </c>
      <c r="C7292" s="545" t="s">
        <v>5738</v>
      </c>
      <c r="D7292" s="669" t="s">
        <v>7751</v>
      </c>
      <c r="E7292" s="546">
        <v>950.42307700000003</v>
      </c>
    </row>
    <row r="7293" spans="2:5" x14ac:dyDescent="0.25">
      <c r="B7293" s="545">
        <v>9008</v>
      </c>
      <c r="C7293" s="545" t="s">
        <v>6064</v>
      </c>
      <c r="D7293" s="669" t="s">
        <v>7751</v>
      </c>
      <c r="E7293" s="546">
        <v>1088.5719919999999</v>
      </c>
    </row>
    <row r="7294" spans="2:5" x14ac:dyDescent="0.25">
      <c r="B7294" s="545">
        <v>9009</v>
      </c>
      <c r="C7294" s="545" t="s">
        <v>6547</v>
      </c>
      <c r="D7294" s="669" t="s">
        <v>7751</v>
      </c>
      <c r="E7294" s="546">
        <v>857.98103700000001</v>
      </c>
    </row>
    <row r="7295" spans="2:5" x14ac:dyDescent="0.25">
      <c r="B7295" s="545">
        <v>9010</v>
      </c>
      <c r="C7295" s="545" t="s">
        <v>5719</v>
      </c>
      <c r="D7295" s="669" t="s">
        <v>7751</v>
      </c>
      <c r="E7295" s="546">
        <v>944.59997599999997</v>
      </c>
    </row>
    <row r="7296" spans="2:5" x14ac:dyDescent="0.25">
      <c r="B7296" s="545">
        <v>9011</v>
      </c>
      <c r="C7296" s="545" t="s">
        <v>6470</v>
      </c>
      <c r="D7296" s="669" t="s">
        <v>7751</v>
      </c>
      <c r="E7296" s="546">
        <v>884.60000600000001</v>
      </c>
    </row>
    <row r="7297" spans="2:5" x14ac:dyDescent="0.25">
      <c r="B7297" s="545">
        <v>9012</v>
      </c>
      <c r="C7297" s="545" t="s">
        <v>5306</v>
      </c>
      <c r="D7297" s="669" t="s">
        <v>7751</v>
      </c>
      <c r="E7297" s="546">
        <v>863.20833300000004</v>
      </c>
    </row>
    <row r="7298" spans="2:5" x14ac:dyDescent="0.25">
      <c r="B7298" s="545">
        <v>9013</v>
      </c>
      <c r="C7298" s="545" t="s">
        <v>5761</v>
      </c>
      <c r="D7298" s="669" t="s">
        <v>7751</v>
      </c>
      <c r="E7298" s="546">
        <v>956.74999000000003</v>
      </c>
    </row>
    <row r="7299" spans="2:5" x14ac:dyDescent="0.25">
      <c r="B7299" s="545">
        <v>9014</v>
      </c>
      <c r="C7299" s="545" t="s">
        <v>5693</v>
      </c>
      <c r="D7299" s="669" t="s">
        <v>7751</v>
      </c>
      <c r="E7299" s="546">
        <v>936.02000699999996</v>
      </c>
    </row>
    <row r="7300" spans="2:5" x14ac:dyDescent="0.25">
      <c r="B7300" s="545">
        <v>9015</v>
      </c>
      <c r="C7300" s="545" t="s">
        <v>5968</v>
      </c>
      <c r="D7300" s="669" t="s">
        <v>7751</v>
      </c>
      <c r="E7300" s="546">
        <v>1035.676927</v>
      </c>
    </row>
    <row r="7301" spans="2:5" x14ac:dyDescent="0.25">
      <c r="B7301" s="545">
        <v>9016</v>
      </c>
      <c r="C7301" s="545" t="s">
        <v>5500</v>
      </c>
      <c r="D7301" s="669" t="s">
        <v>7751</v>
      </c>
      <c r="E7301" s="546">
        <v>895.9</v>
      </c>
    </row>
    <row r="7302" spans="2:5" x14ac:dyDescent="0.25">
      <c r="B7302" s="545">
        <v>9017</v>
      </c>
      <c r="C7302" s="545" t="s">
        <v>5422</v>
      </c>
      <c r="D7302" s="669" t="s">
        <v>7751</v>
      </c>
      <c r="E7302" s="546">
        <v>883.02728300000001</v>
      </c>
    </row>
    <row r="7303" spans="2:5" x14ac:dyDescent="0.25">
      <c r="B7303" s="545">
        <v>9018</v>
      </c>
      <c r="C7303" s="545" t="s">
        <v>5718</v>
      </c>
      <c r="D7303" s="669" t="s">
        <v>7751</v>
      </c>
      <c r="E7303" s="546">
        <v>944.42500299999995</v>
      </c>
    </row>
    <row r="7304" spans="2:5" x14ac:dyDescent="0.25">
      <c r="B7304" s="545">
        <v>9019</v>
      </c>
      <c r="C7304" s="545" t="s">
        <v>5517</v>
      </c>
      <c r="D7304" s="669" t="s">
        <v>7751</v>
      </c>
      <c r="E7304" s="546">
        <v>897.69231200000002</v>
      </c>
    </row>
    <row r="7305" spans="2:5" x14ac:dyDescent="0.25">
      <c r="B7305" s="545">
        <v>9020</v>
      </c>
      <c r="C7305" s="545" t="s">
        <v>5464</v>
      </c>
      <c r="D7305" s="669" t="s">
        <v>7751</v>
      </c>
      <c r="E7305" s="546">
        <v>890.52857300000005</v>
      </c>
    </row>
    <row r="7306" spans="2:5" x14ac:dyDescent="0.25">
      <c r="B7306" s="545">
        <v>9021</v>
      </c>
      <c r="C7306" s="545" t="s">
        <v>5398</v>
      </c>
      <c r="D7306" s="669" t="s">
        <v>7751</v>
      </c>
      <c r="E7306" s="546">
        <v>879.17142999999999</v>
      </c>
    </row>
    <row r="7307" spans="2:5" x14ac:dyDescent="0.25">
      <c r="B7307" s="545">
        <v>9022</v>
      </c>
      <c r="C7307" s="545" t="s">
        <v>5835</v>
      </c>
      <c r="D7307" s="669" t="s">
        <v>7751</v>
      </c>
      <c r="E7307" s="546">
        <v>977.02856399999996</v>
      </c>
    </row>
    <row r="7308" spans="2:5" x14ac:dyDescent="0.25">
      <c r="B7308" s="545">
        <v>9023</v>
      </c>
      <c r="C7308" s="545" t="s">
        <v>5467</v>
      </c>
      <c r="D7308" s="669" t="s">
        <v>7751</v>
      </c>
      <c r="E7308" s="546">
        <v>891.47143600000004</v>
      </c>
    </row>
    <row r="7309" spans="2:5" x14ac:dyDescent="0.25">
      <c r="B7309" s="545">
        <v>9024</v>
      </c>
      <c r="C7309" s="545" t="s">
        <v>5658</v>
      </c>
      <c r="D7309" s="669" t="s">
        <v>7751</v>
      </c>
      <c r="E7309" s="546">
        <v>927.133331</v>
      </c>
    </row>
    <row r="7310" spans="2:5" x14ac:dyDescent="0.25">
      <c r="B7310" s="545">
        <v>9025</v>
      </c>
      <c r="C7310" s="545" t="s">
        <v>5309</v>
      </c>
      <c r="D7310" s="669" t="s">
        <v>7751</v>
      </c>
      <c r="E7310" s="546">
        <v>863.29999799999996</v>
      </c>
    </row>
    <row r="7311" spans="2:5" x14ac:dyDescent="0.25">
      <c r="B7311" s="545">
        <v>9026</v>
      </c>
      <c r="C7311" s="545" t="s">
        <v>1949</v>
      </c>
      <c r="D7311" s="669" t="s">
        <v>7751</v>
      </c>
      <c r="E7311" s="546">
        <v>982.72726699999998</v>
      </c>
    </row>
    <row r="7312" spans="2:5" x14ac:dyDescent="0.25">
      <c r="B7312" s="545">
        <v>9027</v>
      </c>
      <c r="C7312" s="545" t="s">
        <v>5562</v>
      </c>
      <c r="D7312" s="669" t="s">
        <v>7751</v>
      </c>
      <c r="E7312" s="546">
        <v>906.46250899999995</v>
      </c>
    </row>
    <row r="7313" spans="2:5" x14ac:dyDescent="0.25">
      <c r="B7313" s="545">
        <v>9028</v>
      </c>
      <c r="C7313" s="545" t="s">
        <v>5443</v>
      </c>
      <c r="D7313" s="669" t="s">
        <v>7751</v>
      </c>
      <c r="E7313" s="546">
        <v>886.55624399999999</v>
      </c>
    </row>
    <row r="7314" spans="2:5" x14ac:dyDescent="0.25">
      <c r="B7314" s="545">
        <v>9029</v>
      </c>
      <c r="C7314" s="545" t="s">
        <v>5854</v>
      </c>
      <c r="D7314" s="669" t="s">
        <v>7751</v>
      </c>
      <c r="E7314" s="546">
        <v>984.74284999999998</v>
      </c>
    </row>
    <row r="7315" spans="2:5" x14ac:dyDescent="0.25">
      <c r="B7315" s="545">
        <v>9030</v>
      </c>
      <c r="C7315" s="545" t="s">
        <v>5453</v>
      </c>
      <c r="D7315" s="669" t="s">
        <v>7751</v>
      </c>
      <c r="E7315" s="546">
        <v>888.35999800000002</v>
      </c>
    </row>
    <row r="7316" spans="2:5" x14ac:dyDescent="0.25">
      <c r="B7316" s="545">
        <v>9031</v>
      </c>
      <c r="C7316" s="545" t="s">
        <v>5512</v>
      </c>
      <c r="D7316" s="669" t="s">
        <v>7751</v>
      </c>
      <c r="E7316" s="546">
        <v>896.85882200000003</v>
      </c>
    </row>
    <row r="7317" spans="2:5" x14ac:dyDescent="0.25">
      <c r="B7317" s="545">
        <v>9032</v>
      </c>
      <c r="C7317" s="545" t="s">
        <v>5998</v>
      </c>
      <c r="D7317" s="669" t="s">
        <v>7751</v>
      </c>
      <c r="E7317" s="546">
        <v>1045.739984</v>
      </c>
    </row>
    <row r="7318" spans="2:5" x14ac:dyDescent="0.25">
      <c r="B7318" s="545">
        <v>9033</v>
      </c>
      <c r="C7318" s="545" t="s">
        <v>381</v>
      </c>
      <c r="D7318" s="669" t="s">
        <v>7751</v>
      </c>
      <c r="E7318" s="546">
        <v>934.17940899999996</v>
      </c>
    </row>
    <row r="7319" spans="2:5" x14ac:dyDescent="0.25">
      <c r="B7319" s="545">
        <v>9034</v>
      </c>
      <c r="C7319" s="545" t="s">
        <v>5950</v>
      </c>
      <c r="D7319" s="669" t="s">
        <v>7751</v>
      </c>
      <c r="E7319" s="546">
        <v>1026.9772780000001</v>
      </c>
    </row>
    <row r="7320" spans="2:5" x14ac:dyDescent="0.25">
      <c r="B7320" s="545">
        <v>9035</v>
      </c>
      <c r="C7320" s="545" t="s">
        <v>4170</v>
      </c>
      <c r="D7320" s="669" t="s">
        <v>7751</v>
      </c>
      <c r="E7320" s="546">
        <v>970.259998</v>
      </c>
    </row>
    <row r="7321" spans="2:5" x14ac:dyDescent="0.25">
      <c r="B7321" s="545">
        <v>9036</v>
      </c>
      <c r="C7321" s="545" t="s">
        <v>5929</v>
      </c>
      <c r="D7321" s="669" t="s">
        <v>7751</v>
      </c>
      <c r="E7321" s="546">
        <v>1014.5857109999999</v>
      </c>
    </row>
    <row r="7322" spans="2:5" x14ac:dyDescent="0.25">
      <c r="B7322" s="545">
        <v>9037</v>
      </c>
      <c r="C7322" s="545" t="s">
        <v>5879</v>
      </c>
      <c r="D7322" s="669" t="s">
        <v>7751</v>
      </c>
      <c r="E7322" s="546">
        <v>992.19999199999995</v>
      </c>
    </row>
    <row r="7323" spans="2:5" x14ac:dyDescent="0.25">
      <c r="B7323" s="545">
        <v>9038</v>
      </c>
      <c r="C7323" s="545" t="s">
        <v>5518</v>
      </c>
      <c r="D7323" s="669" t="s">
        <v>7751</v>
      </c>
      <c r="E7323" s="546">
        <v>897.86667899999998</v>
      </c>
    </row>
    <row r="7324" spans="2:5" x14ac:dyDescent="0.25">
      <c r="B7324" s="545">
        <v>9039</v>
      </c>
      <c r="C7324" s="545" t="s">
        <v>7262</v>
      </c>
      <c r="D7324" s="669" t="s">
        <v>7751</v>
      </c>
      <c r="E7324" s="546">
        <v>967.77999299999999</v>
      </c>
    </row>
    <row r="7325" spans="2:5" x14ac:dyDescent="0.25">
      <c r="B7325" s="545">
        <v>9040</v>
      </c>
      <c r="C7325" s="545" t="s">
        <v>5735</v>
      </c>
      <c r="D7325" s="669" t="s">
        <v>7751</v>
      </c>
      <c r="E7325" s="546">
        <v>949.86250299999995</v>
      </c>
    </row>
    <row r="7326" spans="2:5" x14ac:dyDescent="0.25">
      <c r="B7326" s="545">
        <v>9041</v>
      </c>
      <c r="C7326" s="545" t="s">
        <v>5587</v>
      </c>
      <c r="D7326" s="669" t="s">
        <v>7751</v>
      </c>
      <c r="E7326" s="546">
        <v>909.48889199999996</v>
      </c>
    </row>
    <row r="7327" spans="2:5" x14ac:dyDescent="0.25">
      <c r="B7327" s="545">
        <v>9042</v>
      </c>
      <c r="C7327" s="545" t="s">
        <v>5322</v>
      </c>
      <c r="D7327" s="669" t="s">
        <v>7751</v>
      </c>
      <c r="E7327" s="546">
        <v>866.18332899999996</v>
      </c>
    </row>
    <row r="7328" spans="2:5" x14ac:dyDescent="0.25">
      <c r="B7328" s="545">
        <v>9043</v>
      </c>
      <c r="C7328" s="545" t="s">
        <v>7279</v>
      </c>
      <c r="D7328" s="669" t="s">
        <v>7751</v>
      </c>
      <c r="E7328" s="546">
        <v>930.61249499999997</v>
      </c>
    </row>
    <row r="7329" spans="2:5" x14ac:dyDescent="0.25">
      <c r="B7329" s="545">
        <v>9044</v>
      </c>
      <c r="C7329" s="545" t="s">
        <v>5541</v>
      </c>
      <c r="D7329" s="669" t="s">
        <v>7751</v>
      </c>
      <c r="E7329" s="546">
        <v>902.07501200000002</v>
      </c>
    </row>
    <row r="7330" spans="2:5" x14ac:dyDescent="0.25">
      <c r="B7330" s="545">
        <v>9045</v>
      </c>
      <c r="C7330" s="545" t="s">
        <v>5638</v>
      </c>
      <c r="D7330" s="669" t="s">
        <v>7751</v>
      </c>
      <c r="E7330" s="546">
        <v>921.60000600000001</v>
      </c>
    </row>
    <row r="7331" spans="2:5" x14ac:dyDescent="0.25">
      <c r="B7331" s="545">
        <v>9046</v>
      </c>
      <c r="C7331" s="545" t="s">
        <v>5656</v>
      </c>
      <c r="D7331" s="669" t="s">
        <v>7751</v>
      </c>
      <c r="E7331" s="546">
        <v>925.794444</v>
      </c>
    </row>
    <row r="7332" spans="2:5" x14ac:dyDescent="0.25">
      <c r="B7332" s="545">
        <v>9047</v>
      </c>
      <c r="C7332" s="545" t="s">
        <v>5293</v>
      </c>
      <c r="D7332" s="669" t="s">
        <v>7751</v>
      </c>
      <c r="E7332" s="546">
        <v>860.214294</v>
      </c>
    </row>
    <row r="7333" spans="2:5" x14ac:dyDescent="0.25">
      <c r="B7333" s="545">
        <v>9048</v>
      </c>
      <c r="C7333" s="545" t="s">
        <v>5345</v>
      </c>
      <c r="D7333" s="669" t="s">
        <v>7751</v>
      </c>
      <c r="E7333" s="546">
        <v>869.85000600000001</v>
      </c>
    </row>
    <row r="7334" spans="2:5" x14ac:dyDescent="0.25">
      <c r="B7334" s="545">
        <v>9049</v>
      </c>
      <c r="C7334" s="545" t="s">
        <v>5809</v>
      </c>
      <c r="D7334" s="669" t="s">
        <v>7751</v>
      </c>
      <c r="E7334" s="546">
        <v>968.65998500000001</v>
      </c>
    </row>
    <row r="7335" spans="2:5" x14ac:dyDescent="0.25">
      <c r="B7335" s="545">
        <v>9050</v>
      </c>
      <c r="C7335" s="545" t="s">
        <v>2949</v>
      </c>
      <c r="D7335" s="669" t="s">
        <v>7751</v>
      </c>
      <c r="E7335" s="546">
        <v>937.29998799999998</v>
      </c>
    </row>
    <row r="7336" spans="2:5" x14ac:dyDescent="0.25">
      <c r="B7336" s="545">
        <v>9051</v>
      </c>
      <c r="C7336" s="545" t="s">
        <v>5037</v>
      </c>
      <c r="D7336" s="669" t="s">
        <v>7751</v>
      </c>
      <c r="E7336" s="546">
        <v>826.46190799999999</v>
      </c>
    </row>
    <row r="7337" spans="2:5" x14ac:dyDescent="0.25">
      <c r="B7337" s="545">
        <v>9052</v>
      </c>
      <c r="C7337" s="545" t="s">
        <v>7128</v>
      </c>
      <c r="D7337" s="669" t="s">
        <v>7751</v>
      </c>
      <c r="E7337" s="546">
        <v>972.98332700000003</v>
      </c>
    </row>
    <row r="7338" spans="2:5" x14ac:dyDescent="0.25">
      <c r="B7338" s="545">
        <v>9053</v>
      </c>
      <c r="C7338" s="545" t="s">
        <v>5573</v>
      </c>
      <c r="D7338" s="669" t="s">
        <v>7751</v>
      </c>
      <c r="E7338" s="546">
        <v>907.27499399999999</v>
      </c>
    </row>
    <row r="7339" spans="2:5" x14ac:dyDescent="0.25">
      <c r="B7339" s="545">
        <v>9054</v>
      </c>
      <c r="C7339" s="545" t="s">
        <v>5996</v>
      </c>
      <c r="D7339" s="669" t="s">
        <v>7751</v>
      </c>
      <c r="E7339" s="546">
        <v>1044.866659</v>
      </c>
    </row>
    <row r="7340" spans="2:5" x14ac:dyDescent="0.25">
      <c r="B7340" s="545">
        <v>9055</v>
      </c>
      <c r="C7340" s="545" t="s">
        <v>5786</v>
      </c>
      <c r="D7340" s="669" t="s">
        <v>7751</v>
      </c>
      <c r="E7340" s="546">
        <v>962.35000600000001</v>
      </c>
    </row>
    <row r="7341" spans="2:5" x14ac:dyDescent="0.25">
      <c r="B7341" s="545">
        <v>9056</v>
      </c>
      <c r="C7341" s="545" t="s">
        <v>5285</v>
      </c>
      <c r="D7341" s="669" t="s">
        <v>7751</v>
      </c>
      <c r="E7341" s="546">
        <v>858.79998799999998</v>
      </c>
    </row>
    <row r="7342" spans="2:5" x14ac:dyDescent="0.25">
      <c r="B7342" s="545">
        <v>9057</v>
      </c>
      <c r="C7342" s="545" t="s">
        <v>5986</v>
      </c>
      <c r="D7342" s="669" t="s">
        <v>7751</v>
      </c>
      <c r="E7342" s="546">
        <v>1042.627774</v>
      </c>
    </row>
    <row r="7343" spans="2:5" x14ac:dyDescent="0.25">
      <c r="B7343" s="545">
        <v>9058</v>
      </c>
      <c r="C7343" s="545" t="s">
        <v>5743</v>
      </c>
      <c r="D7343" s="669" t="s">
        <v>7751</v>
      </c>
      <c r="E7343" s="546">
        <v>951.93334500000003</v>
      </c>
    </row>
    <row r="7344" spans="2:5" x14ac:dyDescent="0.25">
      <c r="B7344" s="545">
        <v>9059</v>
      </c>
      <c r="C7344" s="545" t="s">
        <v>5047</v>
      </c>
      <c r="D7344" s="669" t="s">
        <v>7751</v>
      </c>
      <c r="E7344" s="546">
        <v>828.15789800000005</v>
      </c>
    </row>
    <row r="7345" spans="2:5" x14ac:dyDescent="0.25">
      <c r="B7345" s="545">
        <v>9060</v>
      </c>
      <c r="C7345" s="545" t="s">
        <v>7431</v>
      </c>
      <c r="D7345" s="669" t="s">
        <v>7751</v>
      </c>
      <c r="E7345" s="546">
        <v>937.73636699999997</v>
      </c>
    </row>
    <row r="7346" spans="2:5" x14ac:dyDescent="0.25">
      <c r="B7346" s="545">
        <v>9061</v>
      </c>
      <c r="C7346" s="545" t="s">
        <v>5450</v>
      </c>
      <c r="D7346" s="669" t="s">
        <v>7751</v>
      </c>
      <c r="E7346" s="546">
        <v>887.64443600000004</v>
      </c>
    </row>
    <row r="7347" spans="2:5" x14ac:dyDescent="0.25">
      <c r="B7347" s="545">
        <v>9062</v>
      </c>
      <c r="C7347" s="545" t="s">
        <v>5737</v>
      </c>
      <c r="D7347" s="669" t="s">
        <v>7751</v>
      </c>
      <c r="E7347" s="546">
        <v>950.4</v>
      </c>
    </row>
    <row r="7348" spans="2:5" x14ac:dyDescent="0.25">
      <c r="B7348" s="545">
        <v>9063</v>
      </c>
      <c r="C7348" s="545" t="s">
        <v>5724</v>
      </c>
      <c r="D7348" s="669" t="s">
        <v>7751</v>
      </c>
      <c r="E7348" s="546">
        <v>945.87998000000005</v>
      </c>
    </row>
    <row r="7349" spans="2:5" x14ac:dyDescent="0.25">
      <c r="B7349" s="545">
        <v>9064</v>
      </c>
      <c r="C7349" s="545" t="s">
        <v>5804</v>
      </c>
      <c r="D7349" s="669" t="s">
        <v>7751</v>
      </c>
      <c r="E7349" s="546">
        <v>991.45454500000005</v>
      </c>
    </row>
    <row r="7350" spans="2:5" x14ac:dyDescent="0.25">
      <c r="B7350" s="545">
        <v>9065</v>
      </c>
      <c r="C7350" s="545" t="s">
        <v>5826</v>
      </c>
      <c r="D7350" s="669" t="s">
        <v>7751</v>
      </c>
      <c r="E7350" s="546">
        <v>974.01111500000002</v>
      </c>
    </row>
    <row r="7351" spans="2:5" x14ac:dyDescent="0.25">
      <c r="B7351" s="545">
        <v>9066</v>
      </c>
      <c r="C7351" s="545" t="s">
        <v>5801</v>
      </c>
      <c r="D7351" s="669" t="s">
        <v>7751</v>
      </c>
      <c r="E7351" s="546">
        <v>965.76250500000003</v>
      </c>
    </row>
    <row r="7352" spans="2:5" x14ac:dyDescent="0.25">
      <c r="B7352" s="545">
        <v>9067</v>
      </c>
      <c r="C7352" s="545" t="s">
        <v>5885</v>
      </c>
      <c r="D7352" s="669" t="s">
        <v>7751</v>
      </c>
      <c r="E7352" s="546">
        <v>993.89998400000002</v>
      </c>
    </row>
    <row r="7353" spans="2:5" x14ac:dyDescent="0.25">
      <c r="B7353" s="545">
        <v>9068</v>
      </c>
      <c r="C7353" s="545" t="s">
        <v>6662</v>
      </c>
      <c r="D7353" s="669" t="s">
        <v>7751</v>
      </c>
      <c r="E7353" s="546">
        <v>963.75714100000005</v>
      </c>
    </row>
    <row r="7354" spans="2:5" x14ac:dyDescent="0.25">
      <c r="B7354" s="545">
        <v>9069</v>
      </c>
      <c r="C7354" s="545" t="s">
        <v>5746</v>
      </c>
      <c r="D7354" s="669" t="s">
        <v>7751</v>
      </c>
      <c r="E7354" s="546">
        <v>952.37999300000001</v>
      </c>
    </row>
    <row r="7355" spans="2:5" x14ac:dyDescent="0.25">
      <c r="B7355" s="545">
        <v>9070</v>
      </c>
      <c r="C7355" s="545" t="s">
        <v>5477</v>
      </c>
      <c r="D7355" s="669" t="s">
        <v>7751</v>
      </c>
      <c r="E7355" s="546">
        <v>893.00000799999998</v>
      </c>
    </row>
    <row r="7356" spans="2:5" x14ac:dyDescent="0.25">
      <c r="B7356" s="545">
        <v>9071</v>
      </c>
      <c r="C7356" s="545" t="s">
        <v>7554</v>
      </c>
      <c r="D7356" s="669" t="s">
        <v>7751</v>
      </c>
      <c r="E7356" s="546">
        <v>899.15000899999995</v>
      </c>
    </row>
    <row r="7357" spans="2:5" x14ac:dyDescent="0.25">
      <c r="B7357" s="545">
        <v>9072</v>
      </c>
      <c r="C7357" s="545" t="s">
        <v>5559</v>
      </c>
      <c r="D7357" s="669" t="s">
        <v>7751</v>
      </c>
      <c r="E7357" s="546">
        <v>906</v>
      </c>
    </row>
    <row r="7358" spans="2:5" x14ac:dyDescent="0.25">
      <c r="B7358" s="545">
        <v>9073</v>
      </c>
      <c r="C7358" s="545" t="s">
        <v>5579</v>
      </c>
      <c r="D7358" s="669" t="s">
        <v>7751</v>
      </c>
      <c r="E7358" s="546">
        <v>907.96666500000003</v>
      </c>
    </row>
    <row r="7359" spans="2:5" x14ac:dyDescent="0.25">
      <c r="B7359" s="545">
        <v>9074</v>
      </c>
      <c r="C7359" s="545" t="s">
        <v>6471</v>
      </c>
      <c r="D7359" s="669" t="s">
        <v>7751</v>
      </c>
      <c r="E7359" s="546">
        <v>918.38125200000002</v>
      </c>
    </row>
    <row r="7360" spans="2:5" x14ac:dyDescent="0.25">
      <c r="B7360" s="545">
        <v>9075</v>
      </c>
      <c r="C7360" s="545" t="s">
        <v>5374</v>
      </c>
      <c r="D7360" s="669" t="s">
        <v>7751</v>
      </c>
      <c r="E7360" s="546">
        <v>874.263644</v>
      </c>
    </row>
    <row r="7361" spans="2:5" x14ac:dyDescent="0.25">
      <c r="B7361" s="545">
        <v>9076</v>
      </c>
      <c r="C7361" s="545" t="s">
        <v>5385</v>
      </c>
      <c r="D7361" s="669" t="s">
        <v>7751</v>
      </c>
      <c r="E7361" s="546">
        <v>875.74545000000001</v>
      </c>
    </row>
    <row r="7362" spans="2:5" x14ac:dyDescent="0.25">
      <c r="B7362" s="545">
        <v>9077</v>
      </c>
      <c r="C7362" s="545" t="s">
        <v>3471</v>
      </c>
      <c r="D7362" s="669" t="s">
        <v>7751</v>
      </c>
      <c r="E7362" s="546">
        <v>838.85998500000005</v>
      </c>
    </row>
    <row r="7363" spans="2:5" x14ac:dyDescent="0.25">
      <c r="B7363" s="545">
        <v>9078</v>
      </c>
      <c r="C7363" s="545" t="s">
        <v>6546</v>
      </c>
      <c r="D7363" s="669" t="s">
        <v>7751</v>
      </c>
      <c r="E7363" s="546">
        <v>1001.353341</v>
      </c>
    </row>
    <row r="7364" spans="2:5" x14ac:dyDescent="0.25">
      <c r="B7364" s="545">
        <v>9079</v>
      </c>
      <c r="C7364" s="545" t="s">
        <v>6029</v>
      </c>
      <c r="D7364" s="669" t="s">
        <v>7751</v>
      </c>
      <c r="E7364" s="546">
        <v>1067.424988</v>
      </c>
    </row>
    <row r="7365" spans="2:5" x14ac:dyDescent="0.25">
      <c r="B7365" s="545">
        <v>9081</v>
      </c>
      <c r="C7365" s="545" t="s">
        <v>5413</v>
      </c>
      <c r="D7365" s="669" t="s">
        <v>389</v>
      </c>
      <c r="E7365" s="546">
        <v>1087.269221</v>
      </c>
    </row>
    <row r="7366" spans="2:5" x14ac:dyDescent="0.25">
      <c r="B7366" s="545">
        <v>9082</v>
      </c>
      <c r="C7366" s="545" t="s">
        <v>6127</v>
      </c>
      <c r="D7366" s="669" t="s">
        <v>389</v>
      </c>
      <c r="E7366" s="546">
        <v>1142.869995</v>
      </c>
    </row>
    <row r="7367" spans="2:5" x14ac:dyDescent="0.25">
      <c r="B7367" s="545">
        <v>9083</v>
      </c>
      <c r="C7367" s="545" t="s">
        <v>6106</v>
      </c>
      <c r="D7367" s="669" t="s">
        <v>389</v>
      </c>
      <c r="E7367" s="546">
        <v>1122.2888929999999</v>
      </c>
    </row>
    <row r="7368" spans="2:5" x14ac:dyDescent="0.25">
      <c r="B7368" s="545">
        <v>9084</v>
      </c>
      <c r="C7368" s="545" t="s">
        <v>6013</v>
      </c>
      <c r="D7368" s="669" t="s">
        <v>389</v>
      </c>
      <c r="E7368" s="546">
        <v>1054.984633</v>
      </c>
    </row>
    <row r="7369" spans="2:5" x14ac:dyDescent="0.25">
      <c r="B7369" s="545">
        <v>9085</v>
      </c>
      <c r="C7369" s="545" t="s">
        <v>6568</v>
      </c>
      <c r="D7369" s="669" t="s">
        <v>389</v>
      </c>
      <c r="E7369" s="546">
        <v>1158.4128169999999</v>
      </c>
    </row>
    <row r="7370" spans="2:5" x14ac:dyDescent="0.25">
      <c r="B7370" s="545">
        <v>9086</v>
      </c>
      <c r="C7370" s="545" t="s">
        <v>6099</v>
      </c>
      <c r="D7370" s="669" t="s">
        <v>389</v>
      </c>
      <c r="E7370" s="546">
        <v>1115.738885</v>
      </c>
    </row>
    <row r="7371" spans="2:5" x14ac:dyDescent="0.25">
      <c r="B7371" s="545">
        <v>9087</v>
      </c>
      <c r="C7371" s="545" t="s">
        <v>6147</v>
      </c>
      <c r="D7371" s="669" t="s">
        <v>389</v>
      </c>
      <c r="E7371" s="546">
        <v>1151.799998</v>
      </c>
    </row>
    <row r="7372" spans="2:5" x14ac:dyDescent="0.25">
      <c r="B7372" s="545">
        <v>9088</v>
      </c>
      <c r="C7372" s="545" t="s">
        <v>6292</v>
      </c>
      <c r="D7372" s="669" t="s">
        <v>389</v>
      </c>
      <c r="E7372" s="546">
        <v>1337.829999</v>
      </c>
    </row>
    <row r="7373" spans="2:5" x14ac:dyDescent="0.25">
      <c r="B7373" s="545">
        <v>9089</v>
      </c>
      <c r="C7373" s="545" t="s">
        <v>6040</v>
      </c>
      <c r="D7373" s="669" t="s">
        <v>389</v>
      </c>
      <c r="E7373" s="546">
        <v>1074.7307599999999</v>
      </c>
    </row>
    <row r="7374" spans="2:5" x14ac:dyDescent="0.25">
      <c r="B7374" s="545">
        <v>9090</v>
      </c>
      <c r="C7374" s="545" t="s">
        <v>5838</v>
      </c>
      <c r="D7374" s="669" t="s">
        <v>389</v>
      </c>
      <c r="E7374" s="546">
        <v>1155.4874950000001</v>
      </c>
    </row>
    <row r="7375" spans="2:5" x14ac:dyDescent="0.25">
      <c r="B7375" s="545">
        <v>9091</v>
      </c>
      <c r="C7375" s="545" t="s">
        <v>1269</v>
      </c>
      <c r="D7375" s="669" t="s">
        <v>389</v>
      </c>
      <c r="E7375" s="546">
        <v>1196.7591</v>
      </c>
    </row>
    <row r="7376" spans="2:5" x14ac:dyDescent="0.25">
      <c r="B7376" s="545">
        <v>9092</v>
      </c>
      <c r="C7376" s="545" t="s">
        <v>6074</v>
      </c>
      <c r="D7376" s="669" t="s">
        <v>389</v>
      </c>
      <c r="E7376" s="546">
        <v>1094.3303069999999</v>
      </c>
    </row>
    <row r="7377" spans="2:5" x14ac:dyDescent="0.25">
      <c r="B7377" s="545">
        <v>9093</v>
      </c>
      <c r="C7377" s="545" t="s">
        <v>6236</v>
      </c>
      <c r="D7377" s="669" t="s">
        <v>389</v>
      </c>
      <c r="E7377" s="546">
        <v>1233.518738</v>
      </c>
    </row>
    <row r="7378" spans="2:5" x14ac:dyDescent="0.25">
      <c r="B7378" s="545">
        <v>9094</v>
      </c>
      <c r="C7378" s="545" t="s">
        <v>6196</v>
      </c>
      <c r="D7378" s="669" t="s">
        <v>389</v>
      </c>
      <c r="E7378" s="546">
        <v>1194.038098</v>
      </c>
    </row>
    <row r="7379" spans="2:5" x14ac:dyDescent="0.25">
      <c r="B7379" s="545">
        <v>9095</v>
      </c>
      <c r="C7379" s="545" t="s">
        <v>6135</v>
      </c>
      <c r="D7379" s="669" t="s">
        <v>389</v>
      </c>
      <c r="E7379" s="546">
        <v>1148.185704</v>
      </c>
    </row>
    <row r="7380" spans="2:5" x14ac:dyDescent="0.25">
      <c r="B7380" s="545">
        <v>9096</v>
      </c>
      <c r="C7380" s="545" t="s">
        <v>6034</v>
      </c>
      <c r="D7380" s="669" t="s">
        <v>389</v>
      </c>
      <c r="E7380" s="546">
        <v>1069.0450069999999</v>
      </c>
    </row>
    <row r="7381" spans="2:5" x14ac:dyDescent="0.25">
      <c r="B7381" s="545">
        <v>9097</v>
      </c>
      <c r="C7381" s="545" t="s">
        <v>6514</v>
      </c>
      <c r="D7381" s="669" t="s">
        <v>389</v>
      </c>
      <c r="E7381" s="546">
        <v>1280.054543</v>
      </c>
    </row>
    <row r="7382" spans="2:5" x14ac:dyDescent="0.25">
      <c r="B7382" s="545">
        <v>9098</v>
      </c>
      <c r="C7382" s="545" t="s">
        <v>6059</v>
      </c>
      <c r="D7382" s="669" t="s">
        <v>389</v>
      </c>
      <c r="E7382" s="546">
        <v>1085.227273</v>
      </c>
    </row>
    <row r="7383" spans="2:5" x14ac:dyDescent="0.25">
      <c r="B7383" s="545">
        <v>9099</v>
      </c>
      <c r="C7383" s="545" t="s">
        <v>6073</v>
      </c>
      <c r="D7383" s="669" t="s">
        <v>389</v>
      </c>
      <c r="E7383" s="546">
        <v>1093.9499719999999</v>
      </c>
    </row>
    <row r="7384" spans="2:5" x14ac:dyDescent="0.25">
      <c r="B7384" s="545">
        <v>9100</v>
      </c>
      <c r="C7384" s="545" t="s">
        <v>6100</v>
      </c>
      <c r="D7384" s="669" t="s">
        <v>389</v>
      </c>
      <c r="E7384" s="546">
        <v>1116.6800049999999</v>
      </c>
    </row>
    <row r="7385" spans="2:5" x14ac:dyDescent="0.25">
      <c r="B7385" s="545">
        <v>9101</v>
      </c>
      <c r="C7385" s="545" t="s">
        <v>6145</v>
      </c>
      <c r="D7385" s="669" t="s">
        <v>389</v>
      </c>
      <c r="E7385" s="546">
        <v>1151.2833459999999</v>
      </c>
    </row>
    <row r="7386" spans="2:5" x14ac:dyDescent="0.25">
      <c r="B7386" s="545">
        <v>9102</v>
      </c>
      <c r="C7386" s="545" t="s">
        <v>6185</v>
      </c>
      <c r="D7386" s="669" t="s">
        <v>389</v>
      </c>
      <c r="E7386" s="546">
        <v>1186.9499940000001</v>
      </c>
    </row>
    <row r="7387" spans="2:5" x14ac:dyDescent="0.25">
      <c r="B7387" s="545">
        <v>9103</v>
      </c>
      <c r="C7387" s="545" t="s">
        <v>6345</v>
      </c>
      <c r="D7387" s="669" t="s">
        <v>389</v>
      </c>
      <c r="E7387" s="546">
        <v>1503.3816320000001</v>
      </c>
    </row>
    <row r="7388" spans="2:5" x14ac:dyDescent="0.25">
      <c r="B7388" s="545">
        <v>9104</v>
      </c>
      <c r="C7388" s="545" t="s">
        <v>6362</v>
      </c>
      <c r="D7388" s="669" t="s">
        <v>457</v>
      </c>
      <c r="E7388" s="546">
        <v>1551.5600340000001</v>
      </c>
    </row>
    <row r="7389" spans="2:5" x14ac:dyDescent="0.25">
      <c r="B7389" s="545">
        <v>9151</v>
      </c>
      <c r="C7389" s="545" t="s">
        <v>5727</v>
      </c>
      <c r="D7389" s="669" t="s">
        <v>387</v>
      </c>
      <c r="E7389" s="546">
        <v>946.84782600000005</v>
      </c>
    </row>
    <row r="7390" spans="2:5" x14ac:dyDescent="0.25">
      <c r="B7390" s="545">
        <v>9152</v>
      </c>
      <c r="C7390" s="545" t="s">
        <v>5762</v>
      </c>
      <c r="D7390" s="669" t="s">
        <v>387</v>
      </c>
      <c r="E7390" s="546">
        <v>956.9375</v>
      </c>
    </row>
    <row r="7391" spans="2:5" x14ac:dyDescent="0.25">
      <c r="B7391" s="545">
        <v>9153</v>
      </c>
      <c r="C7391" s="545" t="s">
        <v>5797</v>
      </c>
      <c r="D7391" s="669" t="s">
        <v>387</v>
      </c>
      <c r="E7391" s="546">
        <v>965.22499600000003</v>
      </c>
    </row>
    <row r="7392" spans="2:5" x14ac:dyDescent="0.25">
      <c r="B7392" s="545">
        <v>9154</v>
      </c>
      <c r="C7392" s="545" t="s">
        <v>5682</v>
      </c>
      <c r="D7392" s="669" t="s">
        <v>387</v>
      </c>
      <c r="E7392" s="546">
        <v>934.04000199999996</v>
      </c>
    </row>
    <row r="7393" spans="2:5" x14ac:dyDescent="0.25">
      <c r="B7393" s="545">
        <v>9155</v>
      </c>
      <c r="C7393" s="545" t="s">
        <v>5739</v>
      </c>
      <c r="D7393" s="669" t="s">
        <v>387</v>
      </c>
      <c r="E7393" s="546">
        <v>950.45385299999998</v>
      </c>
    </row>
    <row r="7394" spans="2:5" x14ac:dyDescent="0.25">
      <c r="B7394" s="545">
        <v>9156</v>
      </c>
      <c r="C7394" s="545" t="s">
        <v>6993</v>
      </c>
      <c r="D7394" s="669" t="s">
        <v>387</v>
      </c>
      <c r="E7394" s="546">
        <v>950.18182400000001</v>
      </c>
    </row>
    <row r="7395" spans="2:5" x14ac:dyDescent="0.25">
      <c r="B7395" s="545">
        <v>9157</v>
      </c>
      <c r="C7395" s="545" t="s">
        <v>5741</v>
      </c>
      <c r="D7395" s="669" t="s">
        <v>387</v>
      </c>
      <c r="E7395" s="546">
        <v>951.69999900000005</v>
      </c>
    </row>
    <row r="7396" spans="2:5" x14ac:dyDescent="0.25">
      <c r="B7396" s="545">
        <v>9158</v>
      </c>
      <c r="C7396" s="545" t="s">
        <v>5834</v>
      </c>
      <c r="D7396" s="669" t="s">
        <v>387</v>
      </c>
      <c r="E7396" s="546">
        <v>975.76000999999997</v>
      </c>
    </row>
    <row r="7397" spans="2:5" x14ac:dyDescent="0.25">
      <c r="B7397" s="545">
        <v>9159</v>
      </c>
      <c r="C7397" s="545" t="s">
        <v>5540</v>
      </c>
      <c r="D7397" s="669" t="s">
        <v>387</v>
      </c>
      <c r="E7397" s="546">
        <v>901.84444900000005</v>
      </c>
    </row>
    <row r="7398" spans="2:5" x14ac:dyDescent="0.25">
      <c r="B7398" s="545">
        <v>9160</v>
      </c>
      <c r="C7398" s="545" t="s">
        <v>7485</v>
      </c>
      <c r="D7398" s="669" t="s">
        <v>387</v>
      </c>
      <c r="E7398" s="546">
        <v>911.18333900000005</v>
      </c>
    </row>
    <row r="7399" spans="2:5" x14ac:dyDescent="0.25">
      <c r="B7399" s="545">
        <v>9161</v>
      </c>
      <c r="C7399" s="545" t="s">
        <v>5560</v>
      </c>
      <c r="D7399" s="669" t="s">
        <v>387</v>
      </c>
      <c r="E7399" s="546">
        <v>906.31666099999995</v>
      </c>
    </row>
    <row r="7400" spans="2:5" x14ac:dyDescent="0.25">
      <c r="B7400" s="545">
        <v>9162</v>
      </c>
      <c r="C7400" s="545" t="s">
        <v>5788</v>
      </c>
      <c r="D7400" s="669" t="s">
        <v>387</v>
      </c>
      <c r="E7400" s="546">
        <v>963.02500899999995</v>
      </c>
    </row>
    <row r="7401" spans="2:5" x14ac:dyDescent="0.25">
      <c r="B7401" s="545">
        <v>9163</v>
      </c>
      <c r="C7401" s="545" t="s">
        <v>1157</v>
      </c>
      <c r="D7401" s="669" t="s">
        <v>387</v>
      </c>
      <c r="E7401" s="546">
        <v>1010.362499</v>
      </c>
    </row>
    <row r="7402" spans="2:5" x14ac:dyDescent="0.25">
      <c r="B7402" s="545">
        <v>9164</v>
      </c>
      <c r="C7402" s="545" t="s">
        <v>5874</v>
      </c>
      <c r="D7402" s="669" t="s">
        <v>387</v>
      </c>
      <c r="E7402" s="546">
        <v>990.24737200000004</v>
      </c>
    </row>
    <row r="7403" spans="2:5" x14ac:dyDescent="0.25">
      <c r="B7403" s="545">
        <v>9165</v>
      </c>
      <c r="C7403" s="545" t="s">
        <v>4213</v>
      </c>
      <c r="D7403" s="669" t="s">
        <v>387</v>
      </c>
      <c r="E7403" s="546">
        <v>1042.5999979999999</v>
      </c>
    </row>
    <row r="7404" spans="2:5" x14ac:dyDescent="0.25">
      <c r="B7404" s="545">
        <v>9166</v>
      </c>
      <c r="C7404" s="545" t="s">
        <v>5350</v>
      </c>
      <c r="D7404" s="669" t="s">
        <v>387</v>
      </c>
      <c r="E7404" s="546">
        <v>870.64999399999999</v>
      </c>
    </row>
    <row r="7405" spans="2:5" x14ac:dyDescent="0.25">
      <c r="B7405" s="545">
        <v>9167</v>
      </c>
      <c r="C7405" s="545" t="s">
        <v>1515</v>
      </c>
      <c r="D7405" s="669" t="s">
        <v>387</v>
      </c>
      <c r="E7405" s="546">
        <v>993.47691899999995</v>
      </c>
    </row>
    <row r="7406" spans="2:5" x14ac:dyDescent="0.25">
      <c r="B7406" s="545">
        <v>9168</v>
      </c>
      <c r="C7406" s="545" t="s">
        <v>5528</v>
      </c>
      <c r="D7406" s="669" t="s">
        <v>387</v>
      </c>
      <c r="E7406" s="546">
        <v>900.8</v>
      </c>
    </row>
    <row r="7407" spans="2:5" x14ac:dyDescent="0.25">
      <c r="B7407" s="545">
        <v>9169</v>
      </c>
      <c r="C7407" s="545" t="s">
        <v>5520</v>
      </c>
      <c r="D7407" s="669" t="s">
        <v>387</v>
      </c>
      <c r="E7407" s="546">
        <v>899.133331</v>
      </c>
    </row>
    <row r="7408" spans="2:5" x14ac:dyDescent="0.25">
      <c r="B7408" s="545">
        <v>9170</v>
      </c>
      <c r="C7408" s="545" t="s">
        <v>6668</v>
      </c>
      <c r="D7408" s="669" t="s">
        <v>387</v>
      </c>
      <c r="E7408" s="546">
        <v>952.52500899999995</v>
      </c>
    </row>
    <row r="7409" spans="2:5" x14ac:dyDescent="0.25">
      <c r="B7409" s="545">
        <v>9171</v>
      </c>
      <c r="C7409" s="545" t="s">
        <v>5679</v>
      </c>
      <c r="D7409" s="669" t="s">
        <v>387</v>
      </c>
      <c r="E7409" s="546">
        <v>933.76000999999997</v>
      </c>
    </row>
    <row r="7410" spans="2:5" x14ac:dyDescent="0.25">
      <c r="B7410" s="545">
        <v>9172</v>
      </c>
      <c r="C7410" s="545" t="s">
        <v>5949</v>
      </c>
      <c r="D7410" s="669" t="s">
        <v>387</v>
      </c>
      <c r="E7410" s="546">
        <v>1026.949989</v>
      </c>
    </row>
    <row r="7411" spans="2:5" x14ac:dyDescent="0.25">
      <c r="B7411" s="545">
        <v>9173</v>
      </c>
      <c r="C7411" s="545" t="s">
        <v>6009</v>
      </c>
      <c r="D7411" s="669" t="s">
        <v>387</v>
      </c>
      <c r="E7411" s="546">
        <v>1053.1571220000001</v>
      </c>
    </row>
    <row r="7412" spans="2:5" x14ac:dyDescent="0.25">
      <c r="B7412" s="545">
        <v>9174</v>
      </c>
      <c r="C7412" s="545" t="s">
        <v>6031</v>
      </c>
      <c r="D7412" s="669" t="s">
        <v>387</v>
      </c>
      <c r="E7412" s="546">
        <v>1068.450012</v>
      </c>
    </row>
    <row r="7413" spans="2:5" x14ac:dyDescent="0.25">
      <c r="B7413" s="545">
        <v>9175</v>
      </c>
      <c r="C7413" s="545" t="s">
        <v>2894</v>
      </c>
      <c r="D7413" s="669" t="s">
        <v>387</v>
      </c>
      <c r="E7413" s="546">
        <v>1104.5249940000001</v>
      </c>
    </row>
    <row r="7414" spans="2:5" x14ac:dyDescent="0.25">
      <c r="B7414" s="545">
        <v>9176</v>
      </c>
      <c r="C7414" s="545" t="s">
        <v>5411</v>
      </c>
      <c r="D7414" s="669" t="s">
        <v>387</v>
      </c>
      <c r="E7414" s="546">
        <v>880.25714500000004</v>
      </c>
    </row>
    <row r="7415" spans="2:5" x14ac:dyDescent="0.25">
      <c r="B7415" s="545">
        <v>9177</v>
      </c>
      <c r="C7415" s="545" t="s">
        <v>5740</v>
      </c>
      <c r="D7415" s="669" t="s">
        <v>387</v>
      </c>
      <c r="E7415" s="546">
        <v>951.35000600000001</v>
      </c>
    </row>
    <row r="7416" spans="2:5" x14ac:dyDescent="0.25">
      <c r="B7416" s="545">
        <v>9178</v>
      </c>
      <c r="C7416" s="545" t="s">
        <v>5894</v>
      </c>
      <c r="D7416" s="669" t="s">
        <v>387</v>
      </c>
      <c r="E7416" s="546">
        <v>996.23846000000003</v>
      </c>
    </row>
    <row r="7417" spans="2:5" x14ac:dyDescent="0.25">
      <c r="B7417" s="545">
        <v>9179</v>
      </c>
      <c r="C7417" s="545" t="s">
        <v>6006</v>
      </c>
      <c r="D7417" s="669" t="s">
        <v>387</v>
      </c>
      <c r="E7417" s="546">
        <v>1052.4800049999999</v>
      </c>
    </row>
    <row r="7418" spans="2:5" x14ac:dyDescent="0.25">
      <c r="B7418" s="545">
        <v>9180</v>
      </c>
      <c r="C7418" s="545" t="s">
        <v>7471</v>
      </c>
      <c r="D7418" s="669" t="s">
        <v>387</v>
      </c>
      <c r="E7418" s="546">
        <v>1101.599993</v>
      </c>
    </row>
    <row r="7419" spans="2:5" x14ac:dyDescent="0.25">
      <c r="B7419" s="545">
        <v>9181</v>
      </c>
      <c r="C7419" s="545" t="s">
        <v>387</v>
      </c>
      <c r="D7419" s="669" t="s">
        <v>387</v>
      </c>
      <c r="E7419" s="546">
        <v>1077.12222</v>
      </c>
    </row>
    <row r="7420" spans="2:5" x14ac:dyDescent="0.25">
      <c r="B7420" s="545">
        <v>9182</v>
      </c>
      <c r="C7420" s="545" t="s">
        <v>6053</v>
      </c>
      <c r="D7420" s="669" t="s">
        <v>387</v>
      </c>
      <c r="E7420" s="546">
        <v>1080.5</v>
      </c>
    </row>
    <row r="7421" spans="2:5" x14ac:dyDescent="0.25">
      <c r="B7421" s="545">
        <v>9183</v>
      </c>
      <c r="C7421" s="545" t="s">
        <v>5883</v>
      </c>
      <c r="D7421" s="669" t="s">
        <v>387</v>
      </c>
      <c r="E7421" s="546">
        <v>993.37331900000004</v>
      </c>
    </row>
    <row r="7422" spans="2:5" x14ac:dyDescent="0.25">
      <c r="B7422" s="545">
        <v>9184</v>
      </c>
      <c r="C7422" s="545" t="s">
        <v>6020</v>
      </c>
      <c r="D7422" s="669" t="s">
        <v>387</v>
      </c>
      <c r="E7422" s="546">
        <v>1058.549988</v>
      </c>
    </row>
    <row r="7423" spans="2:5" x14ac:dyDescent="0.25">
      <c r="B7423" s="545">
        <v>9185</v>
      </c>
      <c r="C7423" s="545" t="s">
        <v>6012</v>
      </c>
      <c r="D7423" s="669" t="s">
        <v>387</v>
      </c>
      <c r="E7423" s="546">
        <v>1054.6999820000001</v>
      </c>
    </row>
    <row r="7424" spans="2:5" x14ac:dyDescent="0.25">
      <c r="B7424" s="545">
        <v>9186</v>
      </c>
      <c r="C7424" s="545" t="s">
        <v>6063</v>
      </c>
      <c r="D7424" s="669" t="s">
        <v>387</v>
      </c>
      <c r="E7424" s="546">
        <v>1088.366659</v>
      </c>
    </row>
    <row r="7425" spans="2:5" x14ac:dyDescent="0.25">
      <c r="B7425" s="545">
        <v>9187</v>
      </c>
      <c r="C7425" s="545" t="s">
        <v>7571</v>
      </c>
      <c r="D7425" s="669" t="s">
        <v>387</v>
      </c>
      <c r="E7425" s="546">
        <v>1158.9750059999999</v>
      </c>
    </row>
    <row r="7426" spans="2:5" x14ac:dyDescent="0.25">
      <c r="B7426" s="545">
        <v>9188</v>
      </c>
      <c r="C7426" s="545" t="s">
        <v>5979</v>
      </c>
      <c r="D7426" s="669" t="s">
        <v>387</v>
      </c>
      <c r="E7426" s="546">
        <v>1039.4428539999999</v>
      </c>
    </row>
    <row r="7427" spans="2:5" x14ac:dyDescent="0.25">
      <c r="B7427" s="545">
        <v>9189</v>
      </c>
      <c r="C7427" s="545" t="s">
        <v>6512</v>
      </c>
      <c r="D7427" s="669" t="s">
        <v>387</v>
      </c>
      <c r="E7427" s="546">
        <v>1073.6599980000001</v>
      </c>
    </row>
    <row r="7428" spans="2:5" x14ac:dyDescent="0.25">
      <c r="B7428" s="545">
        <v>9190</v>
      </c>
      <c r="C7428" s="545" t="s">
        <v>2705</v>
      </c>
      <c r="D7428" s="669" t="s">
        <v>387</v>
      </c>
      <c r="E7428" s="546">
        <v>1095.4999800000001</v>
      </c>
    </row>
    <row r="7429" spans="2:5" x14ac:dyDescent="0.25">
      <c r="B7429" s="545">
        <v>9191</v>
      </c>
      <c r="C7429" s="545" t="s">
        <v>2542</v>
      </c>
      <c r="D7429" s="669" t="s">
        <v>387</v>
      </c>
      <c r="E7429" s="546">
        <v>1143.0250140000001</v>
      </c>
    </row>
    <row r="7430" spans="2:5" x14ac:dyDescent="0.25">
      <c r="B7430" s="545">
        <v>9192</v>
      </c>
      <c r="C7430" s="545" t="s">
        <v>6037</v>
      </c>
      <c r="D7430" s="669" t="s">
        <v>387</v>
      </c>
      <c r="E7430" s="546">
        <v>1071.12499</v>
      </c>
    </row>
    <row r="7431" spans="2:5" x14ac:dyDescent="0.25">
      <c r="B7431" s="545">
        <v>9193</v>
      </c>
      <c r="C7431" s="545" t="s">
        <v>6047</v>
      </c>
      <c r="D7431" s="669" t="s">
        <v>387</v>
      </c>
      <c r="E7431" s="546">
        <v>1078.6818290000001</v>
      </c>
    </row>
    <row r="7432" spans="2:5" x14ac:dyDescent="0.25">
      <c r="B7432" s="545">
        <v>9194</v>
      </c>
      <c r="C7432" s="545" t="s">
        <v>6022</v>
      </c>
      <c r="D7432" s="669" t="s">
        <v>387</v>
      </c>
      <c r="E7432" s="546">
        <v>1059.8444420000001</v>
      </c>
    </row>
    <row r="7433" spans="2:5" x14ac:dyDescent="0.25">
      <c r="B7433" s="545">
        <v>9195</v>
      </c>
      <c r="C7433" s="545" t="s">
        <v>7017</v>
      </c>
      <c r="D7433" s="669" t="s">
        <v>387</v>
      </c>
      <c r="E7433" s="546">
        <v>1141.318182</v>
      </c>
    </row>
    <row r="7434" spans="2:5" x14ac:dyDescent="0.25">
      <c r="B7434" s="545">
        <v>9196</v>
      </c>
      <c r="C7434" s="545" t="s">
        <v>6042</v>
      </c>
      <c r="D7434" s="669" t="s">
        <v>387</v>
      </c>
      <c r="E7434" s="546">
        <v>1075.7999950000001</v>
      </c>
    </row>
    <row r="7435" spans="2:5" x14ac:dyDescent="0.25">
      <c r="B7435" s="545">
        <v>9197</v>
      </c>
      <c r="C7435" s="545" t="s">
        <v>6030</v>
      </c>
      <c r="D7435" s="669" t="s">
        <v>387</v>
      </c>
      <c r="E7435" s="546">
        <v>1067.455931</v>
      </c>
    </row>
    <row r="7436" spans="2:5" x14ac:dyDescent="0.25">
      <c r="B7436" s="545">
        <v>9201</v>
      </c>
      <c r="C7436" s="545" t="s">
        <v>5547</v>
      </c>
      <c r="D7436" s="669" t="s">
        <v>389</v>
      </c>
      <c r="E7436" s="546">
        <v>903.59000200000003</v>
      </c>
    </row>
    <row r="7437" spans="2:5" x14ac:dyDescent="0.25">
      <c r="B7437" s="545">
        <v>9202</v>
      </c>
      <c r="C7437" s="545" t="s">
        <v>6730</v>
      </c>
      <c r="D7437" s="669" t="s">
        <v>389</v>
      </c>
      <c r="E7437" s="546">
        <v>1010.478258</v>
      </c>
    </row>
    <row r="7438" spans="2:5" x14ac:dyDescent="0.25">
      <c r="B7438" s="545">
        <v>9203</v>
      </c>
      <c r="C7438" s="545" t="s">
        <v>5748</v>
      </c>
      <c r="D7438" s="669" t="s">
        <v>389</v>
      </c>
      <c r="E7438" s="546">
        <v>952.60476200000005</v>
      </c>
    </row>
    <row r="7439" spans="2:5" x14ac:dyDescent="0.25">
      <c r="B7439" s="545">
        <v>9204</v>
      </c>
      <c r="C7439" s="545" t="s">
        <v>5938</v>
      </c>
      <c r="D7439" s="669" t="s">
        <v>389</v>
      </c>
      <c r="E7439" s="546">
        <v>1018.854996</v>
      </c>
    </row>
    <row r="7440" spans="2:5" x14ac:dyDescent="0.25">
      <c r="B7440" s="545">
        <v>9205</v>
      </c>
      <c r="C7440" s="545" t="s">
        <v>6039</v>
      </c>
      <c r="D7440" s="669" t="s">
        <v>389</v>
      </c>
      <c r="E7440" s="546">
        <v>1071.930777</v>
      </c>
    </row>
    <row r="7441" spans="2:5" x14ac:dyDescent="0.25">
      <c r="B7441" s="545">
        <v>9206</v>
      </c>
      <c r="C7441" s="545" t="s">
        <v>3756</v>
      </c>
      <c r="D7441" s="669" t="s">
        <v>389</v>
      </c>
      <c r="E7441" s="546">
        <v>1057.9000020000001</v>
      </c>
    </row>
    <row r="7442" spans="2:5" x14ac:dyDescent="0.25">
      <c r="B7442" s="545">
        <v>9207</v>
      </c>
      <c r="C7442" s="545" t="s">
        <v>5980</v>
      </c>
      <c r="D7442" s="669" t="s">
        <v>389</v>
      </c>
      <c r="E7442" s="546">
        <v>1039.475001</v>
      </c>
    </row>
    <row r="7443" spans="2:5" x14ac:dyDescent="0.25">
      <c r="B7443" s="545">
        <v>9208</v>
      </c>
      <c r="C7443" s="545" t="s">
        <v>1198</v>
      </c>
      <c r="D7443" s="669" t="s">
        <v>389</v>
      </c>
      <c r="E7443" s="546">
        <v>1054.4551710000001</v>
      </c>
    </row>
    <row r="7444" spans="2:5" x14ac:dyDescent="0.25">
      <c r="B7444" s="545">
        <v>9209</v>
      </c>
      <c r="C7444" s="545" t="s">
        <v>5955</v>
      </c>
      <c r="D7444" s="669" t="s">
        <v>389</v>
      </c>
      <c r="E7444" s="546">
        <v>1028.7857140000001</v>
      </c>
    </row>
    <row r="7445" spans="2:5" x14ac:dyDescent="0.25">
      <c r="B7445" s="545">
        <v>9210</v>
      </c>
      <c r="C7445" s="545" t="s">
        <v>2592</v>
      </c>
      <c r="D7445" s="669" t="s">
        <v>389</v>
      </c>
      <c r="E7445" s="546">
        <v>1019.449982</v>
      </c>
    </row>
    <row r="7446" spans="2:5" x14ac:dyDescent="0.25">
      <c r="B7446" s="545">
        <v>9211</v>
      </c>
      <c r="C7446" s="545" t="s">
        <v>6112</v>
      </c>
      <c r="D7446" s="669" t="s">
        <v>389</v>
      </c>
      <c r="E7446" s="546">
        <v>1124.623075</v>
      </c>
    </row>
    <row r="7447" spans="2:5" x14ac:dyDescent="0.25">
      <c r="B7447" s="545">
        <v>9212</v>
      </c>
      <c r="C7447" s="545" t="s">
        <v>6050</v>
      </c>
      <c r="D7447" s="669" t="s">
        <v>389</v>
      </c>
      <c r="E7447" s="546">
        <v>1079.3076920000001</v>
      </c>
    </row>
    <row r="7448" spans="2:5" x14ac:dyDescent="0.25">
      <c r="B7448" s="545">
        <v>9213</v>
      </c>
      <c r="C7448" s="545" t="s">
        <v>6137</v>
      </c>
      <c r="D7448" s="669" t="s">
        <v>389</v>
      </c>
      <c r="E7448" s="546">
        <v>1148.711114</v>
      </c>
    </row>
    <row r="7449" spans="2:5" x14ac:dyDescent="0.25">
      <c r="B7449" s="545">
        <v>9214</v>
      </c>
      <c r="C7449" s="545" t="s">
        <v>6213</v>
      </c>
      <c r="D7449" s="669" t="s">
        <v>389</v>
      </c>
      <c r="E7449" s="546">
        <v>1213.0181769999999</v>
      </c>
    </row>
    <row r="7450" spans="2:5" x14ac:dyDescent="0.25">
      <c r="B7450" s="545">
        <v>9215</v>
      </c>
      <c r="C7450" s="545" t="s">
        <v>6230</v>
      </c>
      <c r="D7450" s="669" t="s">
        <v>389</v>
      </c>
      <c r="E7450" s="546">
        <v>1230.7678530000001</v>
      </c>
    </row>
    <row r="7451" spans="2:5" x14ac:dyDescent="0.25">
      <c r="B7451" s="545">
        <v>9216</v>
      </c>
      <c r="C7451" s="545" t="s">
        <v>7015</v>
      </c>
      <c r="D7451" s="669" t="s">
        <v>389</v>
      </c>
      <c r="E7451" s="546">
        <v>1047.3714219999999</v>
      </c>
    </row>
    <row r="7452" spans="2:5" x14ac:dyDescent="0.25">
      <c r="B7452" s="545">
        <v>9217</v>
      </c>
      <c r="C7452" s="545" t="s">
        <v>6505</v>
      </c>
      <c r="D7452" s="669" t="s">
        <v>389</v>
      </c>
      <c r="E7452" s="546">
        <v>993.30000299999995</v>
      </c>
    </row>
    <row r="7453" spans="2:5" x14ac:dyDescent="0.25">
      <c r="B7453" s="545">
        <v>9218</v>
      </c>
      <c r="C7453" s="545" t="s">
        <v>6504</v>
      </c>
      <c r="D7453" s="669" t="s">
        <v>389</v>
      </c>
      <c r="E7453" s="546">
        <v>1074.133325</v>
      </c>
    </row>
    <row r="7454" spans="2:5" x14ac:dyDescent="0.25">
      <c r="B7454" s="545">
        <v>9219</v>
      </c>
      <c r="C7454" s="545" t="s">
        <v>5932</v>
      </c>
      <c r="D7454" s="669" t="s">
        <v>389</v>
      </c>
      <c r="E7454" s="546">
        <v>1016.163635</v>
      </c>
    </row>
    <row r="7455" spans="2:5" x14ac:dyDescent="0.25">
      <c r="B7455" s="545">
        <v>9220</v>
      </c>
      <c r="C7455" s="545" t="s">
        <v>4511</v>
      </c>
      <c r="D7455" s="669" t="s">
        <v>389</v>
      </c>
      <c r="E7455" s="546">
        <v>1061.8461540000001</v>
      </c>
    </row>
    <row r="7456" spans="2:5" x14ac:dyDescent="0.25">
      <c r="B7456" s="545">
        <v>9221</v>
      </c>
      <c r="C7456" s="545" t="s">
        <v>1162</v>
      </c>
      <c r="D7456" s="669" t="s">
        <v>389</v>
      </c>
      <c r="E7456" s="546">
        <v>1119.7499800000001</v>
      </c>
    </row>
    <row r="7457" spans="2:5" x14ac:dyDescent="0.25">
      <c r="B7457" s="545">
        <v>9222</v>
      </c>
      <c r="C7457" s="545" t="s">
        <v>6228</v>
      </c>
      <c r="D7457" s="669" t="s">
        <v>389</v>
      </c>
      <c r="E7457" s="546">
        <v>1229.9750059999999</v>
      </c>
    </row>
    <row r="7458" spans="2:5" x14ac:dyDescent="0.25">
      <c r="B7458" s="545">
        <v>9223</v>
      </c>
      <c r="C7458" s="545" t="s">
        <v>6174</v>
      </c>
      <c r="D7458" s="669" t="s">
        <v>389</v>
      </c>
      <c r="E7458" s="546">
        <v>1176.613642</v>
      </c>
    </row>
    <row r="7459" spans="2:5" x14ac:dyDescent="0.25">
      <c r="B7459" s="545">
        <v>9224</v>
      </c>
      <c r="C7459" s="545" t="s">
        <v>3044</v>
      </c>
      <c r="D7459" s="669" t="s">
        <v>389</v>
      </c>
      <c r="E7459" s="546">
        <v>1094.4437479999999</v>
      </c>
    </row>
    <row r="7460" spans="2:5" x14ac:dyDescent="0.25">
      <c r="B7460" s="545">
        <v>9225</v>
      </c>
      <c r="C7460" s="545" t="s">
        <v>6153</v>
      </c>
      <c r="D7460" s="669" t="s">
        <v>389</v>
      </c>
      <c r="E7460" s="546">
        <v>1153.608348</v>
      </c>
    </row>
    <row r="7461" spans="2:5" x14ac:dyDescent="0.25">
      <c r="B7461" s="545">
        <v>9226</v>
      </c>
      <c r="C7461" s="545" t="s">
        <v>6206</v>
      </c>
      <c r="D7461" s="669" t="s">
        <v>389</v>
      </c>
      <c r="E7461" s="546">
        <v>1202.6687469999999</v>
      </c>
    </row>
    <row r="7462" spans="2:5" x14ac:dyDescent="0.25">
      <c r="B7462" s="545">
        <v>9227</v>
      </c>
      <c r="C7462" s="545" t="s">
        <v>6252</v>
      </c>
      <c r="D7462" s="669" t="s">
        <v>389</v>
      </c>
      <c r="E7462" s="546">
        <v>1253.230769</v>
      </c>
    </row>
    <row r="7463" spans="2:5" x14ac:dyDescent="0.25">
      <c r="B7463" s="545">
        <v>9228</v>
      </c>
      <c r="C7463" s="545" t="s">
        <v>6254</v>
      </c>
      <c r="D7463" s="669" t="s">
        <v>389</v>
      </c>
      <c r="E7463" s="546">
        <v>1267.6272859999999</v>
      </c>
    </row>
    <row r="7464" spans="2:5" x14ac:dyDescent="0.25">
      <c r="B7464" s="545">
        <v>9229</v>
      </c>
      <c r="C7464" s="545" t="s">
        <v>7291</v>
      </c>
      <c r="D7464" s="669" t="s">
        <v>389</v>
      </c>
      <c r="E7464" s="546">
        <v>1280.4208269999999</v>
      </c>
    </row>
    <row r="7465" spans="2:5" x14ac:dyDescent="0.25">
      <c r="B7465" s="545">
        <v>9230</v>
      </c>
      <c r="C7465" s="545" t="s">
        <v>6293</v>
      </c>
      <c r="D7465" s="669" t="s">
        <v>389</v>
      </c>
      <c r="E7465" s="546">
        <v>1338.542864</v>
      </c>
    </row>
    <row r="7466" spans="2:5" x14ac:dyDescent="0.25">
      <c r="B7466" s="545">
        <v>9231</v>
      </c>
      <c r="C7466" s="545" t="s">
        <v>6297</v>
      </c>
      <c r="D7466" s="669" t="s">
        <v>389</v>
      </c>
      <c r="E7466" s="546">
        <v>1346.294118</v>
      </c>
    </row>
    <row r="7467" spans="2:5" x14ac:dyDescent="0.25">
      <c r="B7467" s="545">
        <v>9232</v>
      </c>
      <c r="C7467" s="545" t="s">
        <v>6261</v>
      </c>
      <c r="D7467" s="669" t="s">
        <v>389</v>
      </c>
      <c r="E7467" s="546">
        <v>1281.957684</v>
      </c>
    </row>
    <row r="7468" spans="2:5" x14ac:dyDescent="0.25">
      <c r="B7468" s="545">
        <v>9233</v>
      </c>
      <c r="C7468" s="545" t="s">
        <v>7430</v>
      </c>
      <c r="D7468" s="669" t="s">
        <v>380</v>
      </c>
      <c r="E7468" s="546">
        <v>1212.8000079999999</v>
      </c>
    </row>
    <row r="7469" spans="2:5" x14ac:dyDescent="0.25">
      <c r="B7469" s="545">
        <v>9234</v>
      </c>
      <c r="C7469" s="545" t="s">
        <v>6215</v>
      </c>
      <c r="D7469" s="669" t="s">
        <v>380</v>
      </c>
      <c r="E7469" s="546">
        <v>1214.3277989999999</v>
      </c>
    </row>
    <row r="7470" spans="2:5" x14ac:dyDescent="0.25">
      <c r="B7470" s="545">
        <v>9235</v>
      </c>
      <c r="C7470" s="545" t="s">
        <v>6273</v>
      </c>
      <c r="D7470" s="669" t="s">
        <v>380</v>
      </c>
      <c r="E7470" s="546">
        <v>1298.8000179999999</v>
      </c>
    </row>
    <row r="7471" spans="2:5" x14ac:dyDescent="0.25">
      <c r="B7471" s="545">
        <v>9236</v>
      </c>
      <c r="C7471" s="545" t="s">
        <v>6314</v>
      </c>
      <c r="D7471" s="669" t="s">
        <v>380</v>
      </c>
      <c r="E7471" s="546">
        <v>1399.0699950000001</v>
      </c>
    </row>
    <row r="7472" spans="2:5" x14ac:dyDescent="0.25">
      <c r="B7472" s="545">
        <v>9237</v>
      </c>
      <c r="C7472" s="545" t="s">
        <v>6295</v>
      </c>
      <c r="D7472" s="669" t="s">
        <v>380</v>
      </c>
      <c r="E7472" s="546">
        <v>1342.3874969999999</v>
      </c>
    </row>
    <row r="7473" spans="2:5" x14ac:dyDescent="0.25">
      <c r="B7473" s="545">
        <v>9238</v>
      </c>
      <c r="C7473" s="545" t="s">
        <v>6258</v>
      </c>
      <c r="D7473" s="669" t="s">
        <v>380</v>
      </c>
      <c r="E7473" s="546">
        <v>1279.0947389999999</v>
      </c>
    </row>
    <row r="7474" spans="2:5" x14ac:dyDescent="0.25">
      <c r="B7474" s="545">
        <v>9239</v>
      </c>
      <c r="C7474" s="545" t="s">
        <v>6282</v>
      </c>
      <c r="D7474" s="669" t="s">
        <v>380</v>
      </c>
      <c r="E7474" s="546">
        <v>1325.829403</v>
      </c>
    </row>
    <row r="7475" spans="2:5" x14ac:dyDescent="0.25">
      <c r="B7475" s="545">
        <v>9240</v>
      </c>
      <c r="C7475" s="545" t="s">
        <v>6357</v>
      </c>
      <c r="D7475" s="669" t="s">
        <v>380</v>
      </c>
      <c r="E7475" s="546">
        <v>1541.390474</v>
      </c>
    </row>
    <row r="7476" spans="2:5" x14ac:dyDescent="0.25">
      <c r="B7476" s="545">
        <v>9241</v>
      </c>
      <c r="C7476" s="545" t="s">
        <v>6330</v>
      </c>
      <c r="D7476" s="669" t="s">
        <v>380</v>
      </c>
      <c r="E7476" s="546">
        <v>1447.1437639999999</v>
      </c>
    </row>
    <row r="7477" spans="2:5" x14ac:dyDescent="0.25">
      <c r="B7477" s="545">
        <v>9242</v>
      </c>
      <c r="C7477" s="545" t="s">
        <v>6262</v>
      </c>
      <c r="D7477" s="669" t="s">
        <v>380</v>
      </c>
      <c r="E7477" s="546">
        <v>1283.0416620000001</v>
      </c>
    </row>
    <row r="7478" spans="2:5" x14ac:dyDescent="0.25">
      <c r="B7478" s="545">
        <v>9243</v>
      </c>
      <c r="C7478" s="545" t="s">
        <v>6280</v>
      </c>
      <c r="D7478" s="669" t="s">
        <v>380</v>
      </c>
      <c r="E7478" s="546">
        <v>1316.2499800000001</v>
      </c>
    </row>
    <row r="7479" spans="2:5" x14ac:dyDescent="0.25">
      <c r="B7479" s="545">
        <v>9244</v>
      </c>
      <c r="C7479" s="545" t="s">
        <v>6259</v>
      </c>
      <c r="D7479" s="669" t="s">
        <v>380</v>
      </c>
      <c r="E7479" s="546">
        <v>1279.2800050000001</v>
      </c>
    </row>
    <row r="7480" spans="2:5" x14ac:dyDescent="0.25">
      <c r="B7480" s="545">
        <v>9245</v>
      </c>
      <c r="C7480" s="545" t="s">
        <v>6326</v>
      </c>
      <c r="D7480" s="669" t="s">
        <v>380</v>
      </c>
      <c r="E7480" s="546">
        <v>1438.9166560000001</v>
      </c>
    </row>
    <row r="7481" spans="2:5" x14ac:dyDescent="0.25">
      <c r="B7481" s="545">
        <v>9246</v>
      </c>
      <c r="C7481" s="545" t="s">
        <v>6921</v>
      </c>
      <c r="D7481" s="669" t="s">
        <v>380</v>
      </c>
      <c r="E7481" s="546">
        <v>1387.7727379999999</v>
      </c>
    </row>
    <row r="7482" spans="2:5" x14ac:dyDescent="0.25">
      <c r="B7482" s="545">
        <v>9247</v>
      </c>
      <c r="C7482" s="545" t="s">
        <v>6375</v>
      </c>
      <c r="D7482" s="669" t="s">
        <v>380</v>
      </c>
      <c r="E7482" s="546">
        <v>1580.8720069999999</v>
      </c>
    </row>
    <row r="7483" spans="2:5" x14ac:dyDescent="0.25">
      <c r="B7483" s="545">
        <v>9248</v>
      </c>
      <c r="C7483" s="545" t="s">
        <v>6363</v>
      </c>
      <c r="D7483" s="669" t="s">
        <v>380</v>
      </c>
      <c r="E7483" s="546">
        <v>1552.5325499999999</v>
      </c>
    </row>
    <row r="7484" spans="2:5" x14ac:dyDescent="0.25">
      <c r="B7484" s="545">
        <v>9249</v>
      </c>
      <c r="C7484" s="545" t="s">
        <v>6405</v>
      </c>
      <c r="D7484" s="669" t="s">
        <v>380</v>
      </c>
      <c r="E7484" s="546">
        <v>1681.9035730000001</v>
      </c>
    </row>
    <row r="7485" spans="2:5" x14ac:dyDescent="0.25">
      <c r="B7485" s="545">
        <v>9250</v>
      </c>
      <c r="C7485" s="545" t="s">
        <v>6424</v>
      </c>
      <c r="D7485" s="669" t="s">
        <v>380</v>
      </c>
      <c r="E7485" s="546">
        <v>1771.579997</v>
      </c>
    </row>
    <row r="7486" spans="2:5" x14ac:dyDescent="0.25">
      <c r="B7486" s="545">
        <v>9251</v>
      </c>
      <c r="C7486" s="545" t="s">
        <v>6407</v>
      </c>
      <c r="D7486" s="669" t="s">
        <v>380</v>
      </c>
      <c r="E7486" s="546">
        <v>1689.3310289999999</v>
      </c>
    </row>
    <row r="7487" spans="2:5" x14ac:dyDescent="0.25">
      <c r="B7487" s="545">
        <v>9252</v>
      </c>
      <c r="C7487" s="545" t="s">
        <v>6397</v>
      </c>
      <c r="D7487" s="669" t="s">
        <v>380</v>
      </c>
      <c r="E7487" s="546">
        <v>1650.4967750000001</v>
      </c>
    </row>
    <row r="7488" spans="2:5" x14ac:dyDescent="0.25">
      <c r="B7488" s="545">
        <v>9253</v>
      </c>
      <c r="C7488" s="545" t="s">
        <v>6393</v>
      </c>
      <c r="D7488" s="669" t="s">
        <v>380</v>
      </c>
      <c r="E7488" s="546">
        <v>1643.4999909999999</v>
      </c>
    </row>
    <row r="7489" spans="2:5" x14ac:dyDescent="0.25">
      <c r="B7489" s="545">
        <v>9254</v>
      </c>
      <c r="C7489" s="545" t="s">
        <v>6443</v>
      </c>
      <c r="D7489" s="669" t="s">
        <v>380</v>
      </c>
      <c r="E7489" s="546">
        <v>1903.621249</v>
      </c>
    </row>
    <row r="7490" spans="2:5" x14ac:dyDescent="0.25">
      <c r="B7490" s="545">
        <v>9255</v>
      </c>
      <c r="C7490" s="545" t="s">
        <v>6408</v>
      </c>
      <c r="D7490" s="669" t="s">
        <v>380</v>
      </c>
      <c r="E7490" s="546">
        <v>1692.973684</v>
      </c>
    </row>
    <row r="7491" spans="2:5" x14ac:dyDescent="0.25">
      <c r="B7491" s="545">
        <v>9256</v>
      </c>
      <c r="C7491" s="545" t="s">
        <v>6374</v>
      </c>
      <c r="D7491" s="669" t="s">
        <v>380</v>
      </c>
      <c r="E7491" s="546">
        <v>1580.837509</v>
      </c>
    </row>
    <row r="7492" spans="2:5" x14ac:dyDescent="0.25">
      <c r="B7492" s="545">
        <v>9257</v>
      </c>
      <c r="C7492" s="545" t="s">
        <v>6425</v>
      </c>
      <c r="D7492" s="669" t="s">
        <v>380</v>
      </c>
      <c r="E7492" s="546">
        <v>1781.212125</v>
      </c>
    </row>
    <row r="7493" spans="2:5" x14ac:dyDescent="0.25">
      <c r="B7493" s="545">
        <v>9258</v>
      </c>
      <c r="C7493" s="545" t="s">
        <v>7108</v>
      </c>
      <c r="D7493" s="669" t="s">
        <v>380</v>
      </c>
      <c r="E7493" s="546">
        <v>1596.3583369999999</v>
      </c>
    </row>
    <row r="7494" spans="2:5" x14ac:dyDescent="0.25">
      <c r="B7494" s="545">
        <v>9259</v>
      </c>
      <c r="C7494" s="545" t="s">
        <v>6402</v>
      </c>
      <c r="D7494" s="669" t="s">
        <v>380</v>
      </c>
      <c r="E7494" s="546">
        <v>1673.5489399999999</v>
      </c>
    </row>
    <row r="7495" spans="2:5" x14ac:dyDescent="0.25">
      <c r="B7495" s="545">
        <v>9260</v>
      </c>
      <c r="C7495" s="545" t="s">
        <v>6381</v>
      </c>
      <c r="D7495" s="669" t="s">
        <v>380</v>
      </c>
      <c r="E7495" s="546">
        <v>1595.9740400000001</v>
      </c>
    </row>
    <row r="7496" spans="2:5" x14ac:dyDescent="0.25">
      <c r="B7496" s="545">
        <v>9261</v>
      </c>
      <c r="C7496" s="545" t="s">
        <v>6438</v>
      </c>
      <c r="D7496" s="669" t="s">
        <v>380</v>
      </c>
      <c r="E7496" s="546">
        <v>1879.007087</v>
      </c>
    </row>
    <row r="7497" spans="2:5" x14ac:dyDescent="0.25">
      <c r="B7497" s="545">
        <v>9262</v>
      </c>
      <c r="C7497" s="545" t="s">
        <v>6370</v>
      </c>
      <c r="D7497" s="669" t="s">
        <v>380</v>
      </c>
      <c r="E7497" s="546">
        <v>1566.8100019999999</v>
      </c>
    </row>
    <row r="7498" spans="2:5" x14ac:dyDescent="0.25">
      <c r="B7498" s="545">
        <v>9301</v>
      </c>
      <c r="C7498" s="545" t="s">
        <v>6035</v>
      </c>
      <c r="D7498" s="669" t="s">
        <v>365</v>
      </c>
      <c r="E7498" s="546">
        <v>1070.4624940000001</v>
      </c>
    </row>
    <row r="7499" spans="2:5" x14ac:dyDescent="0.25">
      <c r="B7499" s="545">
        <v>9302</v>
      </c>
      <c r="C7499" s="545" t="s">
        <v>7423</v>
      </c>
      <c r="D7499" s="669" t="s">
        <v>365</v>
      </c>
      <c r="E7499" s="546">
        <v>1134.023524</v>
      </c>
    </row>
    <row r="7500" spans="2:5" x14ac:dyDescent="0.25">
      <c r="B7500" s="545">
        <v>9303</v>
      </c>
      <c r="C7500" s="545" t="s">
        <v>7496</v>
      </c>
      <c r="D7500" s="669" t="s">
        <v>365</v>
      </c>
      <c r="E7500" s="546">
        <v>1082.760006</v>
      </c>
    </row>
    <row r="7501" spans="2:5" x14ac:dyDescent="0.25">
      <c r="B7501" s="545">
        <v>9304</v>
      </c>
      <c r="C7501" s="545" t="s">
        <v>6131</v>
      </c>
      <c r="D7501" s="669" t="s">
        <v>365</v>
      </c>
      <c r="E7501" s="546">
        <v>1145.388234</v>
      </c>
    </row>
    <row r="7502" spans="2:5" x14ac:dyDescent="0.25">
      <c r="B7502" s="545">
        <v>9306</v>
      </c>
      <c r="C7502" s="545" t="s">
        <v>6061</v>
      </c>
      <c r="D7502" s="669" t="s">
        <v>365</v>
      </c>
      <c r="E7502" s="546">
        <v>1086.133335</v>
      </c>
    </row>
    <row r="7503" spans="2:5" x14ac:dyDescent="0.25">
      <c r="B7503" s="545">
        <v>9307</v>
      </c>
      <c r="C7503" s="545" t="s">
        <v>1369</v>
      </c>
      <c r="D7503" s="669" t="s">
        <v>365</v>
      </c>
      <c r="E7503" s="546">
        <v>1146.836348</v>
      </c>
    </row>
    <row r="7504" spans="2:5" x14ac:dyDescent="0.25">
      <c r="B7504" s="545">
        <v>9308</v>
      </c>
      <c r="C7504" s="545" t="s">
        <v>6146</v>
      </c>
      <c r="D7504" s="669" t="s">
        <v>365</v>
      </c>
      <c r="E7504" s="546">
        <v>1151.3629739999999</v>
      </c>
    </row>
    <row r="7505" spans="2:5" x14ac:dyDescent="0.25">
      <c r="B7505" s="545">
        <v>9309</v>
      </c>
      <c r="C7505" s="545" t="s">
        <v>6154</v>
      </c>
      <c r="D7505" s="669" t="s">
        <v>371</v>
      </c>
      <c r="E7505" s="546">
        <v>1154.6000059999999</v>
      </c>
    </row>
    <row r="7506" spans="2:5" x14ac:dyDescent="0.25">
      <c r="B7506" s="545">
        <v>9310</v>
      </c>
      <c r="C7506" s="545" t="s">
        <v>4981</v>
      </c>
      <c r="D7506" s="669" t="s">
        <v>371</v>
      </c>
      <c r="E7506" s="546">
        <v>1201.3799799999999</v>
      </c>
    </row>
    <row r="7507" spans="2:5" x14ac:dyDescent="0.25">
      <c r="B7507" s="545">
        <v>9311</v>
      </c>
      <c r="C7507" s="545" t="s">
        <v>3918</v>
      </c>
      <c r="D7507" s="669" t="s">
        <v>371</v>
      </c>
      <c r="E7507" s="546">
        <v>1121.399991</v>
      </c>
    </row>
    <row r="7508" spans="2:5" x14ac:dyDescent="0.25">
      <c r="B7508" s="545">
        <v>9312</v>
      </c>
      <c r="C7508" s="545" t="s">
        <v>6130</v>
      </c>
      <c r="D7508" s="669" t="s">
        <v>371</v>
      </c>
      <c r="E7508" s="546">
        <v>1145</v>
      </c>
    </row>
    <row r="7509" spans="2:5" x14ac:dyDescent="0.25">
      <c r="B7509" s="545">
        <v>9313</v>
      </c>
      <c r="C7509" s="545" t="s">
        <v>6202</v>
      </c>
      <c r="D7509" s="669" t="s">
        <v>371</v>
      </c>
      <c r="E7509" s="546">
        <v>1200.085693</v>
      </c>
    </row>
    <row r="7510" spans="2:5" x14ac:dyDescent="0.25">
      <c r="B7510" s="545">
        <v>9314</v>
      </c>
      <c r="C7510" s="545" t="s">
        <v>6150</v>
      </c>
      <c r="D7510" s="669" t="s">
        <v>371</v>
      </c>
      <c r="E7510" s="546">
        <v>1153.2428500000001</v>
      </c>
    </row>
    <row r="7511" spans="2:5" x14ac:dyDescent="0.25">
      <c r="B7511" s="545">
        <v>9315</v>
      </c>
      <c r="C7511" s="545" t="s">
        <v>6191</v>
      </c>
      <c r="D7511" s="669" t="s">
        <v>371</v>
      </c>
      <c r="E7511" s="546">
        <v>1188.2923020000001</v>
      </c>
    </row>
    <row r="7512" spans="2:5" x14ac:dyDescent="0.25">
      <c r="B7512" s="545">
        <v>9316</v>
      </c>
      <c r="C7512" s="545" t="s">
        <v>6210</v>
      </c>
      <c r="D7512" s="669" t="s">
        <v>371</v>
      </c>
      <c r="E7512" s="546">
        <v>1206.25</v>
      </c>
    </row>
    <row r="7513" spans="2:5" x14ac:dyDescent="0.25">
      <c r="B7513" s="545">
        <v>9317</v>
      </c>
      <c r="C7513" s="545" t="s">
        <v>1934</v>
      </c>
      <c r="D7513" s="669" t="s">
        <v>371</v>
      </c>
      <c r="E7513" s="546">
        <v>1225.9181570000001</v>
      </c>
    </row>
    <row r="7514" spans="2:5" x14ac:dyDescent="0.25">
      <c r="B7514" s="545">
        <v>9318</v>
      </c>
      <c r="C7514" s="545" t="s">
        <v>6626</v>
      </c>
      <c r="D7514" s="669" t="s">
        <v>371</v>
      </c>
      <c r="E7514" s="546">
        <v>1132.7210500000001</v>
      </c>
    </row>
    <row r="7515" spans="2:5" x14ac:dyDescent="0.25">
      <c r="B7515" s="545">
        <v>9319</v>
      </c>
      <c r="C7515" s="545" t="s">
        <v>6158</v>
      </c>
      <c r="D7515" s="669" t="s">
        <v>371</v>
      </c>
      <c r="E7515" s="546">
        <v>1157.182601</v>
      </c>
    </row>
    <row r="7516" spans="2:5" x14ac:dyDescent="0.25">
      <c r="B7516" s="545">
        <v>9320</v>
      </c>
      <c r="C7516" s="545" t="s">
        <v>3313</v>
      </c>
      <c r="D7516" s="669" t="s">
        <v>371</v>
      </c>
      <c r="E7516" s="546">
        <v>1133.830005</v>
      </c>
    </row>
    <row r="7517" spans="2:5" x14ac:dyDescent="0.25">
      <c r="B7517" s="545">
        <v>9321</v>
      </c>
      <c r="C7517" s="545" t="s">
        <v>6109</v>
      </c>
      <c r="D7517" s="669" t="s">
        <v>371</v>
      </c>
      <c r="E7517" s="546">
        <v>1124.0249940000001</v>
      </c>
    </row>
    <row r="7518" spans="2:5" x14ac:dyDescent="0.25">
      <c r="B7518" s="545">
        <v>9322</v>
      </c>
      <c r="C7518" s="545" t="s">
        <v>3555</v>
      </c>
      <c r="D7518" s="669" t="s">
        <v>371</v>
      </c>
      <c r="E7518" s="546">
        <v>1111.25</v>
      </c>
    </row>
    <row r="7519" spans="2:5" x14ac:dyDescent="0.25">
      <c r="B7519" s="545">
        <v>9323</v>
      </c>
      <c r="C7519" s="545" t="s">
        <v>5217</v>
      </c>
      <c r="D7519" s="669" t="s">
        <v>371</v>
      </c>
      <c r="E7519" s="546">
        <v>1140.544447</v>
      </c>
    </row>
    <row r="7520" spans="2:5" x14ac:dyDescent="0.25">
      <c r="B7520" s="545">
        <v>9324</v>
      </c>
      <c r="C7520" s="545" t="s">
        <v>6184</v>
      </c>
      <c r="D7520" s="669" t="s">
        <v>371</v>
      </c>
      <c r="E7520" s="546">
        <v>1186.6600100000001</v>
      </c>
    </row>
    <row r="7521" spans="2:5" x14ac:dyDescent="0.25">
      <c r="B7521" s="545">
        <v>9325</v>
      </c>
      <c r="C7521" s="545" t="s">
        <v>6161</v>
      </c>
      <c r="D7521" s="669" t="s">
        <v>371</v>
      </c>
      <c r="E7521" s="546">
        <v>1161.349976</v>
      </c>
    </row>
    <row r="7522" spans="2:5" x14ac:dyDescent="0.25">
      <c r="B7522" s="545">
        <v>9326</v>
      </c>
      <c r="C7522" s="545" t="s">
        <v>6186</v>
      </c>
      <c r="D7522" s="669" t="s">
        <v>371</v>
      </c>
      <c r="E7522" s="546">
        <v>1186.9833269999999</v>
      </c>
    </row>
    <row r="7523" spans="2:5" x14ac:dyDescent="0.25">
      <c r="B7523" s="545">
        <v>9327</v>
      </c>
      <c r="C7523" s="545" t="s">
        <v>6734</v>
      </c>
      <c r="D7523" s="669" t="s">
        <v>371</v>
      </c>
      <c r="E7523" s="546">
        <v>1295.5200070000001</v>
      </c>
    </row>
    <row r="7524" spans="2:5" x14ac:dyDescent="0.25">
      <c r="B7524" s="545">
        <v>9328</v>
      </c>
      <c r="C7524" s="545" t="s">
        <v>1282</v>
      </c>
      <c r="D7524" s="669" t="s">
        <v>371</v>
      </c>
      <c r="E7524" s="546">
        <v>1305.012489</v>
      </c>
    </row>
    <row r="7525" spans="2:5" x14ac:dyDescent="0.25">
      <c r="B7525" s="545">
        <v>9329</v>
      </c>
      <c r="C7525" s="545" t="s">
        <v>6253</v>
      </c>
      <c r="D7525" s="669" t="s">
        <v>371</v>
      </c>
      <c r="E7525" s="546">
        <v>1265.443481</v>
      </c>
    </row>
    <row r="7526" spans="2:5" x14ac:dyDescent="0.25">
      <c r="B7526" s="545">
        <v>9330</v>
      </c>
      <c r="C7526" s="545" t="s">
        <v>6279</v>
      </c>
      <c r="D7526" s="669" t="s">
        <v>371</v>
      </c>
      <c r="E7526" s="546">
        <v>1313.833347</v>
      </c>
    </row>
    <row r="7527" spans="2:5" x14ac:dyDescent="0.25">
      <c r="B7527" s="545">
        <v>9331</v>
      </c>
      <c r="C7527" s="545" t="s">
        <v>6298</v>
      </c>
      <c r="D7527" s="669" t="s">
        <v>371</v>
      </c>
      <c r="E7527" s="546">
        <v>1349.930758</v>
      </c>
    </row>
    <row r="7528" spans="2:5" x14ac:dyDescent="0.25">
      <c r="B7528" s="545">
        <v>9332</v>
      </c>
      <c r="C7528" s="545" t="s">
        <v>6285</v>
      </c>
      <c r="D7528" s="669" t="s">
        <v>371</v>
      </c>
      <c r="E7528" s="546">
        <v>1331.9944459999999</v>
      </c>
    </row>
    <row r="7529" spans="2:5" x14ac:dyDescent="0.25">
      <c r="B7529" s="545">
        <v>9333</v>
      </c>
      <c r="C7529" s="545" t="s">
        <v>5067</v>
      </c>
      <c r="D7529" s="669" t="s">
        <v>371</v>
      </c>
      <c r="E7529" s="546">
        <v>1181.1999840000001</v>
      </c>
    </row>
    <row r="7530" spans="2:5" x14ac:dyDescent="0.25">
      <c r="B7530" s="545">
        <v>9334</v>
      </c>
      <c r="C7530" s="545" t="s">
        <v>6188</v>
      </c>
      <c r="D7530" s="669" t="s">
        <v>371</v>
      </c>
      <c r="E7530" s="546">
        <v>1187.3999960000001</v>
      </c>
    </row>
    <row r="7531" spans="2:5" x14ac:dyDescent="0.25">
      <c r="B7531" s="545">
        <v>9335</v>
      </c>
      <c r="C7531" s="545" t="s">
        <v>6234</v>
      </c>
      <c r="D7531" s="669" t="s">
        <v>371</v>
      </c>
      <c r="E7531" s="546">
        <v>1233.150007</v>
      </c>
    </row>
    <row r="7532" spans="2:5" x14ac:dyDescent="0.25">
      <c r="B7532" s="545">
        <v>9336</v>
      </c>
      <c r="C7532" s="545" t="s">
        <v>7086</v>
      </c>
      <c r="D7532" s="669" t="s">
        <v>371</v>
      </c>
      <c r="E7532" s="546">
        <v>1247.1206810000001</v>
      </c>
    </row>
    <row r="7533" spans="2:5" x14ac:dyDescent="0.25">
      <c r="B7533" s="545">
        <v>9337</v>
      </c>
      <c r="C7533" s="545" t="s">
        <v>3322</v>
      </c>
      <c r="D7533" s="669" t="s">
        <v>371</v>
      </c>
      <c r="E7533" s="546">
        <v>1288.6999920000001</v>
      </c>
    </row>
    <row r="7534" spans="2:5" x14ac:dyDescent="0.25">
      <c r="B7534" s="545">
        <v>9338</v>
      </c>
      <c r="C7534" s="545" t="s">
        <v>7454</v>
      </c>
      <c r="D7534" s="669" t="s">
        <v>371</v>
      </c>
      <c r="E7534" s="546">
        <v>1272.136375</v>
      </c>
    </row>
    <row r="7535" spans="2:5" x14ac:dyDescent="0.25">
      <c r="B7535" s="545">
        <v>9401</v>
      </c>
      <c r="C7535" s="545" t="s">
        <v>7231</v>
      </c>
      <c r="D7535" s="669" t="s">
        <v>371</v>
      </c>
      <c r="E7535" s="546">
        <v>1278.161527</v>
      </c>
    </row>
    <row r="7536" spans="2:5" x14ac:dyDescent="0.25">
      <c r="B7536" s="545">
        <v>9402</v>
      </c>
      <c r="C7536" s="545" t="s">
        <v>6351</v>
      </c>
      <c r="D7536" s="669" t="s">
        <v>371</v>
      </c>
      <c r="E7536" s="546">
        <v>1520.488231</v>
      </c>
    </row>
    <row r="7537" spans="2:5" x14ac:dyDescent="0.25">
      <c r="B7537" s="545">
        <v>9403</v>
      </c>
      <c r="C7537" s="545" t="s">
        <v>6286</v>
      </c>
      <c r="D7537" s="669" t="s">
        <v>371</v>
      </c>
      <c r="E7537" s="546">
        <v>1332.418191</v>
      </c>
    </row>
    <row r="7538" spans="2:5" x14ac:dyDescent="0.25">
      <c r="B7538" s="545">
        <v>9404</v>
      </c>
      <c r="C7538" s="545" t="s">
        <v>6301</v>
      </c>
      <c r="D7538" s="669" t="s">
        <v>371</v>
      </c>
      <c r="E7538" s="546">
        <v>1354.691671</v>
      </c>
    </row>
    <row r="7539" spans="2:5" x14ac:dyDescent="0.25">
      <c r="B7539" s="545">
        <v>9405</v>
      </c>
      <c r="C7539" s="545" t="s">
        <v>6352</v>
      </c>
      <c r="D7539" s="669" t="s">
        <v>371</v>
      </c>
      <c r="E7539" s="546">
        <v>1521.0666639999999</v>
      </c>
    </row>
    <row r="7540" spans="2:5" x14ac:dyDescent="0.25">
      <c r="B7540" s="545">
        <v>9406</v>
      </c>
      <c r="C7540" s="545" t="s">
        <v>6419</v>
      </c>
      <c r="D7540" s="669" t="s">
        <v>371</v>
      </c>
      <c r="E7540" s="546">
        <v>1748.7685719999999</v>
      </c>
    </row>
    <row r="7541" spans="2:5" x14ac:dyDescent="0.25">
      <c r="B7541" s="545">
        <v>9407</v>
      </c>
      <c r="C7541" s="545" t="s">
        <v>6536</v>
      </c>
      <c r="D7541" s="669" t="s">
        <v>371</v>
      </c>
      <c r="E7541" s="546">
        <v>1435.1100100000001</v>
      </c>
    </row>
    <row r="7542" spans="2:5" x14ac:dyDescent="0.25">
      <c r="B7542" s="545">
        <v>9408</v>
      </c>
      <c r="C7542" s="545" t="s">
        <v>6317</v>
      </c>
      <c r="D7542" s="669" t="s">
        <v>371</v>
      </c>
      <c r="E7542" s="546">
        <v>1406.560876</v>
      </c>
    </row>
    <row r="7543" spans="2:5" x14ac:dyDescent="0.25">
      <c r="B7543" s="545">
        <v>9409</v>
      </c>
      <c r="C7543" s="545" t="s">
        <v>6316</v>
      </c>
      <c r="D7543" s="669" t="s">
        <v>371</v>
      </c>
      <c r="E7543" s="546">
        <v>1403.4500029999999</v>
      </c>
    </row>
    <row r="7544" spans="2:5" x14ac:dyDescent="0.25">
      <c r="B7544" s="545">
        <v>9410</v>
      </c>
      <c r="C7544" s="545" t="s">
        <v>6337</v>
      </c>
      <c r="D7544" s="669" t="s">
        <v>371</v>
      </c>
      <c r="E7544" s="546">
        <v>1470.4375</v>
      </c>
    </row>
    <row r="7545" spans="2:5" x14ac:dyDescent="0.25">
      <c r="B7545" s="545">
        <v>9411</v>
      </c>
      <c r="C7545" s="545" t="s">
        <v>6325</v>
      </c>
      <c r="D7545" s="669" t="s">
        <v>371</v>
      </c>
      <c r="E7545" s="546">
        <v>1438.080013</v>
      </c>
    </row>
    <row r="7546" spans="2:5" x14ac:dyDescent="0.25">
      <c r="B7546" s="545">
        <v>9412</v>
      </c>
      <c r="C7546" s="545" t="s">
        <v>6777</v>
      </c>
      <c r="D7546" s="669" t="s">
        <v>371</v>
      </c>
      <c r="E7546" s="546">
        <v>1773.0026889999999</v>
      </c>
    </row>
    <row r="7547" spans="2:5" x14ac:dyDescent="0.25">
      <c r="B7547" s="545">
        <v>9413</v>
      </c>
      <c r="C7547" s="545" t="s">
        <v>6355</v>
      </c>
      <c r="D7547" s="669" t="s">
        <v>371</v>
      </c>
      <c r="E7547" s="546">
        <v>1532.2692400000001</v>
      </c>
    </row>
    <row r="7548" spans="2:5" x14ac:dyDescent="0.25">
      <c r="B7548" s="545">
        <v>9414</v>
      </c>
      <c r="C7548" s="545" t="s">
        <v>6410</v>
      </c>
      <c r="D7548" s="669" t="s">
        <v>371</v>
      </c>
      <c r="E7548" s="546">
        <v>1705.2051280000001</v>
      </c>
    </row>
    <row r="7549" spans="2:5" x14ac:dyDescent="0.25">
      <c r="B7549" s="545">
        <v>9415</v>
      </c>
      <c r="C7549" s="545" t="s">
        <v>6373</v>
      </c>
      <c r="D7549" s="669" t="s">
        <v>371</v>
      </c>
      <c r="E7549" s="546">
        <v>1580.5439940000001</v>
      </c>
    </row>
    <row r="7550" spans="2:5" x14ac:dyDescent="0.25">
      <c r="B7550" s="545">
        <v>9416</v>
      </c>
      <c r="C7550" s="545" t="s">
        <v>6422</v>
      </c>
      <c r="D7550" s="669" t="s">
        <v>371</v>
      </c>
      <c r="E7550" s="546">
        <v>1761.652558</v>
      </c>
    </row>
    <row r="7551" spans="2:5" x14ac:dyDescent="0.25">
      <c r="B7551" s="545">
        <v>9417</v>
      </c>
      <c r="C7551" s="545" t="s">
        <v>6430</v>
      </c>
      <c r="D7551" s="669" t="s">
        <v>371</v>
      </c>
      <c r="E7551" s="546">
        <v>1829.1092410000001</v>
      </c>
    </row>
    <row r="7552" spans="2:5" x14ac:dyDescent="0.25">
      <c r="B7552" s="545">
        <v>9418</v>
      </c>
      <c r="C7552" s="545" t="s">
        <v>6441</v>
      </c>
      <c r="D7552" s="669" t="s">
        <v>371</v>
      </c>
      <c r="E7552" s="546">
        <v>1894.4093210000001</v>
      </c>
    </row>
    <row r="7553" spans="2:5" x14ac:dyDescent="0.25">
      <c r="B7553" s="545">
        <v>9419</v>
      </c>
      <c r="C7553" s="545" t="s">
        <v>6323</v>
      </c>
      <c r="D7553" s="669" t="s">
        <v>382</v>
      </c>
      <c r="E7553" s="546">
        <v>1433.2555609999999</v>
      </c>
    </row>
    <row r="7554" spans="2:5" x14ac:dyDescent="0.25">
      <c r="B7554" s="545">
        <v>9420</v>
      </c>
      <c r="C7554" s="545" t="s">
        <v>6360</v>
      </c>
      <c r="D7554" s="669" t="s">
        <v>382</v>
      </c>
      <c r="E7554" s="546">
        <v>1546.526926</v>
      </c>
    </row>
    <row r="7555" spans="2:5" x14ac:dyDescent="0.25">
      <c r="B7555" s="545">
        <v>9421</v>
      </c>
      <c r="C7555" s="545" t="s">
        <v>6677</v>
      </c>
      <c r="D7555" s="669" t="s">
        <v>382</v>
      </c>
      <c r="E7555" s="546">
        <v>1495.4266520000001</v>
      </c>
    </row>
    <row r="7556" spans="2:5" x14ac:dyDescent="0.25">
      <c r="B7556" s="545">
        <v>9422</v>
      </c>
      <c r="C7556" s="545" t="s">
        <v>6365</v>
      </c>
      <c r="D7556" s="669" t="s">
        <v>382</v>
      </c>
      <c r="E7556" s="546">
        <v>1555.355564</v>
      </c>
    </row>
    <row r="7557" spans="2:5" x14ac:dyDescent="0.25">
      <c r="B7557" s="545">
        <v>9423</v>
      </c>
      <c r="C7557" s="545" t="s">
        <v>6447</v>
      </c>
      <c r="D7557" s="669" t="s">
        <v>382</v>
      </c>
      <c r="E7557" s="546">
        <v>1937.5242249999999</v>
      </c>
    </row>
    <row r="7558" spans="2:5" x14ac:dyDescent="0.25">
      <c r="B7558" s="545">
        <v>9424</v>
      </c>
      <c r="C7558" s="545" t="s">
        <v>6390</v>
      </c>
      <c r="D7558" s="669" t="s">
        <v>382</v>
      </c>
      <c r="E7558" s="546">
        <v>1636.530438</v>
      </c>
    </row>
    <row r="7559" spans="2:5" x14ac:dyDescent="0.25">
      <c r="B7559" s="545">
        <v>9425</v>
      </c>
      <c r="C7559" s="545" t="s">
        <v>3512</v>
      </c>
      <c r="D7559" s="669" t="s">
        <v>382</v>
      </c>
      <c r="E7559" s="546">
        <v>2072.5951239999999</v>
      </c>
    </row>
    <row r="7560" spans="2:5" x14ac:dyDescent="0.25">
      <c r="B7560" s="545">
        <v>9426</v>
      </c>
      <c r="C7560" s="545" t="s">
        <v>6456</v>
      </c>
      <c r="D7560" s="669" t="s">
        <v>382</v>
      </c>
      <c r="E7560" s="546">
        <v>2057.9898330000001</v>
      </c>
    </row>
    <row r="7561" spans="2:5" x14ac:dyDescent="0.25">
      <c r="B7561" s="545">
        <v>9501</v>
      </c>
      <c r="C7561" s="545" t="s">
        <v>6193</v>
      </c>
      <c r="D7561" s="669" t="s">
        <v>382</v>
      </c>
      <c r="E7561" s="546">
        <v>1192.1631500000001</v>
      </c>
    </row>
    <row r="7562" spans="2:5" x14ac:dyDescent="0.25">
      <c r="B7562" s="545">
        <v>9502</v>
      </c>
      <c r="C7562" s="545" t="s">
        <v>6284</v>
      </c>
      <c r="D7562" s="669" t="s">
        <v>382</v>
      </c>
      <c r="E7562" s="546">
        <v>1331.645714</v>
      </c>
    </row>
    <row r="7563" spans="2:5" x14ac:dyDescent="0.25">
      <c r="B7563" s="545">
        <v>9503</v>
      </c>
      <c r="C7563" s="545" t="s">
        <v>1163</v>
      </c>
      <c r="D7563" s="669" t="s">
        <v>382</v>
      </c>
      <c r="E7563" s="546">
        <v>1236.23999</v>
      </c>
    </row>
    <row r="7564" spans="2:5" x14ac:dyDescent="0.25">
      <c r="B7564" s="545">
        <v>9504</v>
      </c>
      <c r="C7564" s="545" t="s">
        <v>6733</v>
      </c>
      <c r="D7564" s="669" t="s">
        <v>382</v>
      </c>
      <c r="E7564" s="546">
        <v>1165.756517</v>
      </c>
    </row>
    <row r="7565" spans="2:5" x14ac:dyDescent="0.25">
      <c r="B7565" s="545">
        <v>9505</v>
      </c>
      <c r="C7565" s="545" t="s">
        <v>6225</v>
      </c>
      <c r="D7565" s="669" t="s">
        <v>382</v>
      </c>
      <c r="E7565" s="546">
        <v>1227.7785730000001</v>
      </c>
    </row>
    <row r="7566" spans="2:5" x14ac:dyDescent="0.25">
      <c r="B7566" s="545">
        <v>9506</v>
      </c>
      <c r="C7566" s="545" t="s">
        <v>6189</v>
      </c>
      <c r="D7566" s="669" t="s">
        <v>382</v>
      </c>
      <c r="E7566" s="546">
        <v>1187.4521749999999</v>
      </c>
    </row>
    <row r="7567" spans="2:5" x14ac:dyDescent="0.25">
      <c r="B7567" s="545">
        <v>9507</v>
      </c>
      <c r="C7567" s="545" t="s">
        <v>6287</v>
      </c>
      <c r="D7567" s="669" t="s">
        <v>382</v>
      </c>
      <c r="E7567" s="546">
        <v>1332.5500019999999</v>
      </c>
    </row>
    <row r="7568" spans="2:5" x14ac:dyDescent="0.25">
      <c r="B7568" s="545">
        <v>9508</v>
      </c>
      <c r="C7568" s="545" t="s">
        <v>6312</v>
      </c>
      <c r="D7568" s="669" t="s">
        <v>382</v>
      </c>
      <c r="E7568" s="546">
        <v>1390.7588029999999</v>
      </c>
    </row>
    <row r="7569" spans="2:5" x14ac:dyDescent="0.25">
      <c r="B7569" s="545">
        <v>9509</v>
      </c>
      <c r="C7569" s="545" t="s">
        <v>6289</v>
      </c>
      <c r="D7569" s="669" t="s">
        <v>382</v>
      </c>
      <c r="E7569" s="546">
        <v>1335.1153939999999</v>
      </c>
    </row>
    <row r="7570" spans="2:5" x14ac:dyDescent="0.25">
      <c r="B7570" s="545">
        <v>9510</v>
      </c>
      <c r="C7570" s="545" t="s">
        <v>6264</v>
      </c>
      <c r="D7570" s="669" t="s">
        <v>382</v>
      </c>
      <c r="E7570" s="546">
        <v>1284.3625030000001</v>
      </c>
    </row>
    <row r="7571" spans="2:5" x14ac:dyDescent="0.25">
      <c r="B7571" s="545">
        <v>9511</v>
      </c>
      <c r="C7571" s="545" t="s">
        <v>3334</v>
      </c>
      <c r="D7571" s="669" t="s">
        <v>382</v>
      </c>
      <c r="E7571" s="546">
        <v>1322.080005</v>
      </c>
    </row>
    <row r="7572" spans="2:5" x14ac:dyDescent="0.25">
      <c r="B7572" s="545">
        <v>9512</v>
      </c>
      <c r="C7572" s="545" t="s">
        <v>6178</v>
      </c>
      <c r="D7572" s="669" t="s">
        <v>382</v>
      </c>
      <c r="E7572" s="546">
        <v>1178.1439989999999</v>
      </c>
    </row>
    <row r="7573" spans="2:5" x14ac:dyDescent="0.25">
      <c r="B7573" s="545">
        <v>9513</v>
      </c>
      <c r="C7573" s="545" t="s">
        <v>6305</v>
      </c>
      <c r="D7573" s="669" t="s">
        <v>382</v>
      </c>
      <c r="E7573" s="546">
        <v>1369.2142940000001</v>
      </c>
    </row>
    <row r="7574" spans="2:5" x14ac:dyDescent="0.25">
      <c r="B7574" s="545">
        <v>9514</v>
      </c>
      <c r="C7574" s="545" t="s">
        <v>382</v>
      </c>
      <c r="D7574" s="669" t="s">
        <v>382</v>
      </c>
      <c r="E7574" s="546">
        <v>1349.4499510000001</v>
      </c>
    </row>
    <row r="7575" spans="2:5" x14ac:dyDescent="0.25">
      <c r="B7575" s="545">
        <v>9515</v>
      </c>
      <c r="C7575" s="545" t="s">
        <v>3507</v>
      </c>
      <c r="D7575" s="669" t="s">
        <v>382</v>
      </c>
      <c r="E7575" s="546">
        <v>1410.6647089999999</v>
      </c>
    </row>
    <row r="7576" spans="2:5" x14ac:dyDescent="0.25">
      <c r="B7576" s="545">
        <v>9516</v>
      </c>
      <c r="C7576" s="545" t="s">
        <v>6271</v>
      </c>
      <c r="D7576" s="669" t="s">
        <v>382</v>
      </c>
      <c r="E7576" s="546">
        <v>1294.205005</v>
      </c>
    </row>
    <row r="7577" spans="2:5" x14ac:dyDescent="0.25">
      <c r="B7577" s="545">
        <v>9517</v>
      </c>
      <c r="C7577" s="545" t="s">
        <v>6376</v>
      </c>
      <c r="D7577" s="669" t="s">
        <v>382</v>
      </c>
      <c r="E7577" s="546">
        <v>1581.0391259999999</v>
      </c>
    </row>
    <row r="7578" spans="2:5" x14ac:dyDescent="0.25">
      <c r="B7578" s="545">
        <v>9518</v>
      </c>
      <c r="C7578" s="545" t="s">
        <v>7612</v>
      </c>
      <c r="D7578" s="669" t="s">
        <v>382</v>
      </c>
      <c r="E7578" s="546">
        <v>1446.3545369999999</v>
      </c>
    </row>
    <row r="7579" spans="2:5" x14ac:dyDescent="0.25">
      <c r="B7579" s="545">
        <v>9519</v>
      </c>
      <c r="C7579" s="545" t="s">
        <v>6315</v>
      </c>
      <c r="D7579" s="669" t="s">
        <v>382</v>
      </c>
      <c r="E7579" s="546">
        <v>1399.6272690000001</v>
      </c>
    </row>
    <row r="7580" spans="2:5" x14ac:dyDescent="0.25">
      <c r="B7580" s="545">
        <v>9520</v>
      </c>
      <c r="C7580" s="545" t="s">
        <v>6364</v>
      </c>
      <c r="D7580" s="669" t="s">
        <v>382</v>
      </c>
      <c r="E7580" s="546">
        <v>1552.690691</v>
      </c>
    </row>
    <row r="7581" spans="2:5" x14ac:dyDescent="0.25">
      <c r="B7581" s="545">
        <v>9521</v>
      </c>
      <c r="C7581" s="545" t="s">
        <v>6444</v>
      </c>
      <c r="D7581" s="669" t="s">
        <v>382</v>
      </c>
      <c r="E7581" s="546">
        <v>1919.444438</v>
      </c>
    </row>
    <row r="7582" spans="2:5" x14ac:dyDescent="0.25">
      <c r="B7582" s="545">
        <v>9522</v>
      </c>
      <c r="C7582" s="545" t="s">
        <v>6401</v>
      </c>
      <c r="D7582" s="669" t="s">
        <v>382</v>
      </c>
      <c r="E7582" s="546">
        <v>1666.4407980000001</v>
      </c>
    </row>
    <row r="7583" spans="2:5" x14ac:dyDescent="0.25">
      <c r="B7583" s="545">
        <v>9601</v>
      </c>
      <c r="C7583" s="545" t="s">
        <v>6088</v>
      </c>
      <c r="D7583" s="669" t="s">
        <v>366</v>
      </c>
      <c r="E7583" s="546">
        <v>1104.857125</v>
      </c>
    </row>
    <row r="7584" spans="2:5" x14ac:dyDescent="0.25">
      <c r="B7584" s="545">
        <v>9602</v>
      </c>
      <c r="C7584" s="545" t="s">
        <v>6223</v>
      </c>
      <c r="D7584" s="669" t="s">
        <v>366</v>
      </c>
      <c r="E7584" s="546">
        <v>1225.838454</v>
      </c>
    </row>
    <row r="7585" spans="2:5" x14ac:dyDescent="0.25">
      <c r="B7585" s="545">
        <v>9603</v>
      </c>
      <c r="C7585" s="545" t="s">
        <v>6023</v>
      </c>
      <c r="D7585" s="669" t="s">
        <v>366</v>
      </c>
      <c r="E7585" s="546">
        <v>1060.1266720000001</v>
      </c>
    </row>
    <row r="7586" spans="2:5" x14ac:dyDescent="0.25">
      <c r="B7586" s="545">
        <v>9604</v>
      </c>
      <c r="C7586" s="545" t="s">
        <v>5966</v>
      </c>
      <c r="D7586" s="669" t="s">
        <v>366</v>
      </c>
      <c r="E7586" s="546">
        <v>1034.733348</v>
      </c>
    </row>
    <row r="7587" spans="2:5" x14ac:dyDescent="0.25">
      <c r="B7587" s="545">
        <v>9605</v>
      </c>
      <c r="C7587" s="545" t="s">
        <v>6310</v>
      </c>
      <c r="D7587" s="669" t="s">
        <v>366</v>
      </c>
      <c r="E7587" s="546">
        <v>1388.039996</v>
      </c>
    </row>
    <row r="7588" spans="2:5" x14ac:dyDescent="0.25">
      <c r="B7588" s="545">
        <v>9606</v>
      </c>
      <c r="C7588" s="545" t="s">
        <v>5905</v>
      </c>
      <c r="D7588" s="669" t="s">
        <v>366</v>
      </c>
      <c r="E7588" s="546">
        <v>1001.549995</v>
      </c>
    </row>
    <row r="7589" spans="2:5" x14ac:dyDescent="0.25">
      <c r="B7589" s="545">
        <v>9607</v>
      </c>
      <c r="C7589" s="545" t="s">
        <v>6336</v>
      </c>
      <c r="D7589" s="669" t="s">
        <v>366</v>
      </c>
      <c r="E7589" s="546">
        <v>1468.56665</v>
      </c>
    </row>
    <row r="7590" spans="2:5" x14ac:dyDescent="0.25">
      <c r="B7590" s="545">
        <v>9608</v>
      </c>
      <c r="C7590" s="545" t="s">
        <v>6220</v>
      </c>
      <c r="D7590" s="669" t="s">
        <v>366</v>
      </c>
      <c r="E7590" s="546">
        <v>1220.369995</v>
      </c>
    </row>
    <row r="7591" spans="2:5" x14ac:dyDescent="0.25">
      <c r="B7591" s="545">
        <v>9609</v>
      </c>
      <c r="C7591" s="545" t="s">
        <v>6588</v>
      </c>
      <c r="D7591" s="669" t="s">
        <v>366</v>
      </c>
      <c r="E7591" s="546">
        <v>1034.5280029999999</v>
      </c>
    </row>
    <row r="7592" spans="2:5" x14ac:dyDescent="0.25">
      <c r="B7592" s="545">
        <v>9610</v>
      </c>
      <c r="C7592" s="545" t="s">
        <v>6231</v>
      </c>
      <c r="D7592" s="669" t="s">
        <v>366</v>
      </c>
      <c r="E7592" s="546">
        <v>1231.0333250000001</v>
      </c>
    </row>
    <row r="7593" spans="2:5" x14ac:dyDescent="0.25">
      <c r="B7593" s="545">
        <v>9611</v>
      </c>
      <c r="C7593" s="545" t="s">
        <v>6199</v>
      </c>
      <c r="D7593" s="669" t="s">
        <v>366</v>
      </c>
      <c r="E7593" s="546">
        <v>1197.177762</v>
      </c>
    </row>
    <row r="7594" spans="2:5" x14ac:dyDescent="0.25">
      <c r="B7594" s="545">
        <v>9612</v>
      </c>
      <c r="C7594" s="545" t="s">
        <v>1040</v>
      </c>
      <c r="D7594" s="669" t="s">
        <v>366</v>
      </c>
      <c r="E7594" s="546">
        <v>1104.2999950000001</v>
      </c>
    </row>
    <row r="7595" spans="2:5" x14ac:dyDescent="0.25">
      <c r="B7595" s="545">
        <v>9613</v>
      </c>
      <c r="C7595" s="545" t="s">
        <v>6701</v>
      </c>
      <c r="D7595" s="669" t="s">
        <v>366</v>
      </c>
      <c r="E7595" s="546">
        <v>1158.039137</v>
      </c>
    </row>
    <row r="7596" spans="2:5" x14ac:dyDescent="0.25">
      <c r="B7596" s="545">
        <v>9614</v>
      </c>
      <c r="C7596" s="545" t="s">
        <v>6000</v>
      </c>
      <c r="D7596" s="669" t="s">
        <v>366</v>
      </c>
      <c r="E7596" s="546">
        <v>1047.125</v>
      </c>
    </row>
    <row r="7597" spans="2:5" x14ac:dyDescent="0.25">
      <c r="B7597" s="545">
        <v>9615</v>
      </c>
      <c r="C7597" s="545" t="s">
        <v>6149</v>
      </c>
      <c r="D7597" s="669" t="s">
        <v>366</v>
      </c>
      <c r="E7597" s="546">
        <v>1152.7642739999999</v>
      </c>
    </row>
    <row r="7598" spans="2:5" x14ac:dyDescent="0.25">
      <c r="B7598" s="545">
        <v>9616</v>
      </c>
      <c r="C7598" s="545" t="s">
        <v>6110</v>
      </c>
      <c r="D7598" s="669" t="s">
        <v>366</v>
      </c>
      <c r="E7598" s="546">
        <v>1124.128575</v>
      </c>
    </row>
    <row r="7599" spans="2:5" x14ac:dyDescent="0.25">
      <c r="B7599" s="545">
        <v>9617</v>
      </c>
      <c r="C7599" s="545" t="s">
        <v>2108</v>
      </c>
      <c r="D7599" s="669" t="s">
        <v>366</v>
      </c>
      <c r="E7599" s="546">
        <v>1086.3499879999999</v>
      </c>
    </row>
    <row r="7600" spans="2:5" x14ac:dyDescent="0.25">
      <c r="B7600" s="545">
        <v>9618</v>
      </c>
      <c r="C7600" s="545" t="s">
        <v>6308</v>
      </c>
      <c r="D7600" s="669" t="s">
        <v>366</v>
      </c>
      <c r="E7600" s="546">
        <v>1372.94444</v>
      </c>
    </row>
    <row r="7601" spans="2:5" x14ac:dyDescent="0.25">
      <c r="B7601" s="545">
        <v>9619</v>
      </c>
      <c r="C7601" s="545" t="s">
        <v>6358</v>
      </c>
      <c r="D7601" s="669" t="s">
        <v>366</v>
      </c>
      <c r="E7601" s="546">
        <v>1541.6320020000001</v>
      </c>
    </row>
    <row r="7602" spans="2:5" x14ac:dyDescent="0.25">
      <c r="B7602" s="545">
        <v>9620</v>
      </c>
      <c r="C7602" s="545" t="s">
        <v>6827</v>
      </c>
      <c r="D7602" s="669" t="s">
        <v>366</v>
      </c>
      <c r="E7602" s="546">
        <v>1051.2166649999999</v>
      </c>
    </row>
    <row r="7603" spans="2:5" x14ac:dyDescent="0.25">
      <c r="B7603" s="545">
        <v>9621</v>
      </c>
      <c r="C7603" s="545" t="s">
        <v>6332</v>
      </c>
      <c r="D7603" s="669" t="s">
        <v>366</v>
      </c>
      <c r="E7603" s="546">
        <v>1451.5166630000001</v>
      </c>
    </row>
    <row r="7604" spans="2:5" x14ac:dyDescent="0.25">
      <c r="B7604" s="545">
        <v>9622</v>
      </c>
      <c r="C7604" s="545" t="s">
        <v>6250</v>
      </c>
      <c r="D7604" s="669" t="s">
        <v>366</v>
      </c>
      <c r="E7604" s="546">
        <v>1250.616679</v>
      </c>
    </row>
    <row r="7605" spans="2:5" x14ac:dyDescent="0.25">
      <c r="B7605" s="545">
        <v>9623</v>
      </c>
      <c r="C7605" s="545" t="s">
        <v>6867</v>
      </c>
      <c r="D7605" s="669" t="s">
        <v>366</v>
      </c>
      <c r="E7605" s="546">
        <v>1224.833333</v>
      </c>
    </row>
    <row r="7606" spans="2:5" x14ac:dyDescent="0.25">
      <c r="B7606" s="545">
        <v>9624</v>
      </c>
      <c r="C7606" s="545" t="s">
        <v>6894</v>
      </c>
      <c r="D7606" s="669" t="s">
        <v>366</v>
      </c>
      <c r="E7606" s="546">
        <v>1178.4300049999999</v>
      </c>
    </row>
    <row r="7607" spans="2:5" x14ac:dyDescent="0.25">
      <c r="B7607" s="545">
        <v>9625</v>
      </c>
      <c r="C7607" s="545" t="s">
        <v>6897</v>
      </c>
      <c r="D7607" s="669" t="s">
        <v>366</v>
      </c>
      <c r="E7607" s="546">
        <v>1061.8000030000001</v>
      </c>
    </row>
    <row r="7608" spans="2:5" x14ac:dyDescent="0.25">
      <c r="B7608" s="545">
        <v>9626</v>
      </c>
      <c r="C7608" s="545" t="s">
        <v>6208</v>
      </c>
      <c r="D7608" s="669" t="s">
        <v>366</v>
      </c>
      <c r="E7608" s="546">
        <v>1204.7699950000001</v>
      </c>
    </row>
    <row r="7609" spans="2:5" x14ac:dyDescent="0.25">
      <c r="B7609" s="545">
        <v>9627</v>
      </c>
      <c r="C7609" s="545" t="s">
        <v>6010</v>
      </c>
      <c r="D7609" s="669" t="s">
        <v>366</v>
      </c>
      <c r="E7609" s="546">
        <v>1053.23334</v>
      </c>
    </row>
    <row r="7610" spans="2:5" x14ac:dyDescent="0.25">
      <c r="B7610" s="545">
        <v>9628</v>
      </c>
      <c r="C7610" s="545" t="s">
        <v>6097</v>
      </c>
      <c r="D7610" s="669" t="s">
        <v>366</v>
      </c>
      <c r="E7610" s="546">
        <v>1112.3000079999999</v>
      </c>
    </row>
    <row r="7611" spans="2:5" x14ac:dyDescent="0.25">
      <c r="B7611" s="545">
        <v>9629</v>
      </c>
      <c r="C7611" s="545" t="s">
        <v>4015</v>
      </c>
      <c r="D7611" s="669" t="s">
        <v>366</v>
      </c>
      <c r="E7611" s="546">
        <v>1042.4800290000001</v>
      </c>
    </row>
    <row r="7612" spans="2:5" x14ac:dyDescent="0.25">
      <c r="B7612" s="545">
        <v>9631</v>
      </c>
      <c r="C7612" s="545" t="s">
        <v>6166</v>
      </c>
      <c r="D7612" s="669" t="s">
        <v>366</v>
      </c>
      <c r="E7612" s="546">
        <v>1167.1249849999999</v>
      </c>
    </row>
    <row r="7613" spans="2:5" x14ac:dyDescent="0.25">
      <c r="B7613" s="545">
        <v>9632</v>
      </c>
      <c r="C7613" s="545" t="s">
        <v>6139</v>
      </c>
      <c r="D7613" s="669" t="s">
        <v>366</v>
      </c>
      <c r="E7613" s="546">
        <v>1149.257167</v>
      </c>
    </row>
    <row r="7614" spans="2:5" x14ac:dyDescent="0.25">
      <c r="B7614" s="545">
        <v>9633</v>
      </c>
      <c r="C7614" s="545" t="s">
        <v>6306</v>
      </c>
      <c r="D7614" s="669" t="s">
        <v>366</v>
      </c>
      <c r="E7614" s="546">
        <v>1370.9888780000001</v>
      </c>
    </row>
    <row r="7615" spans="2:5" x14ac:dyDescent="0.25">
      <c r="B7615" s="545">
        <v>9634</v>
      </c>
      <c r="C7615" s="545" t="s">
        <v>6995</v>
      </c>
      <c r="D7615" s="669" t="s">
        <v>366</v>
      </c>
      <c r="E7615" s="546">
        <v>992.28750200000002</v>
      </c>
    </row>
    <row r="7616" spans="2:5" x14ac:dyDescent="0.25">
      <c r="B7616" s="545">
        <v>9635</v>
      </c>
      <c r="C7616" s="545" t="s">
        <v>7014</v>
      </c>
      <c r="D7616" s="669" t="s">
        <v>366</v>
      </c>
      <c r="E7616" s="546">
        <v>1357.1800049999999</v>
      </c>
    </row>
    <row r="7617" spans="2:5" x14ac:dyDescent="0.25">
      <c r="B7617" s="545">
        <v>9636</v>
      </c>
      <c r="C7617" s="545" t="s">
        <v>7017</v>
      </c>
      <c r="D7617" s="669" t="s">
        <v>366</v>
      </c>
      <c r="E7617" s="546">
        <v>1022.568745</v>
      </c>
    </row>
    <row r="7618" spans="2:5" x14ac:dyDescent="0.25">
      <c r="B7618" s="545">
        <v>9638</v>
      </c>
      <c r="C7618" s="545" t="s">
        <v>7034</v>
      </c>
      <c r="D7618" s="669" t="s">
        <v>366</v>
      </c>
      <c r="E7618" s="546">
        <v>1132.277785</v>
      </c>
    </row>
    <row r="7619" spans="2:5" x14ac:dyDescent="0.25">
      <c r="B7619" s="545">
        <v>9639</v>
      </c>
      <c r="C7619" s="545" t="s">
        <v>6450</v>
      </c>
      <c r="D7619" s="669" t="s">
        <v>366</v>
      </c>
      <c r="E7619" s="546">
        <v>1945.640005</v>
      </c>
    </row>
    <row r="7620" spans="2:5" x14ac:dyDescent="0.25">
      <c r="B7620" s="545">
        <v>9640</v>
      </c>
      <c r="C7620" s="545" t="s">
        <v>5891</v>
      </c>
      <c r="D7620" s="669" t="s">
        <v>366</v>
      </c>
      <c r="E7620" s="546">
        <v>995.48260000000005</v>
      </c>
    </row>
    <row r="7621" spans="2:5" x14ac:dyDescent="0.25">
      <c r="B7621" s="545">
        <v>9641</v>
      </c>
      <c r="C7621" s="545" t="s">
        <v>5922</v>
      </c>
      <c r="D7621" s="669" t="s">
        <v>366</v>
      </c>
      <c r="E7621" s="546">
        <v>1011.1</v>
      </c>
    </row>
    <row r="7622" spans="2:5" x14ac:dyDescent="0.25">
      <c r="B7622" s="545">
        <v>9642</v>
      </c>
      <c r="C7622" s="545" t="s">
        <v>6328</v>
      </c>
      <c r="D7622" s="669" t="s">
        <v>366</v>
      </c>
      <c r="E7622" s="546">
        <v>1441.2468719999999</v>
      </c>
    </row>
    <row r="7623" spans="2:5" x14ac:dyDescent="0.25">
      <c r="B7623" s="545">
        <v>9643</v>
      </c>
      <c r="C7623" s="545" t="s">
        <v>6043</v>
      </c>
      <c r="D7623" s="669" t="s">
        <v>366</v>
      </c>
      <c r="E7623" s="546">
        <v>1076.3428610000001</v>
      </c>
    </row>
    <row r="7624" spans="2:5" x14ac:dyDescent="0.25">
      <c r="B7624" s="545">
        <v>9644</v>
      </c>
      <c r="C7624" s="545" t="s">
        <v>5972</v>
      </c>
      <c r="D7624" s="669" t="s">
        <v>366</v>
      </c>
      <c r="E7624" s="546">
        <v>1036.2222220000001</v>
      </c>
    </row>
    <row r="7625" spans="2:5" x14ac:dyDescent="0.25">
      <c r="B7625" s="545">
        <v>9645</v>
      </c>
      <c r="C7625" s="545" t="s">
        <v>1269</v>
      </c>
      <c r="D7625" s="669" t="s">
        <v>366</v>
      </c>
      <c r="E7625" s="546">
        <v>1250.8499959999999</v>
      </c>
    </row>
    <row r="7626" spans="2:5" x14ac:dyDescent="0.25">
      <c r="B7626" s="545">
        <v>9646</v>
      </c>
      <c r="C7626" s="545" t="s">
        <v>6187</v>
      </c>
      <c r="D7626" s="669" t="s">
        <v>366</v>
      </c>
      <c r="E7626" s="546">
        <v>1187.318182</v>
      </c>
    </row>
    <row r="7627" spans="2:5" x14ac:dyDescent="0.25">
      <c r="B7627" s="545">
        <v>9647</v>
      </c>
      <c r="C7627" s="545" t="s">
        <v>5967</v>
      </c>
      <c r="D7627" s="669" t="s">
        <v>366</v>
      </c>
      <c r="E7627" s="546">
        <v>1034.961127</v>
      </c>
    </row>
    <row r="7628" spans="2:5" x14ac:dyDescent="0.25">
      <c r="B7628" s="545">
        <v>9648</v>
      </c>
      <c r="C7628" s="545" t="s">
        <v>5971</v>
      </c>
      <c r="D7628" s="669" t="s">
        <v>366</v>
      </c>
      <c r="E7628" s="546">
        <v>1035.870007</v>
      </c>
    </row>
    <row r="7629" spans="2:5" x14ac:dyDescent="0.25">
      <c r="B7629" s="545">
        <v>9649</v>
      </c>
      <c r="C7629" s="545" t="s">
        <v>6171</v>
      </c>
      <c r="D7629" s="669" t="s">
        <v>366</v>
      </c>
      <c r="E7629" s="546">
        <v>1173.742833</v>
      </c>
    </row>
    <row r="7630" spans="2:5" x14ac:dyDescent="0.25">
      <c r="B7630" s="545">
        <v>9650</v>
      </c>
      <c r="C7630" s="545" t="s">
        <v>5953</v>
      </c>
      <c r="D7630" s="669" t="s">
        <v>366</v>
      </c>
      <c r="E7630" s="546">
        <v>1033.3000079999999</v>
      </c>
    </row>
    <row r="7631" spans="2:5" x14ac:dyDescent="0.25">
      <c r="B7631" s="545">
        <v>9651</v>
      </c>
      <c r="C7631" s="545" t="s">
        <v>6136</v>
      </c>
      <c r="D7631" s="669" t="s">
        <v>366</v>
      </c>
      <c r="E7631" s="546">
        <v>1148.2199949999999</v>
      </c>
    </row>
    <row r="7632" spans="2:5" x14ac:dyDescent="0.25">
      <c r="B7632" s="545">
        <v>9652</v>
      </c>
      <c r="C7632" s="545" t="s">
        <v>6249</v>
      </c>
      <c r="D7632" s="669" t="s">
        <v>366</v>
      </c>
      <c r="E7632" s="546">
        <v>1249.837509</v>
      </c>
    </row>
    <row r="7633" spans="2:5" x14ac:dyDescent="0.25">
      <c r="B7633" s="545">
        <v>9653</v>
      </c>
      <c r="C7633" s="545" t="s">
        <v>6400</v>
      </c>
      <c r="D7633" s="669" t="s">
        <v>366</v>
      </c>
      <c r="E7633" s="546">
        <v>1657.2384689999999</v>
      </c>
    </row>
    <row r="7634" spans="2:5" x14ac:dyDescent="0.25">
      <c r="B7634" s="545">
        <v>9654</v>
      </c>
      <c r="C7634" s="545" t="s">
        <v>6283</v>
      </c>
      <c r="D7634" s="669" t="s">
        <v>366</v>
      </c>
      <c r="E7634" s="546">
        <v>1329.0916649999999</v>
      </c>
    </row>
    <row r="7635" spans="2:5" x14ac:dyDescent="0.25">
      <c r="B7635" s="545">
        <v>9655</v>
      </c>
      <c r="C7635" s="545" t="s">
        <v>7261</v>
      </c>
      <c r="D7635" s="669" t="s">
        <v>366</v>
      </c>
      <c r="E7635" s="546">
        <v>1374.960879</v>
      </c>
    </row>
    <row r="7636" spans="2:5" x14ac:dyDescent="0.25">
      <c r="B7636" s="545">
        <v>9656</v>
      </c>
      <c r="C7636" s="545" t="s">
        <v>6296</v>
      </c>
      <c r="D7636" s="669" t="s">
        <v>366</v>
      </c>
      <c r="E7636" s="546">
        <v>1343.7749960000001</v>
      </c>
    </row>
    <row r="7637" spans="2:5" x14ac:dyDescent="0.25">
      <c r="B7637" s="545">
        <v>9657</v>
      </c>
      <c r="C7637" s="545" t="s">
        <v>6033</v>
      </c>
      <c r="D7637" s="669" t="s">
        <v>366</v>
      </c>
      <c r="E7637" s="546">
        <v>1068.98928</v>
      </c>
    </row>
    <row r="7638" spans="2:5" x14ac:dyDescent="0.25">
      <c r="B7638" s="545">
        <v>9658</v>
      </c>
      <c r="C7638" s="545" t="s">
        <v>2079</v>
      </c>
      <c r="D7638" s="669" t="s">
        <v>366</v>
      </c>
      <c r="E7638" s="546">
        <v>1141.583333</v>
      </c>
    </row>
    <row r="7639" spans="2:5" x14ac:dyDescent="0.25">
      <c r="B7639" s="545">
        <v>9659</v>
      </c>
      <c r="C7639" s="545" t="s">
        <v>6244</v>
      </c>
      <c r="D7639" s="669" t="s">
        <v>366</v>
      </c>
      <c r="E7639" s="546">
        <v>1244.436379</v>
      </c>
    </row>
    <row r="7640" spans="2:5" x14ac:dyDescent="0.25">
      <c r="B7640" s="545">
        <v>9660</v>
      </c>
      <c r="C7640" s="545" t="s">
        <v>6260</v>
      </c>
      <c r="D7640" s="669" t="s">
        <v>366</v>
      </c>
      <c r="E7640" s="546">
        <v>1280.136364</v>
      </c>
    </row>
    <row r="7641" spans="2:5" x14ac:dyDescent="0.25">
      <c r="B7641" s="545">
        <v>9661</v>
      </c>
      <c r="C7641" s="545" t="s">
        <v>6123</v>
      </c>
      <c r="D7641" s="669" t="s">
        <v>366</v>
      </c>
      <c r="E7641" s="546">
        <v>1137.4312359999999</v>
      </c>
    </row>
    <row r="7642" spans="2:5" x14ac:dyDescent="0.25">
      <c r="B7642" s="545">
        <v>9662</v>
      </c>
      <c r="C7642" s="545" t="s">
        <v>6138</v>
      </c>
      <c r="D7642" s="669" t="s">
        <v>366</v>
      </c>
      <c r="E7642" s="546">
        <v>1148.9571530000001</v>
      </c>
    </row>
    <row r="7643" spans="2:5" x14ac:dyDescent="0.25">
      <c r="B7643" s="545">
        <v>9663</v>
      </c>
      <c r="C7643" s="545" t="s">
        <v>6121</v>
      </c>
      <c r="D7643" s="669" t="s">
        <v>366</v>
      </c>
      <c r="E7643" s="546">
        <v>1136.4750369999999</v>
      </c>
    </row>
    <row r="7644" spans="2:5" x14ac:dyDescent="0.25">
      <c r="B7644" s="545">
        <v>9664</v>
      </c>
      <c r="C7644" s="545" t="s">
        <v>6246</v>
      </c>
      <c r="D7644" s="669" t="s">
        <v>366</v>
      </c>
      <c r="E7644" s="546">
        <v>1247.8363589999999</v>
      </c>
    </row>
    <row r="7645" spans="2:5" x14ac:dyDescent="0.25">
      <c r="B7645" s="545">
        <v>9665</v>
      </c>
      <c r="C7645" s="545" t="s">
        <v>6221</v>
      </c>
      <c r="D7645" s="669" t="s">
        <v>366</v>
      </c>
      <c r="E7645" s="546">
        <v>1220.883321</v>
      </c>
    </row>
    <row r="7646" spans="2:5" x14ac:dyDescent="0.25">
      <c r="B7646" s="545">
        <v>9666</v>
      </c>
      <c r="C7646" s="545" t="s">
        <v>6207</v>
      </c>
      <c r="D7646" s="669" t="s">
        <v>366</v>
      </c>
      <c r="E7646" s="546">
        <v>1203.4812549999999</v>
      </c>
    </row>
    <row r="7647" spans="2:5" x14ac:dyDescent="0.25">
      <c r="B7647" s="545">
        <v>9667</v>
      </c>
      <c r="C7647" s="545" t="s">
        <v>366</v>
      </c>
      <c r="D7647" s="669" t="s">
        <v>366</v>
      </c>
      <c r="E7647" s="546">
        <v>1070.1272750000001</v>
      </c>
    </row>
    <row r="7648" spans="2:5" x14ac:dyDescent="0.25">
      <c r="B7648" s="545">
        <v>9668</v>
      </c>
      <c r="C7648" s="545" t="s">
        <v>7383</v>
      </c>
      <c r="D7648" s="669" t="s">
        <v>366</v>
      </c>
      <c r="E7648" s="546">
        <v>1348.4125059999999</v>
      </c>
    </row>
    <row r="7649" spans="2:5" x14ac:dyDescent="0.25">
      <c r="B7649" s="545">
        <v>9669</v>
      </c>
      <c r="C7649" s="545" t="s">
        <v>7396</v>
      </c>
      <c r="D7649" s="669" t="s">
        <v>366</v>
      </c>
      <c r="E7649" s="546">
        <v>1033.1667070000001</v>
      </c>
    </row>
    <row r="7650" spans="2:5" x14ac:dyDescent="0.25">
      <c r="B7650" s="545">
        <v>9670</v>
      </c>
      <c r="C7650" s="545" t="s">
        <v>6462</v>
      </c>
      <c r="D7650" s="669" t="s">
        <v>366</v>
      </c>
      <c r="E7650" s="546">
        <v>2106.2085729999999</v>
      </c>
    </row>
    <row r="7651" spans="2:5" x14ac:dyDescent="0.25">
      <c r="B7651" s="545">
        <v>9671</v>
      </c>
      <c r="C7651" s="545" t="s">
        <v>7470</v>
      </c>
      <c r="D7651" s="669" t="s">
        <v>366</v>
      </c>
      <c r="E7651" s="546">
        <v>1081.5703739999999</v>
      </c>
    </row>
    <row r="7652" spans="2:5" x14ac:dyDescent="0.25">
      <c r="B7652" s="545">
        <v>9672</v>
      </c>
      <c r="C7652" s="545" t="s">
        <v>7473</v>
      </c>
      <c r="D7652" s="669" t="s">
        <v>366</v>
      </c>
      <c r="E7652" s="546">
        <v>1329.7</v>
      </c>
    </row>
    <row r="7653" spans="2:5" x14ac:dyDescent="0.25">
      <c r="B7653" s="545">
        <v>9673</v>
      </c>
      <c r="C7653" s="545" t="s">
        <v>4558</v>
      </c>
      <c r="D7653" s="669" t="s">
        <v>366</v>
      </c>
      <c r="E7653" s="546">
        <v>1482.400009</v>
      </c>
    </row>
    <row r="7654" spans="2:5" x14ac:dyDescent="0.25">
      <c r="B7654" s="545">
        <v>9674</v>
      </c>
      <c r="C7654" s="545" t="s">
        <v>6155</v>
      </c>
      <c r="D7654" s="669" t="s">
        <v>366</v>
      </c>
      <c r="E7654" s="546">
        <v>1156.180636</v>
      </c>
    </row>
    <row r="7655" spans="2:5" x14ac:dyDescent="0.25">
      <c r="B7655" s="545">
        <v>9675</v>
      </c>
      <c r="C7655" s="545" t="s">
        <v>5997</v>
      </c>
      <c r="D7655" s="669" t="s">
        <v>366</v>
      </c>
      <c r="E7655" s="546">
        <v>1045.2700010000001</v>
      </c>
    </row>
    <row r="7656" spans="2:5" x14ac:dyDescent="0.25">
      <c r="B7656" s="545">
        <v>9676</v>
      </c>
      <c r="C7656" s="545" t="s">
        <v>7527</v>
      </c>
      <c r="D7656" s="669" t="s">
        <v>366</v>
      </c>
      <c r="E7656" s="546">
        <v>1483.4222139999999</v>
      </c>
    </row>
    <row r="7657" spans="2:5" x14ac:dyDescent="0.25">
      <c r="B7657" s="545">
        <v>9677</v>
      </c>
      <c r="C7657" s="545" t="s">
        <v>5911</v>
      </c>
      <c r="D7657" s="669" t="s">
        <v>366</v>
      </c>
      <c r="E7657" s="546">
        <v>1005.995461</v>
      </c>
    </row>
    <row r="7658" spans="2:5" x14ac:dyDescent="0.25">
      <c r="B7658" s="545">
        <v>9678</v>
      </c>
      <c r="C7658" s="545" t="s">
        <v>6329</v>
      </c>
      <c r="D7658" s="669" t="s">
        <v>366</v>
      </c>
      <c r="E7658" s="546">
        <v>1445.5571640000001</v>
      </c>
    </row>
    <row r="7659" spans="2:5" x14ac:dyDescent="0.25">
      <c r="B7659" s="545">
        <v>9679</v>
      </c>
      <c r="C7659" s="545" t="s">
        <v>6072</v>
      </c>
      <c r="D7659" s="669" t="s">
        <v>366</v>
      </c>
      <c r="E7659" s="546">
        <v>1093.7349979999999</v>
      </c>
    </row>
    <row r="7660" spans="2:5" x14ac:dyDescent="0.25">
      <c r="B7660" s="545">
        <v>9680</v>
      </c>
      <c r="C7660" s="545" t="s">
        <v>5919</v>
      </c>
      <c r="D7660" s="669" t="s">
        <v>366</v>
      </c>
      <c r="E7660" s="546">
        <v>1008.329405</v>
      </c>
    </row>
    <row r="7661" spans="2:5" x14ac:dyDescent="0.25">
      <c r="B7661" s="545">
        <v>9681</v>
      </c>
      <c r="C7661" s="545" t="s">
        <v>6018</v>
      </c>
      <c r="D7661" s="669" t="s">
        <v>366</v>
      </c>
      <c r="E7661" s="546">
        <v>1056.208333</v>
      </c>
    </row>
    <row r="7662" spans="2:5" x14ac:dyDescent="0.25">
      <c r="B7662" s="545">
        <v>9682</v>
      </c>
      <c r="C7662" s="545" t="s">
        <v>6148</v>
      </c>
      <c r="D7662" s="669" t="s">
        <v>366</v>
      </c>
      <c r="E7662" s="546">
        <v>1152.6555450000001</v>
      </c>
    </row>
    <row r="7663" spans="2:5" x14ac:dyDescent="0.25">
      <c r="B7663" s="545">
        <v>9683</v>
      </c>
      <c r="C7663" s="545" t="s">
        <v>6300</v>
      </c>
      <c r="D7663" s="669" t="s">
        <v>366</v>
      </c>
      <c r="E7663" s="546">
        <v>1351.8154019999999</v>
      </c>
    </row>
    <row r="7664" spans="2:5" x14ac:dyDescent="0.25">
      <c r="B7664" s="545">
        <v>9684</v>
      </c>
      <c r="C7664" s="545" t="s">
        <v>5945</v>
      </c>
      <c r="D7664" s="669" t="s">
        <v>366</v>
      </c>
      <c r="E7664" s="546">
        <v>1024.157148</v>
      </c>
    </row>
    <row r="7665" spans="2:5" x14ac:dyDescent="0.25">
      <c r="B7665" s="545">
        <v>9685</v>
      </c>
      <c r="C7665" s="545" t="s">
        <v>5928</v>
      </c>
      <c r="D7665" s="669" t="s">
        <v>366</v>
      </c>
      <c r="E7665" s="546">
        <v>1013.933322</v>
      </c>
    </row>
    <row r="7666" spans="2:5" x14ac:dyDescent="0.25">
      <c r="B7666" s="545">
        <v>9701</v>
      </c>
      <c r="C7666" s="545" t="s">
        <v>5963</v>
      </c>
      <c r="D7666" s="669" t="s">
        <v>384</v>
      </c>
      <c r="E7666" s="546">
        <v>1033.8333540000001</v>
      </c>
    </row>
    <row r="7667" spans="2:5" x14ac:dyDescent="0.25">
      <c r="B7667" s="545">
        <v>9702</v>
      </c>
      <c r="C7667" s="545" t="s">
        <v>6888</v>
      </c>
      <c r="D7667" s="669" t="s">
        <v>384</v>
      </c>
      <c r="E7667" s="546">
        <v>1029.0250140000001</v>
      </c>
    </row>
    <row r="7668" spans="2:5" x14ac:dyDescent="0.25">
      <c r="B7668" s="545">
        <v>9703</v>
      </c>
      <c r="C7668" s="545" t="s">
        <v>5860</v>
      </c>
      <c r="D7668" s="669" t="s">
        <v>384</v>
      </c>
      <c r="E7668" s="546">
        <v>985.80908799999997</v>
      </c>
    </row>
    <row r="7669" spans="2:5" x14ac:dyDescent="0.25">
      <c r="B7669" s="545">
        <v>9706</v>
      </c>
      <c r="C7669" s="545" t="s">
        <v>5705</v>
      </c>
      <c r="D7669" s="669" t="s">
        <v>384</v>
      </c>
      <c r="E7669" s="546">
        <v>940.20001200000002</v>
      </c>
    </row>
    <row r="7670" spans="2:5" x14ac:dyDescent="0.25">
      <c r="B7670" s="545">
        <v>9707</v>
      </c>
      <c r="C7670" s="545" t="s">
        <v>2005</v>
      </c>
      <c r="D7670" s="669" t="s">
        <v>384</v>
      </c>
      <c r="E7670" s="546">
        <v>1003.477783</v>
      </c>
    </row>
    <row r="7671" spans="2:5" x14ac:dyDescent="0.25">
      <c r="B7671" s="545">
        <v>9708</v>
      </c>
      <c r="C7671" s="545" t="s">
        <v>2767</v>
      </c>
      <c r="D7671" s="669" t="s">
        <v>384</v>
      </c>
      <c r="E7671" s="546">
        <v>946.63748899999996</v>
      </c>
    </row>
    <row r="7672" spans="2:5" x14ac:dyDescent="0.25">
      <c r="B7672" s="545">
        <v>9709</v>
      </c>
      <c r="C7672" s="545" t="s">
        <v>5604</v>
      </c>
      <c r="D7672" s="669" t="s">
        <v>384</v>
      </c>
      <c r="E7672" s="546">
        <v>912.52220999999997</v>
      </c>
    </row>
    <row r="7673" spans="2:5" x14ac:dyDescent="0.25">
      <c r="B7673" s="545">
        <v>9711</v>
      </c>
      <c r="C7673" s="545" t="s">
        <v>3608</v>
      </c>
      <c r="D7673" s="669" t="s">
        <v>384</v>
      </c>
      <c r="E7673" s="546">
        <v>964.97501399999999</v>
      </c>
    </row>
    <row r="7674" spans="2:5" x14ac:dyDescent="0.25">
      <c r="B7674" s="545">
        <v>9712</v>
      </c>
      <c r="C7674" s="545" t="s">
        <v>6764</v>
      </c>
      <c r="D7674" s="669" t="s">
        <v>384</v>
      </c>
      <c r="E7674" s="546">
        <v>967.21111399999995</v>
      </c>
    </row>
    <row r="7675" spans="2:5" x14ac:dyDescent="0.25">
      <c r="B7675" s="545">
        <v>9713</v>
      </c>
      <c r="C7675" s="545" t="s">
        <v>2705</v>
      </c>
      <c r="D7675" s="669" t="s">
        <v>384</v>
      </c>
      <c r="E7675" s="546">
        <v>993.29999499999997</v>
      </c>
    </row>
    <row r="7676" spans="2:5" x14ac:dyDescent="0.25">
      <c r="B7676" s="545">
        <v>9716</v>
      </c>
      <c r="C7676" s="545" t="s">
        <v>5530</v>
      </c>
      <c r="D7676" s="669" t="s">
        <v>384</v>
      </c>
      <c r="E7676" s="546">
        <v>900.99230499999999</v>
      </c>
    </row>
    <row r="7677" spans="2:5" x14ac:dyDescent="0.25">
      <c r="B7677" s="545">
        <v>9717</v>
      </c>
      <c r="C7677" s="545" t="s">
        <v>5708</v>
      </c>
      <c r="D7677" s="669" t="s">
        <v>384</v>
      </c>
      <c r="E7677" s="546">
        <v>941.56000400000005</v>
      </c>
    </row>
    <row r="7678" spans="2:5" x14ac:dyDescent="0.25">
      <c r="B7678" s="545">
        <v>9718</v>
      </c>
      <c r="C7678" s="545" t="s">
        <v>5609</v>
      </c>
      <c r="D7678" s="669" t="s">
        <v>384</v>
      </c>
      <c r="E7678" s="546">
        <v>914.34286099999997</v>
      </c>
    </row>
    <row r="7679" spans="2:5" x14ac:dyDescent="0.25">
      <c r="B7679" s="545">
        <v>9721</v>
      </c>
      <c r="C7679" s="545" t="s">
        <v>5106</v>
      </c>
      <c r="D7679" s="669" t="s">
        <v>384</v>
      </c>
      <c r="E7679" s="546">
        <v>833.90002400000003</v>
      </c>
    </row>
    <row r="7680" spans="2:5" x14ac:dyDescent="0.25">
      <c r="B7680" s="545">
        <v>9722</v>
      </c>
      <c r="C7680" s="545" t="s">
        <v>5538</v>
      </c>
      <c r="D7680" s="669" t="s">
        <v>384</v>
      </c>
      <c r="E7680" s="546">
        <v>901.69230800000003</v>
      </c>
    </row>
    <row r="7681" spans="2:5" x14ac:dyDescent="0.25">
      <c r="B7681" s="545">
        <v>9723</v>
      </c>
      <c r="C7681" s="545" t="s">
        <v>5425</v>
      </c>
      <c r="D7681" s="669" t="s">
        <v>384</v>
      </c>
      <c r="E7681" s="546">
        <v>883.71110699999997</v>
      </c>
    </row>
    <row r="7682" spans="2:5" x14ac:dyDescent="0.25">
      <c r="B7682" s="545">
        <v>9724</v>
      </c>
      <c r="C7682" s="545" t="s">
        <v>5119</v>
      </c>
      <c r="D7682" s="669" t="s">
        <v>384</v>
      </c>
      <c r="E7682" s="546">
        <v>835.26666299999999</v>
      </c>
    </row>
    <row r="7683" spans="2:5" x14ac:dyDescent="0.25">
      <c r="B7683" s="545">
        <v>9725</v>
      </c>
      <c r="C7683" s="545" t="s">
        <v>5435</v>
      </c>
      <c r="D7683" s="669" t="s">
        <v>384</v>
      </c>
      <c r="E7683" s="546">
        <v>884.96666800000003</v>
      </c>
    </row>
    <row r="7684" spans="2:5" x14ac:dyDescent="0.25">
      <c r="B7684" s="545">
        <v>9726</v>
      </c>
      <c r="C7684" s="545" t="s">
        <v>5634</v>
      </c>
      <c r="D7684" s="669" t="s">
        <v>384</v>
      </c>
      <c r="E7684" s="546">
        <v>919.885716</v>
      </c>
    </row>
    <row r="7685" spans="2:5" x14ac:dyDescent="0.25">
      <c r="B7685" s="545">
        <v>9727</v>
      </c>
      <c r="C7685" s="545" t="s">
        <v>5703</v>
      </c>
      <c r="D7685" s="669" t="s">
        <v>384</v>
      </c>
      <c r="E7685" s="546">
        <v>939.67142999999999</v>
      </c>
    </row>
    <row r="7686" spans="2:5" x14ac:dyDescent="0.25">
      <c r="B7686" s="545">
        <v>9732</v>
      </c>
      <c r="C7686" s="545" t="s">
        <v>1463</v>
      </c>
      <c r="D7686" s="669" t="s">
        <v>384</v>
      </c>
      <c r="E7686" s="546">
        <v>932.23331700000006</v>
      </c>
    </row>
    <row r="7687" spans="2:5" x14ac:dyDescent="0.25">
      <c r="B7687" s="545">
        <v>9733</v>
      </c>
      <c r="C7687" s="545" t="s">
        <v>3623</v>
      </c>
      <c r="D7687" s="669" t="s">
        <v>384</v>
      </c>
      <c r="E7687" s="546">
        <v>922.13334099999997</v>
      </c>
    </row>
    <row r="7688" spans="2:5" x14ac:dyDescent="0.25">
      <c r="B7688" s="545">
        <v>9734</v>
      </c>
      <c r="C7688" s="545" t="s">
        <v>5488</v>
      </c>
      <c r="D7688" s="669" t="s">
        <v>384</v>
      </c>
      <c r="E7688" s="546">
        <v>894.014274</v>
      </c>
    </row>
    <row r="7689" spans="2:5" x14ac:dyDescent="0.25">
      <c r="B7689" s="545">
        <v>9735</v>
      </c>
      <c r="C7689" s="545" t="s">
        <v>6939</v>
      </c>
      <c r="D7689" s="669" t="s">
        <v>384</v>
      </c>
      <c r="E7689" s="546">
        <v>899.77273300000002</v>
      </c>
    </row>
    <row r="7690" spans="2:5" x14ac:dyDescent="0.25">
      <c r="B7690" s="545">
        <v>9736</v>
      </c>
      <c r="C7690" s="545" t="s">
        <v>5798</v>
      </c>
      <c r="D7690" s="669" t="s">
        <v>366</v>
      </c>
      <c r="E7690" s="546">
        <v>965.23333700000001</v>
      </c>
    </row>
    <row r="7691" spans="2:5" x14ac:dyDescent="0.25">
      <c r="B7691" s="545">
        <v>9737</v>
      </c>
      <c r="C7691" s="545" t="s">
        <v>5791</v>
      </c>
      <c r="D7691" s="669" t="s">
        <v>366</v>
      </c>
      <c r="E7691" s="546">
        <v>963.89090799999997</v>
      </c>
    </row>
    <row r="7692" spans="2:5" x14ac:dyDescent="0.25">
      <c r="B7692" s="545">
        <v>9738</v>
      </c>
      <c r="C7692" s="545" t="s">
        <v>5774</v>
      </c>
      <c r="D7692" s="669" t="s">
        <v>366</v>
      </c>
      <c r="E7692" s="546">
        <v>959.85555699999998</v>
      </c>
    </row>
    <row r="7693" spans="2:5" x14ac:dyDescent="0.25">
      <c r="B7693" s="545">
        <v>9739</v>
      </c>
      <c r="C7693" s="545" t="s">
        <v>5778</v>
      </c>
      <c r="D7693" s="669" t="s">
        <v>366</v>
      </c>
      <c r="E7693" s="546">
        <v>960.911112</v>
      </c>
    </row>
    <row r="7694" spans="2:5" x14ac:dyDescent="0.25">
      <c r="B7694" s="545">
        <v>9740</v>
      </c>
      <c r="C7694" s="545" t="s">
        <v>1497</v>
      </c>
      <c r="D7694" s="669" t="s">
        <v>366</v>
      </c>
      <c r="E7694" s="546">
        <v>968.79999699999996</v>
      </c>
    </row>
    <row r="7695" spans="2:5" x14ac:dyDescent="0.25">
      <c r="B7695" s="545">
        <v>9741</v>
      </c>
      <c r="C7695" s="545" t="s">
        <v>5800</v>
      </c>
      <c r="D7695" s="669" t="s">
        <v>366</v>
      </c>
      <c r="E7695" s="546">
        <v>965.63750500000003</v>
      </c>
    </row>
    <row r="7696" spans="2:5" x14ac:dyDescent="0.25">
      <c r="B7696" s="545">
        <v>9742</v>
      </c>
      <c r="C7696" s="545" t="s">
        <v>5872</v>
      </c>
      <c r="D7696" s="669" t="s">
        <v>366</v>
      </c>
      <c r="E7696" s="546">
        <v>987.98749499999997</v>
      </c>
    </row>
    <row r="7697" spans="2:5" x14ac:dyDescent="0.25">
      <c r="B7697" s="545">
        <v>9746</v>
      </c>
      <c r="C7697" s="545" t="s">
        <v>5848</v>
      </c>
      <c r="D7697" s="669" t="s">
        <v>366</v>
      </c>
      <c r="E7697" s="546">
        <v>981.04286400000001</v>
      </c>
    </row>
    <row r="7698" spans="2:5" x14ac:dyDescent="0.25">
      <c r="B7698" s="545">
        <v>9747</v>
      </c>
      <c r="C7698" s="545" t="s">
        <v>1323</v>
      </c>
      <c r="D7698" s="669" t="s">
        <v>366</v>
      </c>
      <c r="E7698" s="546">
        <v>968.89999</v>
      </c>
    </row>
    <row r="7699" spans="2:5" x14ac:dyDescent="0.25">
      <c r="B7699" s="545">
        <v>9748</v>
      </c>
      <c r="C7699" s="545" t="s">
        <v>5825</v>
      </c>
      <c r="D7699" s="669" t="s">
        <v>366</v>
      </c>
      <c r="E7699" s="546">
        <v>973.87273600000003</v>
      </c>
    </row>
    <row r="7700" spans="2:5" x14ac:dyDescent="0.25">
      <c r="B7700" s="545">
        <v>9749</v>
      </c>
      <c r="C7700" s="545" t="s">
        <v>5799</v>
      </c>
      <c r="D7700" s="669" t="s">
        <v>366</v>
      </c>
      <c r="E7700" s="546">
        <v>965.48571300000003</v>
      </c>
    </row>
    <row r="7701" spans="2:5" x14ac:dyDescent="0.25">
      <c r="B7701" s="545">
        <v>9751</v>
      </c>
      <c r="C7701" s="545" t="s">
        <v>5747</v>
      </c>
      <c r="D7701" s="669" t="s">
        <v>366</v>
      </c>
      <c r="E7701" s="546">
        <v>952.47777599999995</v>
      </c>
    </row>
    <row r="7702" spans="2:5" x14ac:dyDescent="0.25">
      <c r="B7702" s="545">
        <v>9752</v>
      </c>
      <c r="C7702" s="545" t="s">
        <v>2979</v>
      </c>
      <c r="D7702" s="669" t="s">
        <v>366</v>
      </c>
      <c r="E7702" s="546">
        <v>903.385716</v>
      </c>
    </row>
    <row r="7703" spans="2:5" x14ac:dyDescent="0.25">
      <c r="B7703" s="545">
        <v>9753</v>
      </c>
      <c r="C7703" s="545" t="s">
        <v>5736</v>
      </c>
      <c r="D7703" s="669" t="s">
        <v>366</v>
      </c>
      <c r="E7703" s="546">
        <v>949.9375</v>
      </c>
    </row>
    <row r="7704" spans="2:5" x14ac:dyDescent="0.25">
      <c r="B7704" s="545">
        <v>9756</v>
      </c>
      <c r="C7704" s="545" t="s">
        <v>5671</v>
      </c>
      <c r="D7704" s="669" t="s">
        <v>366</v>
      </c>
      <c r="E7704" s="546">
        <v>930.91000399999996</v>
      </c>
    </row>
    <row r="7705" spans="2:5" x14ac:dyDescent="0.25">
      <c r="B7705" s="545">
        <v>9757</v>
      </c>
      <c r="C7705" s="545" t="s">
        <v>1050</v>
      </c>
      <c r="D7705" s="669" t="s">
        <v>366</v>
      </c>
      <c r="E7705" s="546">
        <v>923.49999400000002</v>
      </c>
    </row>
    <row r="7706" spans="2:5" x14ac:dyDescent="0.25">
      <c r="B7706" s="545">
        <v>9758</v>
      </c>
      <c r="C7706" s="545" t="s">
        <v>5656</v>
      </c>
      <c r="D7706" s="669" t="s">
        <v>366</v>
      </c>
      <c r="E7706" s="546">
        <v>950.88888199999997</v>
      </c>
    </row>
    <row r="7707" spans="2:5" x14ac:dyDescent="0.25">
      <c r="B7707" s="545">
        <v>9760</v>
      </c>
      <c r="C7707" s="545" t="s">
        <v>5758</v>
      </c>
      <c r="D7707" s="669" t="s">
        <v>366</v>
      </c>
      <c r="E7707" s="546">
        <v>955.73331700000006</v>
      </c>
    </row>
    <row r="7708" spans="2:5" x14ac:dyDescent="0.25">
      <c r="B7708" s="545">
        <v>9762</v>
      </c>
      <c r="C7708" s="545" t="s">
        <v>5715</v>
      </c>
      <c r="D7708" s="669" t="s">
        <v>366</v>
      </c>
      <c r="E7708" s="546">
        <v>943.53636600000004</v>
      </c>
    </row>
    <row r="7709" spans="2:5" x14ac:dyDescent="0.25">
      <c r="B7709" s="545">
        <v>9763</v>
      </c>
      <c r="C7709" s="545" t="s">
        <v>5600</v>
      </c>
      <c r="D7709" s="669" t="s">
        <v>366</v>
      </c>
      <c r="E7709" s="546">
        <v>911.728568</v>
      </c>
    </row>
    <row r="7710" spans="2:5" x14ac:dyDescent="0.25">
      <c r="B7710" s="545">
        <v>9767</v>
      </c>
      <c r="C7710" s="545" t="s">
        <v>5849</v>
      </c>
      <c r="D7710" s="669" t="s">
        <v>366</v>
      </c>
      <c r="E7710" s="546">
        <v>981.44999700000005</v>
      </c>
    </row>
    <row r="7711" spans="2:5" x14ac:dyDescent="0.25">
      <c r="B7711" s="545">
        <v>9768</v>
      </c>
      <c r="C7711" s="545" t="s">
        <v>5899</v>
      </c>
      <c r="D7711" s="669" t="s">
        <v>366</v>
      </c>
      <c r="E7711" s="546">
        <v>997.94286199999999</v>
      </c>
    </row>
    <row r="7712" spans="2:5" x14ac:dyDescent="0.25">
      <c r="B7712" s="545">
        <v>9769</v>
      </c>
      <c r="C7712" s="545" t="s">
        <v>6514</v>
      </c>
      <c r="D7712" s="669" t="s">
        <v>366</v>
      </c>
      <c r="E7712" s="546">
        <v>963.240002</v>
      </c>
    </row>
    <row r="7713" spans="2:5" x14ac:dyDescent="0.25">
      <c r="B7713" s="545">
        <v>9770</v>
      </c>
      <c r="C7713" s="545" t="s">
        <v>4442</v>
      </c>
      <c r="D7713" s="669" t="s">
        <v>366</v>
      </c>
      <c r="E7713" s="546">
        <v>990.94999900000005</v>
      </c>
    </row>
    <row r="7714" spans="2:5" x14ac:dyDescent="0.25">
      <c r="B7714" s="545">
        <v>9771</v>
      </c>
      <c r="C7714" s="545" t="s">
        <v>5889</v>
      </c>
      <c r="D7714" s="669" t="s">
        <v>366</v>
      </c>
      <c r="E7714" s="546">
        <v>994.663635</v>
      </c>
    </row>
    <row r="7715" spans="2:5" x14ac:dyDescent="0.25">
      <c r="B7715" s="545">
        <v>9772</v>
      </c>
      <c r="C7715" s="545" t="s">
        <v>2108</v>
      </c>
      <c r="D7715" s="669" t="s">
        <v>366</v>
      </c>
      <c r="E7715" s="546">
        <v>954.92857100000003</v>
      </c>
    </row>
    <row r="7716" spans="2:5" x14ac:dyDescent="0.25">
      <c r="B7716" s="545">
        <v>9775</v>
      </c>
      <c r="C7716" s="545" t="s">
        <v>5935</v>
      </c>
      <c r="D7716" s="669" t="s">
        <v>366</v>
      </c>
      <c r="E7716" s="546">
        <v>1018</v>
      </c>
    </row>
    <row r="7717" spans="2:5" x14ac:dyDescent="0.25">
      <c r="B7717" s="545">
        <v>9776</v>
      </c>
      <c r="C7717" s="545" t="s">
        <v>6846</v>
      </c>
      <c r="D7717" s="669" t="s">
        <v>366</v>
      </c>
      <c r="E7717" s="546">
        <v>973.24374799999998</v>
      </c>
    </row>
    <row r="7718" spans="2:5" x14ac:dyDescent="0.25">
      <c r="B7718" s="545">
        <v>9777</v>
      </c>
      <c r="C7718" s="545" t="s">
        <v>5831</v>
      </c>
      <c r="D7718" s="669" t="s">
        <v>366</v>
      </c>
      <c r="E7718" s="546">
        <v>975.66666699999996</v>
      </c>
    </row>
    <row r="7719" spans="2:5" x14ac:dyDescent="0.25">
      <c r="B7719" s="545">
        <v>9778</v>
      </c>
      <c r="C7719" s="545" t="s">
        <v>1433</v>
      </c>
      <c r="D7719" s="669" t="s">
        <v>366</v>
      </c>
      <c r="E7719" s="546">
        <v>960.74285899999995</v>
      </c>
    </row>
    <row r="7720" spans="2:5" x14ac:dyDescent="0.25">
      <c r="B7720" s="545">
        <v>9781</v>
      </c>
      <c r="C7720" s="545" t="s">
        <v>5892</v>
      </c>
      <c r="D7720" s="669" t="s">
        <v>366</v>
      </c>
      <c r="E7720" s="546">
        <v>995.67498799999998</v>
      </c>
    </row>
    <row r="7721" spans="2:5" x14ac:dyDescent="0.25">
      <c r="B7721" s="545">
        <v>9782</v>
      </c>
      <c r="C7721" s="545" t="s">
        <v>5912</v>
      </c>
      <c r="D7721" s="669" t="s">
        <v>366</v>
      </c>
      <c r="E7721" s="546">
        <v>1006.119995</v>
      </c>
    </row>
    <row r="7722" spans="2:5" x14ac:dyDescent="0.25">
      <c r="B7722" s="545">
        <v>9786</v>
      </c>
      <c r="C7722" s="545" t="s">
        <v>6002</v>
      </c>
      <c r="D7722" s="669" t="s">
        <v>366</v>
      </c>
      <c r="E7722" s="546">
        <v>1048.9700009999999</v>
      </c>
    </row>
    <row r="7723" spans="2:5" x14ac:dyDescent="0.25">
      <c r="B7723" s="545">
        <v>9787</v>
      </c>
      <c r="C7723" s="545" t="s">
        <v>5847</v>
      </c>
      <c r="D7723" s="669" t="s">
        <v>366</v>
      </c>
      <c r="E7723" s="546">
        <v>980.70908399999996</v>
      </c>
    </row>
    <row r="7724" spans="2:5" x14ac:dyDescent="0.25">
      <c r="B7724" s="545">
        <v>9788</v>
      </c>
      <c r="C7724" s="545" t="s">
        <v>5846</v>
      </c>
      <c r="D7724" s="669" t="s">
        <v>366</v>
      </c>
      <c r="E7724" s="546">
        <v>980.67142200000001</v>
      </c>
    </row>
    <row r="7725" spans="2:5" x14ac:dyDescent="0.25">
      <c r="B7725" s="545">
        <v>9789</v>
      </c>
      <c r="C7725" s="545" t="s">
        <v>5961</v>
      </c>
      <c r="D7725" s="669" t="s">
        <v>366</v>
      </c>
      <c r="E7725" s="546">
        <v>1033.3583369999999</v>
      </c>
    </row>
    <row r="7726" spans="2:5" x14ac:dyDescent="0.25">
      <c r="B7726" s="545">
        <v>9801</v>
      </c>
      <c r="C7726" s="545" t="s">
        <v>5875</v>
      </c>
      <c r="D7726" s="669" t="s">
        <v>388</v>
      </c>
      <c r="E7726" s="546">
        <v>990.69032100000004</v>
      </c>
    </row>
    <row r="7727" spans="2:5" x14ac:dyDescent="0.25">
      <c r="B7727" s="545">
        <v>9802</v>
      </c>
      <c r="C7727" s="545" t="s">
        <v>5554</v>
      </c>
      <c r="D7727" s="669" t="s">
        <v>388</v>
      </c>
      <c r="E7727" s="546">
        <v>905.64374899999996</v>
      </c>
    </row>
    <row r="7728" spans="2:5" x14ac:dyDescent="0.25">
      <c r="B7728" s="545">
        <v>9803</v>
      </c>
      <c r="C7728" s="545" t="s">
        <v>7068</v>
      </c>
      <c r="D7728" s="669" t="s">
        <v>388</v>
      </c>
      <c r="E7728" s="546">
        <v>987.153324</v>
      </c>
    </row>
    <row r="7729" spans="2:5" x14ac:dyDescent="0.25">
      <c r="B7729" s="545">
        <v>9804</v>
      </c>
      <c r="C7729" s="545" t="s">
        <v>5630</v>
      </c>
      <c r="D7729" s="669" t="s">
        <v>388</v>
      </c>
      <c r="E7729" s="546">
        <v>919.41818000000001</v>
      </c>
    </row>
    <row r="7730" spans="2:5" x14ac:dyDescent="0.25">
      <c r="B7730" s="545">
        <v>9805</v>
      </c>
      <c r="C7730" s="545" t="s">
        <v>5524</v>
      </c>
      <c r="D7730" s="669" t="s">
        <v>388</v>
      </c>
      <c r="E7730" s="546">
        <v>899.385716</v>
      </c>
    </row>
    <row r="7731" spans="2:5" x14ac:dyDescent="0.25">
      <c r="B7731" s="545">
        <v>9806</v>
      </c>
      <c r="C7731" s="545" t="s">
        <v>4848</v>
      </c>
      <c r="D7731" s="669" t="s">
        <v>388</v>
      </c>
      <c r="E7731" s="546">
        <v>914.22500600000001</v>
      </c>
    </row>
    <row r="7732" spans="2:5" x14ac:dyDescent="0.25">
      <c r="B7732" s="545">
        <v>9807</v>
      </c>
      <c r="C7732" s="545" t="s">
        <v>3942</v>
      </c>
      <c r="D7732" s="669" t="s">
        <v>388</v>
      </c>
      <c r="E7732" s="546">
        <v>921.64544699999999</v>
      </c>
    </row>
    <row r="7733" spans="2:5" x14ac:dyDescent="0.25">
      <c r="B7733" s="545">
        <v>9808</v>
      </c>
      <c r="C7733" s="545" t="s">
        <v>5803</v>
      </c>
      <c r="D7733" s="669" t="s">
        <v>388</v>
      </c>
      <c r="E7733" s="546">
        <v>966.34210800000005</v>
      </c>
    </row>
    <row r="7734" spans="2:5" x14ac:dyDescent="0.25">
      <c r="B7734" s="545">
        <v>9809</v>
      </c>
      <c r="C7734" s="545" t="s">
        <v>5814</v>
      </c>
      <c r="D7734" s="669" t="s">
        <v>388</v>
      </c>
      <c r="E7734" s="546">
        <v>969.07778299999995</v>
      </c>
    </row>
    <row r="7735" spans="2:5" x14ac:dyDescent="0.25">
      <c r="B7735" s="545">
        <v>9810</v>
      </c>
      <c r="C7735" s="545" t="s">
        <v>6044</v>
      </c>
      <c r="D7735" s="669" t="s">
        <v>388</v>
      </c>
      <c r="E7735" s="546">
        <v>1076.743759</v>
      </c>
    </row>
    <row r="7736" spans="2:5" x14ac:dyDescent="0.25">
      <c r="B7736" s="545">
        <v>9811</v>
      </c>
      <c r="C7736" s="545" t="s">
        <v>6083</v>
      </c>
      <c r="D7736" s="669" t="s">
        <v>388</v>
      </c>
      <c r="E7736" s="546">
        <v>1099.9037069999999</v>
      </c>
    </row>
    <row r="7737" spans="2:5" x14ac:dyDescent="0.25">
      <c r="B7737" s="545">
        <v>9812</v>
      </c>
      <c r="C7737" s="545" t="s">
        <v>5975</v>
      </c>
      <c r="D7737" s="669" t="s">
        <v>388</v>
      </c>
      <c r="E7737" s="546">
        <v>1036.8956459999999</v>
      </c>
    </row>
    <row r="7738" spans="2:5" x14ac:dyDescent="0.25">
      <c r="B7738" s="545">
        <v>9813</v>
      </c>
      <c r="C7738" s="545" t="s">
        <v>6103</v>
      </c>
      <c r="D7738" s="669" t="s">
        <v>388</v>
      </c>
      <c r="E7738" s="546">
        <v>1118.8535770000001</v>
      </c>
    </row>
    <row r="7739" spans="2:5" x14ac:dyDescent="0.25">
      <c r="B7739" s="545">
        <v>9814</v>
      </c>
      <c r="C7739" s="545" t="s">
        <v>6115</v>
      </c>
      <c r="D7739" s="669" t="s">
        <v>388</v>
      </c>
      <c r="E7739" s="546">
        <v>1128.2923069999999</v>
      </c>
    </row>
    <row r="7740" spans="2:5" x14ac:dyDescent="0.25">
      <c r="B7740" s="545">
        <v>9815</v>
      </c>
      <c r="C7740" s="545" t="s">
        <v>6062</v>
      </c>
      <c r="D7740" s="669" t="s">
        <v>388</v>
      </c>
      <c r="E7740" s="546">
        <v>1087.207707</v>
      </c>
    </row>
    <row r="7741" spans="2:5" x14ac:dyDescent="0.25">
      <c r="B7741" s="545">
        <v>9816</v>
      </c>
      <c r="C7741" s="545" t="s">
        <v>6066</v>
      </c>
      <c r="D7741" s="669" t="s">
        <v>388</v>
      </c>
      <c r="E7741" s="546">
        <v>1089.8181930000001</v>
      </c>
    </row>
    <row r="7742" spans="2:5" x14ac:dyDescent="0.25">
      <c r="B7742" s="545">
        <v>9817</v>
      </c>
      <c r="C7742" s="545" t="s">
        <v>5974</v>
      </c>
      <c r="D7742" s="669" t="s">
        <v>388</v>
      </c>
      <c r="E7742" s="546">
        <v>1036.868755</v>
      </c>
    </row>
    <row r="7743" spans="2:5" x14ac:dyDescent="0.25">
      <c r="B7743" s="545">
        <v>9818</v>
      </c>
      <c r="C7743" s="545" t="s">
        <v>5908</v>
      </c>
      <c r="D7743" s="669" t="s">
        <v>388</v>
      </c>
      <c r="E7743" s="546">
        <v>1004.7</v>
      </c>
    </row>
    <row r="7744" spans="2:5" x14ac:dyDescent="0.25">
      <c r="B7744" s="545">
        <v>9819</v>
      </c>
      <c r="C7744" s="545" t="s">
        <v>3888</v>
      </c>
      <c r="D7744" s="669" t="s">
        <v>388</v>
      </c>
      <c r="E7744" s="546">
        <v>1012.849998</v>
      </c>
    </row>
    <row r="7745" spans="2:5" x14ac:dyDescent="0.25">
      <c r="B7745" s="545">
        <v>9820</v>
      </c>
      <c r="C7745" s="545" t="s">
        <v>698</v>
      </c>
      <c r="D7745" s="669" t="s">
        <v>388</v>
      </c>
      <c r="E7745" s="546">
        <v>1066.3142869999999</v>
      </c>
    </row>
    <row r="7746" spans="2:5" x14ac:dyDescent="0.25">
      <c r="B7746" s="545">
        <v>9821</v>
      </c>
      <c r="C7746" s="545" t="s">
        <v>6162</v>
      </c>
      <c r="D7746" s="669" t="s">
        <v>388</v>
      </c>
      <c r="E7746" s="546">
        <v>1162.1000160000001</v>
      </c>
    </row>
    <row r="7747" spans="2:5" x14ac:dyDescent="0.25">
      <c r="B7747" s="545">
        <v>9822</v>
      </c>
      <c r="C7747" s="545" t="s">
        <v>6133</v>
      </c>
      <c r="D7747" s="669" t="s">
        <v>388</v>
      </c>
      <c r="E7747" s="546">
        <v>1146.0749920000001</v>
      </c>
    </row>
    <row r="7748" spans="2:5" x14ac:dyDescent="0.25">
      <c r="B7748" s="545">
        <v>9823</v>
      </c>
      <c r="C7748" s="545" t="s">
        <v>6190</v>
      </c>
      <c r="D7748" s="669" t="s">
        <v>388</v>
      </c>
      <c r="E7748" s="546">
        <v>1188.0285819999999</v>
      </c>
    </row>
    <row r="7749" spans="2:5" x14ac:dyDescent="0.25">
      <c r="B7749" s="545">
        <v>9824</v>
      </c>
      <c r="C7749" s="545" t="s">
        <v>4207</v>
      </c>
      <c r="D7749" s="669" t="s">
        <v>388</v>
      </c>
      <c r="E7749" s="546">
        <v>1204.0833230000001</v>
      </c>
    </row>
    <row r="7750" spans="2:5" x14ac:dyDescent="0.25">
      <c r="B7750" s="545">
        <v>9825</v>
      </c>
      <c r="C7750" s="545" t="s">
        <v>6243</v>
      </c>
      <c r="D7750" s="669" t="s">
        <v>388</v>
      </c>
      <c r="E7750" s="546">
        <v>1240.4625020000001</v>
      </c>
    </row>
    <row r="7751" spans="2:5" x14ac:dyDescent="0.25">
      <c r="B7751" s="545">
        <v>9826</v>
      </c>
      <c r="C7751" s="545" t="s">
        <v>6242</v>
      </c>
      <c r="D7751" s="669" t="s">
        <v>388</v>
      </c>
      <c r="E7751" s="546">
        <v>1240</v>
      </c>
    </row>
    <row r="7752" spans="2:5" x14ac:dyDescent="0.25">
      <c r="B7752" s="545">
        <v>9827</v>
      </c>
      <c r="C7752" s="545" t="s">
        <v>7260</v>
      </c>
      <c r="D7752" s="669" t="s">
        <v>388</v>
      </c>
      <c r="E7752" s="546">
        <v>1234.0124969999999</v>
      </c>
    </row>
    <row r="7753" spans="2:5" x14ac:dyDescent="0.25">
      <c r="B7753" s="545">
        <v>9828</v>
      </c>
      <c r="C7753" s="545" t="s">
        <v>6979</v>
      </c>
      <c r="D7753" s="669" t="s">
        <v>388</v>
      </c>
      <c r="E7753" s="546">
        <v>1146.412491</v>
      </c>
    </row>
    <row r="7754" spans="2:5" x14ac:dyDescent="0.25">
      <c r="B7754" s="545">
        <v>9829</v>
      </c>
      <c r="C7754" s="545" t="s">
        <v>6068</v>
      </c>
      <c r="D7754" s="669" t="s">
        <v>388</v>
      </c>
      <c r="E7754" s="546">
        <v>1091.5916649999999</v>
      </c>
    </row>
    <row r="7755" spans="2:5" x14ac:dyDescent="0.25">
      <c r="B7755" s="545">
        <v>9830</v>
      </c>
      <c r="C7755" s="545" t="s">
        <v>6114</v>
      </c>
      <c r="D7755" s="669" t="s">
        <v>388</v>
      </c>
      <c r="E7755" s="546">
        <v>1126</v>
      </c>
    </row>
    <row r="7756" spans="2:5" x14ac:dyDescent="0.25">
      <c r="B7756" s="545">
        <v>9831</v>
      </c>
      <c r="C7756" s="545" t="s">
        <v>6120</v>
      </c>
      <c r="D7756" s="669" t="s">
        <v>388</v>
      </c>
      <c r="E7756" s="546">
        <v>1135.542864</v>
      </c>
    </row>
    <row r="7757" spans="2:5" x14ac:dyDescent="0.25">
      <c r="B7757" s="545">
        <v>9832</v>
      </c>
      <c r="C7757" s="545" t="s">
        <v>6164</v>
      </c>
      <c r="D7757" s="669" t="s">
        <v>388</v>
      </c>
      <c r="E7757" s="546">
        <v>1163.3249820000001</v>
      </c>
    </row>
    <row r="7758" spans="2:5" x14ac:dyDescent="0.25">
      <c r="B7758" s="545">
        <v>9833</v>
      </c>
      <c r="C7758" s="545" t="s">
        <v>6141</v>
      </c>
      <c r="D7758" s="669" t="s">
        <v>388</v>
      </c>
      <c r="E7758" s="546">
        <v>1149.918191</v>
      </c>
    </row>
    <row r="7759" spans="2:5" x14ac:dyDescent="0.25">
      <c r="B7759" s="545">
        <v>9834</v>
      </c>
      <c r="C7759" s="545" t="s">
        <v>3701</v>
      </c>
      <c r="D7759" s="669" t="s">
        <v>388</v>
      </c>
      <c r="E7759" s="546">
        <v>1112.875</v>
      </c>
    </row>
    <row r="7760" spans="2:5" x14ac:dyDescent="0.25">
      <c r="B7760" s="545">
        <v>9835</v>
      </c>
      <c r="C7760" s="545" t="s">
        <v>5378</v>
      </c>
      <c r="D7760" s="669" t="s">
        <v>388</v>
      </c>
      <c r="E7760" s="546">
        <v>1153.600021</v>
      </c>
    </row>
    <row r="7761" spans="2:5" x14ac:dyDescent="0.25">
      <c r="B7761" s="545">
        <v>9836</v>
      </c>
      <c r="C7761" s="545" t="s">
        <v>5992</v>
      </c>
      <c r="D7761" s="669" t="s">
        <v>388</v>
      </c>
      <c r="E7761" s="546">
        <v>1044.400024</v>
      </c>
    </row>
    <row r="7762" spans="2:5" x14ac:dyDescent="0.25">
      <c r="B7762" s="545">
        <v>9837</v>
      </c>
      <c r="C7762" s="545" t="s">
        <v>6049</v>
      </c>
      <c r="D7762" s="669" t="s">
        <v>388</v>
      </c>
      <c r="E7762" s="546">
        <v>1079.0699890000001</v>
      </c>
    </row>
    <row r="7763" spans="2:5" x14ac:dyDescent="0.25">
      <c r="B7763" s="545">
        <v>9838</v>
      </c>
      <c r="C7763" s="545" t="s">
        <v>6180</v>
      </c>
      <c r="D7763" s="669" t="s">
        <v>388</v>
      </c>
      <c r="E7763" s="546">
        <v>1179.0600099999999</v>
      </c>
    </row>
    <row r="7764" spans="2:5" x14ac:dyDescent="0.25">
      <c r="B7764" s="545">
        <v>9839</v>
      </c>
      <c r="C7764" s="545" t="s">
        <v>5943</v>
      </c>
      <c r="D7764" s="669" t="s">
        <v>388</v>
      </c>
      <c r="E7764" s="546">
        <v>1023.3833519999999</v>
      </c>
    </row>
    <row r="7765" spans="2:5" x14ac:dyDescent="0.25">
      <c r="B7765" s="545">
        <v>9841</v>
      </c>
      <c r="C7765" s="545" t="s">
        <v>6240</v>
      </c>
      <c r="D7765" s="669" t="s">
        <v>388</v>
      </c>
      <c r="E7765" s="546">
        <v>1236.3421049999999</v>
      </c>
    </row>
    <row r="7766" spans="2:5" x14ac:dyDescent="0.25">
      <c r="B7766" s="545">
        <v>9842</v>
      </c>
      <c r="C7766" s="545" t="s">
        <v>6209</v>
      </c>
      <c r="D7766" s="669" t="s">
        <v>388</v>
      </c>
      <c r="E7766" s="546">
        <v>1205.994803</v>
      </c>
    </row>
    <row r="7767" spans="2:5" x14ac:dyDescent="0.25">
      <c r="B7767" s="545">
        <v>9844</v>
      </c>
      <c r="C7767" s="545" t="s">
        <v>7545</v>
      </c>
      <c r="D7767" s="669" t="s">
        <v>388</v>
      </c>
      <c r="E7767" s="546">
        <v>1274.609375</v>
      </c>
    </row>
    <row r="7768" spans="2:5" x14ac:dyDescent="0.25">
      <c r="B7768" s="545">
        <v>9845</v>
      </c>
      <c r="C7768" s="545" t="s">
        <v>6714</v>
      </c>
      <c r="D7768" s="669" t="s">
        <v>388</v>
      </c>
      <c r="E7768" s="546">
        <v>1320.3333270000001</v>
      </c>
    </row>
    <row r="7769" spans="2:5" x14ac:dyDescent="0.25">
      <c r="B7769" s="545">
        <v>9846</v>
      </c>
      <c r="C7769" s="545" t="s">
        <v>7271</v>
      </c>
      <c r="D7769" s="669" t="s">
        <v>388</v>
      </c>
      <c r="E7769" s="546">
        <v>1278.1750030000001</v>
      </c>
    </row>
    <row r="7770" spans="2:5" x14ac:dyDescent="0.25">
      <c r="B7770" s="545">
        <v>9847</v>
      </c>
      <c r="C7770" s="545" t="s">
        <v>6713</v>
      </c>
      <c r="D7770" s="669" t="s">
        <v>388</v>
      </c>
      <c r="E7770" s="546">
        <v>1341.477783</v>
      </c>
    </row>
    <row r="7771" spans="2:5" x14ac:dyDescent="0.25">
      <c r="B7771" s="545">
        <v>9848</v>
      </c>
      <c r="C7771" s="545" t="s">
        <v>1332</v>
      </c>
      <c r="D7771" s="669" t="s">
        <v>388</v>
      </c>
      <c r="E7771" s="546">
        <v>1336.3000139999999</v>
      </c>
    </row>
    <row r="7772" spans="2:5" x14ac:dyDescent="0.25">
      <c r="B7772" s="545">
        <v>9849</v>
      </c>
      <c r="C7772" s="545" t="s">
        <v>6241</v>
      </c>
      <c r="D7772" s="669" t="s">
        <v>388</v>
      </c>
      <c r="E7772" s="546">
        <v>1237.258832</v>
      </c>
    </row>
    <row r="7773" spans="2:5" x14ac:dyDescent="0.25">
      <c r="B7773" s="545">
        <v>9850</v>
      </c>
      <c r="C7773" s="545" t="s">
        <v>388</v>
      </c>
      <c r="D7773" s="669" t="s">
        <v>388</v>
      </c>
      <c r="E7773" s="546">
        <v>1402.73999</v>
      </c>
    </row>
    <row r="7774" spans="2:5" x14ac:dyDescent="0.25">
      <c r="B7774" s="545">
        <v>9851</v>
      </c>
      <c r="C7774" s="545" t="s">
        <v>2805</v>
      </c>
      <c r="D7774" s="669" t="s">
        <v>388</v>
      </c>
      <c r="E7774" s="546">
        <v>1491.3777669999999</v>
      </c>
    </row>
    <row r="7775" spans="2:5" x14ac:dyDescent="0.25">
      <c r="B7775" s="545">
        <v>9852</v>
      </c>
      <c r="C7775" s="545" t="s">
        <v>1741</v>
      </c>
      <c r="D7775" s="669" t="s">
        <v>388</v>
      </c>
      <c r="E7775" s="546">
        <v>1416.9499510000001</v>
      </c>
    </row>
    <row r="7776" spans="2:5" x14ac:dyDescent="0.25">
      <c r="B7776" s="545">
        <v>9853</v>
      </c>
      <c r="C7776" s="545" t="s">
        <v>6353</v>
      </c>
      <c r="D7776" s="669" t="s">
        <v>388</v>
      </c>
      <c r="E7776" s="546">
        <v>1527.6000019999999</v>
      </c>
    </row>
    <row r="7777" spans="2:5" x14ac:dyDescent="0.25">
      <c r="B7777" s="545">
        <v>9854</v>
      </c>
      <c r="C7777" s="545" t="s">
        <v>6313</v>
      </c>
      <c r="D7777" s="669" t="s">
        <v>388</v>
      </c>
      <c r="E7777" s="546">
        <v>1395.2437520000001</v>
      </c>
    </row>
    <row r="7778" spans="2:5" x14ac:dyDescent="0.25">
      <c r="B7778" s="545">
        <v>9855</v>
      </c>
      <c r="C7778" s="545" t="s">
        <v>2004</v>
      </c>
      <c r="D7778" s="669" t="s">
        <v>388</v>
      </c>
      <c r="E7778" s="546">
        <v>1370.012512</v>
      </c>
    </row>
    <row r="7779" spans="2:5" x14ac:dyDescent="0.25">
      <c r="B7779" s="545">
        <v>9856</v>
      </c>
      <c r="C7779" s="545" t="s">
        <v>6387</v>
      </c>
      <c r="D7779" s="669" t="s">
        <v>388</v>
      </c>
      <c r="E7779" s="546">
        <v>1626.6562650000001</v>
      </c>
    </row>
    <row r="7780" spans="2:5" x14ac:dyDescent="0.25">
      <c r="B7780" s="545">
        <v>9857</v>
      </c>
      <c r="C7780" s="545" t="s">
        <v>6342</v>
      </c>
      <c r="D7780" s="669" t="s">
        <v>388</v>
      </c>
      <c r="E7780" s="546">
        <v>1499.500014</v>
      </c>
    </row>
    <row r="7781" spans="2:5" x14ac:dyDescent="0.25">
      <c r="B7781" s="545">
        <v>9858</v>
      </c>
      <c r="C7781" s="545" t="s">
        <v>6395</v>
      </c>
      <c r="D7781" s="669" t="s">
        <v>388</v>
      </c>
      <c r="E7781" s="546">
        <v>1645.1583250000001</v>
      </c>
    </row>
    <row r="7782" spans="2:5" x14ac:dyDescent="0.25">
      <c r="B7782" s="545">
        <v>9859</v>
      </c>
      <c r="C7782" s="545" t="s">
        <v>6391</v>
      </c>
      <c r="D7782" s="669" t="s">
        <v>388</v>
      </c>
      <c r="E7782" s="546">
        <v>1637.0600039999999</v>
      </c>
    </row>
    <row r="7783" spans="2:5" x14ac:dyDescent="0.25">
      <c r="B7783" s="545">
        <v>9860</v>
      </c>
      <c r="C7783" s="545" t="s">
        <v>2298</v>
      </c>
      <c r="D7783" s="669" t="s">
        <v>388</v>
      </c>
      <c r="E7783" s="546">
        <v>1516.9533369999999</v>
      </c>
    </row>
    <row r="7784" spans="2:5" x14ac:dyDescent="0.25">
      <c r="B7784" s="545">
        <v>9861</v>
      </c>
      <c r="C7784" s="545" t="s">
        <v>6432</v>
      </c>
      <c r="D7784" s="669" t="s">
        <v>388</v>
      </c>
      <c r="E7784" s="546">
        <v>1833.1294089999999</v>
      </c>
    </row>
    <row r="7785" spans="2:5" x14ac:dyDescent="0.25">
      <c r="B7785" s="545">
        <v>9862</v>
      </c>
      <c r="C7785" s="545" t="s">
        <v>1433</v>
      </c>
      <c r="D7785" s="669" t="s">
        <v>388</v>
      </c>
      <c r="E7785" s="546">
        <v>1460.6571570000001</v>
      </c>
    </row>
    <row r="7786" spans="2:5" x14ac:dyDescent="0.25">
      <c r="B7786" s="545">
        <v>9863</v>
      </c>
      <c r="C7786" s="545" t="s">
        <v>6324</v>
      </c>
      <c r="D7786" s="669" t="s">
        <v>388</v>
      </c>
      <c r="E7786" s="546">
        <v>1434.5700200000001</v>
      </c>
    </row>
    <row r="7787" spans="2:5" x14ac:dyDescent="0.25">
      <c r="B7787" s="545">
        <v>9864</v>
      </c>
      <c r="C7787" s="545" t="s">
        <v>6361</v>
      </c>
      <c r="D7787" s="669" t="s">
        <v>388</v>
      </c>
      <c r="E7787" s="546">
        <v>1546.7857320000001</v>
      </c>
    </row>
    <row r="7788" spans="2:5" x14ac:dyDescent="0.25">
      <c r="B7788" s="545">
        <v>9865</v>
      </c>
      <c r="C7788" s="545" t="s">
        <v>6371</v>
      </c>
      <c r="D7788" s="669" t="s">
        <v>388</v>
      </c>
      <c r="E7788" s="546">
        <v>1576.6333010000001</v>
      </c>
    </row>
    <row r="7789" spans="2:5" x14ac:dyDescent="0.25">
      <c r="B7789" s="545">
        <v>9866</v>
      </c>
      <c r="C7789" s="545" t="s">
        <v>6706</v>
      </c>
      <c r="D7789" s="669" t="s">
        <v>388</v>
      </c>
      <c r="E7789" s="546">
        <v>1651.9375</v>
      </c>
    </row>
    <row r="7790" spans="2:5" x14ac:dyDescent="0.25">
      <c r="B7790" s="545">
        <v>9867</v>
      </c>
      <c r="C7790" s="545" t="s">
        <v>6343</v>
      </c>
      <c r="D7790" s="669" t="s">
        <v>388</v>
      </c>
      <c r="E7790" s="546">
        <v>1500.46875</v>
      </c>
    </row>
    <row r="7791" spans="2:5" x14ac:dyDescent="0.25">
      <c r="B7791" s="545">
        <v>9868</v>
      </c>
      <c r="C7791" s="545" t="s">
        <v>6392</v>
      </c>
      <c r="D7791" s="669" t="s">
        <v>388</v>
      </c>
      <c r="E7791" s="546">
        <v>1642.7769310000001</v>
      </c>
    </row>
    <row r="7792" spans="2:5" x14ac:dyDescent="0.25">
      <c r="B7792" s="545">
        <v>9870</v>
      </c>
      <c r="C7792" s="545" t="s">
        <v>6448</v>
      </c>
      <c r="D7792" s="669" t="s">
        <v>388</v>
      </c>
      <c r="E7792" s="546">
        <v>1938.7645219999999</v>
      </c>
    </row>
    <row r="7793" spans="2:5" x14ac:dyDescent="0.25">
      <c r="B7793" s="545">
        <v>9871</v>
      </c>
      <c r="C7793" s="545" t="s">
        <v>6378</v>
      </c>
      <c r="D7793" s="669" t="s">
        <v>388</v>
      </c>
      <c r="E7793" s="546">
        <v>1589.95</v>
      </c>
    </row>
    <row r="7794" spans="2:5" x14ac:dyDescent="0.25">
      <c r="B7794" s="545">
        <v>9872</v>
      </c>
      <c r="C7794" s="545" t="s">
        <v>7300</v>
      </c>
      <c r="D7794" s="669" t="s">
        <v>388</v>
      </c>
      <c r="E7794" s="546">
        <v>1830.2370330000001</v>
      </c>
    </row>
    <row r="7795" spans="2:5" x14ac:dyDescent="0.25">
      <c r="B7795" s="545">
        <v>9873</v>
      </c>
      <c r="C7795" s="545" t="s">
        <v>7301</v>
      </c>
      <c r="D7795" s="669" t="s">
        <v>388</v>
      </c>
      <c r="E7795" s="546">
        <v>1758.8999920000001</v>
      </c>
    </row>
    <row r="7796" spans="2:5" x14ac:dyDescent="0.25">
      <c r="B7796" s="545">
        <v>9874</v>
      </c>
      <c r="C7796" s="545" t="s">
        <v>6464</v>
      </c>
      <c r="D7796" s="669" t="s">
        <v>388</v>
      </c>
      <c r="E7796" s="546">
        <v>2124.0037069999998</v>
      </c>
    </row>
    <row r="7797" spans="2:5" x14ac:dyDescent="0.25">
      <c r="B7797" s="545">
        <v>9875</v>
      </c>
      <c r="C7797" s="545" t="s">
        <v>6454</v>
      </c>
      <c r="D7797" s="669" t="s">
        <v>388</v>
      </c>
      <c r="E7797" s="546">
        <v>1975.5357059999999</v>
      </c>
    </row>
    <row r="7798" spans="2:5" x14ac:dyDescent="0.25">
      <c r="B7798" s="545">
        <v>9876</v>
      </c>
      <c r="C7798" s="545" t="s">
        <v>6451</v>
      </c>
      <c r="D7798" s="669" t="s">
        <v>388</v>
      </c>
      <c r="E7798" s="546">
        <v>1945.964303</v>
      </c>
    </row>
    <row r="7799" spans="2:5" x14ac:dyDescent="0.25">
      <c r="B7799" s="545">
        <v>9877</v>
      </c>
      <c r="C7799" s="545" t="s">
        <v>1204</v>
      </c>
      <c r="D7799" s="669" t="s">
        <v>388</v>
      </c>
      <c r="E7799" s="546">
        <v>1736.9368380000001</v>
      </c>
    </row>
    <row r="7800" spans="2:5" x14ac:dyDescent="0.25">
      <c r="B7800" s="545">
        <v>9878</v>
      </c>
      <c r="C7800" s="545" t="s">
        <v>6460</v>
      </c>
      <c r="D7800" s="669" t="s">
        <v>388</v>
      </c>
      <c r="E7800" s="546">
        <v>2099.8566850000002</v>
      </c>
    </row>
    <row r="7801" spans="2:5" x14ac:dyDescent="0.25">
      <c r="B7801" s="545">
        <v>9879</v>
      </c>
      <c r="C7801" s="545" t="s">
        <v>6433</v>
      </c>
      <c r="D7801" s="669" t="s">
        <v>388</v>
      </c>
      <c r="E7801" s="546">
        <v>1837.751618</v>
      </c>
    </row>
    <row r="7802" spans="2:5" x14ac:dyDescent="0.25">
      <c r="B7802" s="545">
        <v>9880</v>
      </c>
      <c r="C7802" s="545" t="s">
        <v>6423</v>
      </c>
      <c r="D7802" s="669" t="s">
        <v>388</v>
      </c>
      <c r="E7802" s="546">
        <v>1766.1408140000001</v>
      </c>
    </row>
    <row r="7803" spans="2:5" x14ac:dyDescent="0.25">
      <c r="B7803" s="545">
        <v>9881</v>
      </c>
      <c r="C7803" s="545" t="s">
        <v>6420</v>
      </c>
      <c r="D7803" s="669" t="s">
        <v>388</v>
      </c>
      <c r="E7803" s="546">
        <v>1754.9124979999999</v>
      </c>
    </row>
    <row r="7804" spans="2:5" x14ac:dyDescent="0.25">
      <c r="B7804" s="545">
        <v>9882</v>
      </c>
      <c r="C7804" s="545" t="s">
        <v>6452</v>
      </c>
      <c r="D7804" s="669" t="s">
        <v>388</v>
      </c>
      <c r="E7804" s="546">
        <v>1948.433338</v>
      </c>
    </row>
    <row r="7805" spans="2:5" x14ac:dyDescent="0.25">
      <c r="B7805" s="545">
        <v>9901</v>
      </c>
      <c r="C7805" s="545" t="s">
        <v>2546</v>
      </c>
      <c r="D7805" s="669" t="s">
        <v>388</v>
      </c>
      <c r="E7805" s="546">
        <v>1117.5</v>
      </c>
    </row>
    <row r="7806" spans="2:5" x14ac:dyDescent="0.25">
      <c r="B7806" s="545">
        <v>9902</v>
      </c>
      <c r="C7806" s="545" t="s">
        <v>6048</v>
      </c>
      <c r="D7806" s="669" t="s">
        <v>388</v>
      </c>
      <c r="E7806" s="546">
        <v>1078.9137929999999</v>
      </c>
    </row>
    <row r="7807" spans="2:5" x14ac:dyDescent="0.25">
      <c r="B7807" s="545">
        <v>9903</v>
      </c>
      <c r="C7807" s="545" t="s">
        <v>5969</v>
      </c>
      <c r="D7807" s="669" t="s">
        <v>388</v>
      </c>
      <c r="E7807" s="546">
        <v>1035.6799960000001</v>
      </c>
    </row>
    <row r="7808" spans="2:5" x14ac:dyDescent="0.25">
      <c r="B7808" s="545">
        <v>9904</v>
      </c>
      <c r="C7808" s="545" t="s">
        <v>5507</v>
      </c>
      <c r="D7808" s="669" t="s">
        <v>388</v>
      </c>
      <c r="E7808" s="546">
        <v>896.57333600000004</v>
      </c>
    </row>
    <row r="7809" spans="2:5" x14ac:dyDescent="0.25">
      <c r="B7809" s="545">
        <v>9905</v>
      </c>
      <c r="C7809" s="545" t="s">
        <v>5702</v>
      </c>
      <c r="D7809" s="669" t="s">
        <v>388</v>
      </c>
      <c r="E7809" s="546">
        <v>939.31999499999995</v>
      </c>
    </row>
    <row r="7810" spans="2:5" x14ac:dyDescent="0.25">
      <c r="B7810" s="545">
        <v>9906</v>
      </c>
      <c r="C7810" s="545" t="s">
        <v>5802</v>
      </c>
      <c r="D7810" s="669" t="s">
        <v>388</v>
      </c>
      <c r="E7810" s="546">
        <v>966.171425</v>
      </c>
    </row>
    <row r="7811" spans="2:5" x14ac:dyDescent="0.25">
      <c r="B7811" s="545">
        <v>9907</v>
      </c>
      <c r="C7811" s="545" t="s">
        <v>1113</v>
      </c>
      <c r="D7811" s="669" t="s">
        <v>388</v>
      </c>
      <c r="E7811" s="546">
        <v>927.78461600000003</v>
      </c>
    </row>
    <row r="7812" spans="2:5" x14ac:dyDescent="0.25">
      <c r="B7812" s="545">
        <v>9908</v>
      </c>
      <c r="C7812" s="545" t="s">
        <v>7526</v>
      </c>
      <c r="D7812" s="669" t="s">
        <v>388</v>
      </c>
      <c r="E7812" s="546">
        <v>987.383331</v>
      </c>
    </row>
    <row r="7813" spans="2:5" x14ac:dyDescent="0.25">
      <c r="B7813" s="545">
        <v>9909</v>
      </c>
      <c r="C7813" s="545" t="s">
        <v>5923</v>
      </c>
      <c r="D7813" s="669" t="s">
        <v>388</v>
      </c>
      <c r="E7813" s="546">
        <v>1011.7916719999999</v>
      </c>
    </row>
    <row r="7814" spans="2:5" x14ac:dyDescent="0.25">
      <c r="B7814" s="545">
        <v>9910</v>
      </c>
      <c r="C7814" s="545" t="s">
        <v>6005</v>
      </c>
      <c r="D7814" s="669" t="s">
        <v>388</v>
      </c>
      <c r="E7814" s="546">
        <v>1052.322218</v>
      </c>
    </row>
    <row r="7815" spans="2:5" x14ac:dyDescent="0.25">
      <c r="B7815" s="545">
        <v>9911</v>
      </c>
      <c r="C7815" s="545" t="s">
        <v>5725</v>
      </c>
      <c r="D7815" s="669" t="s">
        <v>388</v>
      </c>
      <c r="E7815" s="546">
        <v>946.06667100000004</v>
      </c>
    </row>
    <row r="7816" spans="2:5" x14ac:dyDescent="0.25">
      <c r="B7816" s="545">
        <v>9912</v>
      </c>
      <c r="C7816" s="545" t="s">
        <v>5859</v>
      </c>
      <c r="D7816" s="669" t="s">
        <v>388</v>
      </c>
      <c r="E7816" s="546">
        <v>985.73000300000001</v>
      </c>
    </row>
    <row r="7817" spans="2:5" x14ac:dyDescent="0.25">
      <c r="B7817" s="545">
        <v>9913</v>
      </c>
      <c r="C7817" s="545" t="s">
        <v>5973</v>
      </c>
      <c r="D7817" s="669" t="s">
        <v>388</v>
      </c>
      <c r="E7817" s="546">
        <v>1036.616689</v>
      </c>
    </row>
    <row r="7818" spans="2:5" x14ac:dyDescent="0.25">
      <c r="B7818" s="545">
        <v>9914</v>
      </c>
      <c r="C7818" s="545" t="s">
        <v>7065</v>
      </c>
      <c r="D7818" s="669" t="s">
        <v>388</v>
      </c>
      <c r="E7818" s="546">
        <v>1047.925</v>
      </c>
    </row>
    <row r="7819" spans="2:5" x14ac:dyDescent="0.25">
      <c r="B7819" s="545">
        <v>9915</v>
      </c>
      <c r="C7819" s="545" t="s">
        <v>5940</v>
      </c>
      <c r="D7819" s="669" t="s">
        <v>388</v>
      </c>
      <c r="E7819" s="546">
        <v>1021.537506</v>
      </c>
    </row>
    <row r="7820" spans="2:5" x14ac:dyDescent="0.25">
      <c r="B7820" s="545">
        <v>9916</v>
      </c>
      <c r="C7820" s="545" t="s">
        <v>6119</v>
      </c>
      <c r="D7820" s="669" t="s">
        <v>388</v>
      </c>
      <c r="E7820" s="546">
        <v>1132.7705940000001</v>
      </c>
    </row>
    <row r="7821" spans="2:5" x14ac:dyDescent="0.25">
      <c r="B7821" s="545">
        <v>9917</v>
      </c>
      <c r="C7821" s="545" t="s">
        <v>6176</v>
      </c>
      <c r="D7821" s="669" t="s">
        <v>388</v>
      </c>
      <c r="E7821" s="546">
        <v>1177.542864</v>
      </c>
    </row>
    <row r="7822" spans="2:5" x14ac:dyDescent="0.25">
      <c r="B7822" s="545">
        <v>9918</v>
      </c>
      <c r="C7822" s="545" t="s">
        <v>7455</v>
      </c>
      <c r="D7822" s="669" t="s">
        <v>388</v>
      </c>
      <c r="E7822" s="546">
        <v>1138.0166630000001</v>
      </c>
    </row>
    <row r="7823" spans="2:5" x14ac:dyDescent="0.25">
      <c r="B7823" s="545">
        <v>9919</v>
      </c>
      <c r="C7823" s="545" t="s">
        <v>5960</v>
      </c>
      <c r="D7823" s="669" t="s">
        <v>369</v>
      </c>
      <c r="E7823" s="546">
        <v>1032.8000489999999</v>
      </c>
    </row>
    <row r="7824" spans="2:5" x14ac:dyDescent="0.25">
      <c r="B7824" s="545">
        <v>9920</v>
      </c>
      <c r="C7824" s="545" t="s">
        <v>6024</v>
      </c>
      <c r="D7824" s="669" t="s">
        <v>369</v>
      </c>
      <c r="E7824" s="546">
        <v>1061.1999510000001</v>
      </c>
    </row>
    <row r="7825" spans="2:5" x14ac:dyDescent="0.25">
      <c r="B7825" s="545">
        <v>9921</v>
      </c>
      <c r="C7825" s="545" t="s">
        <v>6055</v>
      </c>
      <c r="D7825" s="669" t="s">
        <v>369</v>
      </c>
      <c r="E7825" s="546">
        <v>1081.054549</v>
      </c>
    </row>
    <row r="7826" spans="2:5" x14ac:dyDescent="0.25">
      <c r="B7826" s="545">
        <v>9922</v>
      </c>
      <c r="C7826" s="545" t="s">
        <v>4600</v>
      </c>
      <c r="D7826" s="669" t="s">
        <v>369</v>
      </c>
      <c r="E7826" s="546">
        <v>1090.9000040000001</v>
      </c>
    </row>
    <row r="7827" spans="2:5" x14ac:dyDescent="0.25">
      <c r="B7827" s="545">
        <v>9923</v>
      </c>
      <c r="C7827" s="545" t="s">
        <v>6015</v>
      </c>
      <c r="D7827" s="669" t="s">
        <v>369</v>
      </c>
      <c r="E7827" s="546">
        <v>1055.325012</v>
      </c>
    </row>
    <row r="7828" spans="2:5" x14ac:dyDescent="0.25">
      <c r="B7828" s="545">
        <v>9924</v>
      </c>
      <c r="C7828" s="545" t="s">
        <v>7403</v>
      </c>
      <c r="D7828" s="669" t="s">
        <v>369</v>
      </c>
      <c r="E7828" s="546">
        <v>1306.2222220000001</v>
      </c>
    </row>
    <row r="7829" spans="2:5" x14ac:dyDescent="0.25">
      <c r="B7829" s="545">
        <v>9925</v>
      </c>
      <c r="C7829" s="545" t="s">
        <v>6229</v>
      </c>
      <c r="D7829" s="669" t="s">
        <v>369</v>
      </c>
      <c r="E7829" s="546">
        <v>1230.2090840000001</v>
      </c>
    </row>
    <row r="7830" spans="2:5" x14ac:dyDescent="0.25">
      <c r="B7830" s="545">
        <v>9926</v>
      </c>
      <c r="C7830" s="545" t="s">
        <v>6179</v>
      </c>
      <c r="D7830" s="669" t="s">
        <v>369</v>
      </c>
      <c r="E7830" s="546">
        <v>1178.499986</v>
      </c>
    </row>
    <row r="7831" spans="2:5" x14ac:dyDescent="0.25">
      <c r="B7831" s="545">
        <v>9927</v>
      </c>
      <c r="C7831" s="545" t="s">
        <v>6272</v>
      </c>
      <c r="D7831" s="669" t="s">
        <v>369</v>
      </c>
      <c r="E7831" s="546">
        <v>1295.7571499999999</v>
      </c>
    </row>
    <row r="7832" spans="2:5" x14ac:dyDescent="0.25">
      <c r="B7832" s="545">
        <v>9928</v>
      </c>
      <c r="C7832" s="545" t="s">
        <v>6219</v>
      </c>
      <c r="D7832" s="669" t="s">
        <v>369</v>
      </c>
      <c r="E7832" s="546">
        <v>1218.880005</v>
      </c>
    </row>
    <row r="7833" spans="2:5" x14ac:dyDescent="0.25">
      <c r="B7833" s="545">
        <v>9929</v>
      </c>
      <c r="C7833" s="545" t="s">
        <v>6350</v>
      </c>
      <c r="D7833" s="669" t="s">
        <v>369</v>
      </c>
      <c r="E7833" s="546">
        <v>1518.080005</v>
      </c>
    </row>
    <row r="7834" spans="2:5" x14ac:dyDescent="0.25">
      <c r="B7834" s="545">
        <v>9930</v>
      </c>
      <c r="C7834" s="545" t="s">
        <v>6346</v>
      </c>
      <c r="D7834" s="669" t="s">
        <v>369</v>
      </c>
      <c r="E7834" s="546">
        <v>1506.619995</v>
      </c>
    </row>
    <row r="7835" spans="2:5" x14ac:dyDescent="0.25">
      <c r="B7835" s="545">
        <v>9931</v>
      </c>
      <c r="C7835" s="545" t="s">
        <v>7378</v>
      </c>
      <c r="D7835" s="669" t="s">
        <v>369</v>
      </c>
      <c r="E7835" s="546">
        <v>1243.7444390000001</v>
      </c>
    </row>
    <row r="7836" spans="2:5" x14ac:dyDescent="0.25">
      <c r="B7836" s="545">
        <v>9932</v>
      </c>
      <c r="C7836" s="545" t="s">
        <v>6128</v>
      </c>
      <c r="D7836" s="669" t="s">
        <v>369</v>
      </c>
      <c r="E7836" s="546">
        <v>1142.9576790000001</v>
      </c>
    </row>
    <row r="7837" spans="2:5" x14ac:dyDescent="0.25">
      <c r="B7837" s="545">
        <v>9933</v>
      </c>
      <c r="C7837" s="545" t="s">
        <v>6124</v>
      </c>
      <c r="D7837" s="669" t="s">
        <v>369</v>
      </c>
      <c r="E7837" s="546">
        <v>1141.5</v>
      </c>
    </row>
    <row r="7838" spans="2:5" x14ac:dyDescent="0.25">
      <c r="B7838" s="545">
        <v>9934</v>
      </c>
      <c r="C7838" s="545" t="s">
        <v>6177</v>
      </c>
      <c r="D7838" s="669" t="s">
        <v>369</v>
      </c>
      <c r="E7838" s="546">
        <v>1178.092304</v>
      </c>
    </row>
    <row r="7839" spans="2:5" x14ac:dyDescent="0.25">
      <c r="B7839" s="545">
        <v>9935</v>
      </c>
      <c r="C7839" s="545" t="s">
        <v>7491</v>
      </c>
      <c r="D7839" s="669" t="s">
        <v>369</v>
      </c>
      <c r="E7839" s="546">
        <v>1157.3500059999999</v>
      </c>
    </row>
    <row r="7840" spans="2:5" x14ac:dyDescent="0.25">
      <c r="B7840" s="545">
        <v>9936</v>
      </c>
      <c r="C7840" s="545" t="s">
        <v>6167</v>
      </c>
      <c r="D7840" s="669" t="s">
        <v>369</v>
      </c>
      <c r="E7840" s="546">
        <v>1168.4727230000001</v>
      </c>
    </row>
    <row r="7841" spans="2:5" x14ac:dyDescent="0.25">
      <c r="B7841" s="545">
        <v>9937</v>
      </c>
      <c r="C7841" s="545" t="s">
        <v>6421</v>
      </c>
      <c r="D7841" s="669" t="s">
        <v>369</v>
      </c>
      <c r="E7841" s="546">
        <v>1758.9357130000001</v>
      </c>
    </row>
    <row r="7842" spans="2:5" x14ac:dyDescent="0.25">
      <c r="B7842" s="545">
        <v>9938</v>
      </c>
      <c r="C7842" s="545" t="s">
        <v>6333</v>
      </c>
      <c r="D7842" s="669" t="s">
        <v>369</v>
      </c>
      <c r="E7842" s="546">
        <v>1452.51001</v>
      </c>
    </row>
    <row r="7843" spans="2:5" x14ac:dyDescent="0.25">
      <c r="B7843" s="545">
        <v>9939</v>
      </c>
      <c r="C7843" s="545" t="s">
        <v>4961</v>
      </c>
      <c r="D7843" s="669" t="s">
        <v>369</v>
      </c>
      <c r="E7843" s="546">
        <v>1300.25</v>
      </c>
    </row>
    <row r="7844" spans="2:5" x14ac:dyDescent="0.25">
      <c r="B7844" s="545">
        <v>9940</v>
      </c>
      <c r="C7844" s="545" t="s">
        <v>7007</v>
      </c>
      <c r="D7844" s="669" t="s">
        <v>369</v>
      </c>
      <c r="E7844" s="546">
        <v>1212.963634</v>
      </c>
    </row>
    <row r="7845" spans="2:5" x14ac:dyDescent="0.25">
      <c r="B7845" s="545">
        <v>9941</v>
      </c>
      <c r="C7845" s="545" t="s">
        <v>6307</v>
      </c>
      <c r="D7845" s="669" t="s">
        <v>369</v>
      </c>
      <c r="E7845" s="546">
        <v>1372.0889010000001</v>
      </c>
    </row>
    <row r="7846" spans="2:5" x14ac:dyDescent="0.25">
      <c r="B7846" s="545">
        <v>9942</v>
      </c>
      <c r="C7846" s="545" t="s">
        <v>6428</v>
      </c>
      <c r="D7846" s="669" t="s">
        <v>369</v>
      </c>
      <c r="E7846" s="546">
        <v>1809.68335</v>
      </c>
    </row>
    <row r="7847" spans="2:5" x14ac:dyDescent="0.25">
      <c r="B7847" s="545">
        <v>9943</v>
      </c>
      <c r="C7847" s="545" t="s">
        <v>7581</v>
      </c>
      <c r="D7847" s="669" t="s">
        <v>369</v>
      </c>
      <c r="E7847" s="546">
        <v>1667.8000079999999</v>
      </c>
    </row>
    <row r="7848" spans="2:5" x14ac:dyDescent="0.25">
      <c r="B7848" s="545">
        <v>9944</v>
      </c>
      <c r="C7848" s="545" t="s">
        <v>7582</v>
      </c>
      <c r="D7848" s="669" t="s">
        <v>369</v>
      </c>
      <c r="E7848" s="546">
        <v>1864.4206879999999</v>
      </c>
    </row>
    <row r="7849" spans="2:5" x14ac:dyDescent="0.25">
      <c r="B7849" s="545">
        <v>9945</v>
      </c>
      <c r="C7849" s="545" t="s">
        <v>6359</v>
      </c>
      <c r="D7849" s="669" t="s">
        <v>369</v>
      </c>
      <c r="E7849" s="546">
        <v>1542.149981</v>
      </c>
    </row>
    <row r="7850" spans="2:5" x14ac:dyDescent="0.25">
      <c r="B7850" s="545">
        <v>9946</v>
      </c>
      <c r="C7850" s="545" t="s">
        <v>6369</v>
      </c>
      <c r="D7850" s="669" t="s">
        <v>369</v>
      </c>
      <c r="E7850" s="546">
        <v>1566.246672</v>
      </c>
    </row>
    <row r="7851" spans="2:5" x14ac:dyDescent="0.25">
      <c r="B7851" s="545">
        <v>9947</v>
      </c>
      <c r="C7851" s="545" t="s">
        <v>2460</v>
      </c>
      <c r="D7851" s="669" t="s">
        <v>369</v>
      </c>
      <c r="E7851" s="546">
        <v>1554.921748</v>
      </c>
    </row>
    <row r="7852" spans="2:5" x14ac:dyDescent="0.25">
      <c r="B7852" s="545">
        <v>9948</v>
      </c>
      <c r="C7852" s="545" t="s">
        <v>6304</v>
      </c>
      <c r="D7852" s="669" t="s">
        <v>369</v>
      </c>
      <c r="E7852" s="546">
        <v>1366.700012</v>
      </c>
    </row>
    <row r="7853" spans="2:5" x14ac:dyDescent="0.25">
      <c r="B7853" s="545">
        <v>9949</v>
      </c>
      <c r="C7853" s="545" t="s">
        <v>6275</v>
      </c>
      <c r="D7853" s="669" t="s">
        <v>369</v>
      </c>
      <c r="E7853" s="546">
        <v>1301.2499800000001</v>
      </c>
    </row>
    <row r="7854" spans="2:5" x14ac:dyDescent="0.25">
      <c r="B7854" s="545">
        <v>9950</v>
      </c>
      <c r="C7854" s="545" t="s">
        <v>6349</v>
      </c>
      <c r="D7854" s="669" t="s">
        <v>369</v>
      </c>
      <c r="E7854" s="546">
        <v>1516.840015</v>
      </c>
    </row>
    <row r="7855" spans="2:5" x14ac:dyDescent="0.25">
      <c r="B7855" s="545">
        <v>9952</v>
      </c>
      <c r="C7855" s="545" t="s">
        <v>6372</v>
      </c>
      <c r="D7855" s="669" t="s">
        <v>369</v>
      </c>
      <c r="E7855" s="546">
        <v>1577.5749920000001</v>
      </c>
    </row>
    <row r="7856" spans="2:5" x14ac:dyDescent="0.25">
      <c r="B7856" s="545">
        <v>9953</v>
      </c>
      <c r="C7856" s="545" t="s">
        <v>6435</v>
      </c>
      <c r="D7856" s="669" t="s">
        <v>369</v>
      </c>
      <c r="E7856" s="546">
        <v>1867.0384710000001</v>
      </c>
    </row>
    <row r="7857" spans="2:5" x14ac:dyDescent="0.25">
      <c r="B7857" s="545">
        <v>9954</v>
      </c>
      <c r="C7857" s="545" t="s">
        <v>6439</v>
      </c>
      <c r="D7857" s="669" t="s">
        <v>369</v>
      </c>
      <c r="E7857" s="546">
        <v>1892.0928610000001</v>
      </c>
    </row>
    <row r="7858" spans="2:5" x14ac:dyDescent="0.25">
      <c r="B7858" s="545">
        <v>9956</v>
      </c>
      <c r="C7858" s="545" t="s">
        <v>6384</v>
      </c>
      <c r="D7858" s="669" t="s">
        <v>369</v>
      </c>
      <c r="E7858" s="546">
        <v>1603.2294199999999</v>
      </c>
    </row>
    <row r="7859" spans="2:5" x14ac:dyDescent="0.25">
      <c r="B7859" s="545">
        <v>9957</v>
      </c>
      <c r="C7859" s="545" t="s">
        <v>6465</v>
      </c>
      <c r="D7859" s="669" t="s">
        <v>369</v>
      </c>
      <c r="E7859" s="546">
        <v>2143.2062529999998</v>
      </c>
    </row>
    <row r="7860" spans="2:5" x14ac:dyDescent="0.25">
      <c r="B7860" s="545">
        <v>9958</v>
      </c>
      <c r="C7860" s="545" t="s">
        <v>6453</v>
      </c>
      <c r="D7860" s="669" t="s">
        <v>369</v>
      </c>
      <c r="E7860" s="546">
        <v>1972</v>
      </c>
    </row>
    <row r="7861" spans="2:5" x14ac:dyDescent="0.25">
      <c r="B7861" s="545">
        <v>9959</v>
      </c>
      <c r="C7861" s="545" t="s">
        <v>6449</v>
      </c>
      <c r="D7861" s="669" t="s">
        <v>369</v>
      </c>
      <c r="E7861" s="546">
        <v>1943.1666459999999</v>
      </c>
    </row>
    <row r="7862" spans="2:5" x14ac:dyDescent="0.25">
      <c r="B7862" s="545">
        <v>9960</v>
      </c>
      <c r="C7862" s="545" t="s">
        <v>6457</v>
      </c>
      <c r="D7862" s="669" t="s">
        <v>369</v>
      </c>
      <c r="E7862" s="546">
        <v>2062.9800289999998</v>
      </c>
    </row>
    <row r="7863" spans="2:5" x14ac:dyDescent="0.25">
      <c r="B7863" s="545">
        <v>9961</v>
      </c>
      <c r="C7863" s="545" t="s">
        <v>6382</v>
      </c>
      <c r="D7863" s="669" t="s">
        <v>369</v>
      </c>
      <c r="E7863" s="546">
        <v>1840.366679</v>
      </c>
    </row>
    <row r="7864" spans="2:5" x14ac:dyDescent="0.25">
      <c r="B7864" s="545">
        <v>9962</v>
      </c>
      <c r="C7864" s="545" t="s">
        <v>6434</v>
      </c>
      <c r="D7864" s="669" t="s">
        <v>369</v>
      </c>
      <c r="E7864" s="546">
        <v>1860.400024</v>
      </c>
    </row>
    <row r="7865" spans="2:5" x14ac:dyDescent="0.25">
      <c r="B7865" s="545">
        <v>9963</v>
      </c>
      <c r="C7865" s="545" t="s">
        <v>1741</v>
      </c>
      <c r="D7865" s="669" t="s">
        <v>369</v>
      </c>
      <c r="E7865" s="546">
        <v>1808.107694</v>
      </c>
    </row>
    <row r="7866" spans="2:5" x14ac:dyDescent="0.25">
      <c r="B7866" s="545">
        <v>9964</v>
      </c>
      <c r="C7866" s="545" t="s">
        <v>6394</v>
      </c>
      <c r="D7866" s="669" t="s">
        <v>369</v>
      </c>
      <c r="E7866" s="546">
        <v>1643.541166</v>
      </c>
    </row>
    <row r="7867" spans="2:5" x14ac:dyDescent="0.25">
      <c r="B7867" s="545">
        <v>9965</v>
      </c>
      <c r="C7867" s="545" t="s">
        <v>6321</v>
      </c>
      <c r="D7867" s="669" t="s">
        <v>369</v>
      </c>
      <c r="E7867" s="546">
        <v>1426.950012</v>
      </c>
    </row>
    <row r="7868" spans="2:5" x14ac:dyDescent="0.25">
      <c r="B7868" s="545">
        <v>9966</v>
      </c>
      <c r="C7868" s="545" t="s">
        <v>6437</v>
      </c>
      <c r="D7868" s="669" t="s">
        <v>369</v>
      </c>
      <c r="E7868" s="546">
        <v>1876.9699949999999</v>
      </c>
    </row>
    <row r="7869" spans="2:5" x14ac:dyDescent="0.25">
      <c r="B7869" s="545">
        <v>9967</v>
      </c>
      <c r="C7869" s="545" t="s">
        <v>6426</v>
      </c>
      <c r="D7869" s="669" t="s">
        <v>369</v>
      </c>
      <c r="E7869" s="546">
        <v>1786.6095379999999</v>
      </c>
    </row>
    <row r="7870" spans="2:5" x14ac:dyDescent="0.25">
      <c r="B7870" s="545">
        <v>9968</v>
      </c>
      <c r="C7870" s="545" t="s">
        <v>6380</v>
      </c>
      <c r="D7870" s="669" t="s">
        <v>369</v>
      </c>
      <c r="E7870" s="546">
        <v>1595.825012</v>
      </c>
    </row>
    <row r="7871" spans="2:5" x14ac:dyDescent="0.25">
      <c r="B7871" s="545">
        <v>9969</v>
      </c>
      <c r="C7871" s="545" t="s">
        <v>6389</v>
      </c>
      <c r="D7871" s="669" t="s">
        <v>369</v>
      </c>
      <c r="E7871" s="546">
        <v>1636.473332</v>
      </c>
    </row>
    <row r="7872" spans="2:5" x14ac:dyDescent="0.25">
      <c r="B7872" s="545">
        <v>9970</v>
      </c>
      <c r="C7872" s="545" t="s">
        <v>7437</v>
      </c>
      <c r="D7872" s="669" t="s">
        <v>369</v>
      </c>
      <c r="E7872" s="546">
        <v>1557.8909249999999</v>
      </c>
    </row>
    <row r="7873" spans="2:5" x14ac:dyDescent="0.25">
      <c r="B7873" s="545">
        <v>9971</v>
      </c>
      <c r="C7873" s="545" t="s">
        <v>7089</v>
      </c>
      <c r="D7873" s="669" t="s">
        <v>369</v>
      </c>
      <c r="E7873" s="546">
        <v>1474.485735</v>
      </c>
    </row>
    <row r="7874" spans="2:5" x14ac:dyDescent="0.25">
      <c r="B7874" s="545">
        <v>9972</v>
      </c>
      <c r="C7874" s="545" t="s">
        <v>6740</v>
      </c>
      <c r="D7874" s="669" t="s">
        <v>369</v>
      </c>
      <c r="E7874" s="546">
        <v>1899.904438</v>
      </c>
    </row>
    <row r="7875" spans="2:5" x14ac:dyDescent="0.25">
      <c r="B7875" s="545">
        <v>9973</v>
      </c>
      <c r="C7875" s="545" t="s">
        <v>6455</v>
      </c>
      <c r="D7875" s="669" t="s">
        <v>369</v>
      </c>
      <c r="E7875" s="546">
        <v>1989.8756760000001</v>
      </c>
    </row>
    <row r="7876" spans="2:5" x14ac:dyDescent="0.25">
      <c r="B7876" s="545">
        <v>9974</v>
      </c>
      <c r="C7876" s="545" t="s">
        <v>6459</v>
      </c>
      <c r="D7876" s="669" t="s">
        <v>369</v>
      </c>
      <c r="E7876" s="546">
        <v>2085.631034</v>
      </c>
    </row>
    <row r="7877" spans="2:5" x14ac:dyDescent="0.25">
      <c r="B7877" s="545">
        <v>9975</v>
      </c>
      <c r="C7877" s="545" t="s">
        <v>6745</v>
      </c>
      <c r="D7877" s="669" t="s">
        <v>369</v>
      </c>
      <c r="E7877" s="546">
        <v>2143.6451609999999</v>
      </c>
    </row>
    <row r="7878" spans="2:5" x14ac:dyDescent="0.25">
      <c r="C7878" s="545"/>
      <c r="D7878" s="545"/>
    </row>
    <row r="7879" spans="2:5" x14ac:dyDescent="0.25">
      <c r="C7879" s="545"/>
      <c r="D7879" s="545"/>
    </row>
    <row r="7880" spans="2:5" x14ac:dyDescent="0.25">
      <c r="C7880" s="545"/>
      <c r="D7880" s="545"/>
    </row>
    <row r="7881" spans="2:5" x14ac:dyDescent="0.25">
      <c r="C7881" s="545"/>
      <c r="D7881" s="545"/>
    </row>
    <row r="7882" spans="2:5" x14ac:dyDescent="0.25">
      <c r="C7882" s="545"/>
      <c r="D7882" s="545"/>
    </row>
    <row r="7883" spans="2:5" x14ac:dyDescent="0.25">
      <c r="C7883" s="545"/>
      <c r="D7883" s="545"/>
    </row>
    <row r="7884" spans="2:5" x14ac:dyDescent="0.25">
      <c r="C7884" s="545"/>
      <c r="D7884" s="545"/>
    </row>
    <row r="7885" spans="2:5" x14ac:dyDescent="0.25">
      <c r="C7885" s="545"/>
      <c r="D7885" s="545"/>
    </row>
    <row r="7886" spans="2:5" x14ac:dyDescent="0.25">
      <c r="C7886" s="545"/>
      <c r="D7886" s="545"/>
    </row>
    <row r="7887" spans="2:5" x14ac:dyDescent="0.25">
      <c r="C7887" s="545"/>
      <c r="D7887" s="545"/>
    </row>
    <row r="7888" spans="2:5" x14ac:dyDescent="0.25">
      <c r="C7888" s="545"/>
      <c r="D7888" s="545"/>
    </row>
    <row r="7889" spans="3:4" x14ac:dyDescent="0.25">
      <c r="C7889" s="545"/>
      <c r="D7889" s="545"/>
    </row>
  </sheetData>
  <sheetProtection algorithmName="SHA-512" hashValue="GFrtOe3YVnLvvrq8WvMh9/aINREF739kP+gga8YG12uAGqArpoGINM7lPO8wtfOGyXxTqJkKDEZX2WArAGTmVg==" saltValue="6zFl+GwBDEH10+72aXVDpA==" spinCount="100000" sheet="1" autoFilter="0"/>
  <autoFilter ref="B5:D7877" xr:uid="{0CC2C296-8E1C-47BB-9E8A-C3E09D5F5223}"/>
  <mergeCells count="2">
    <mergeCell ref="B3:E3"/>
    <mergeCell ref="B1:E1"/>
  </mergeCells>
  <conditionalFormatting sqref="C2397">
    <cfRule type="duplicateValues" dxfId="0" priority="9"/>
  </conditionalFormatting>
  <pageMargins left="0.7" right="0.7" top="0.78740157499999996" bottom="0.78740157499999996" header="0.3" footer="0.3"/>
  <pageSetup paperSize="9" scale="90" orientation="portrait" horizont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1DBC-2193-47B9-9F8A-29BE4D89CAAA}">
  <dimension ref="A1:J94"/>
  <sheetViews>
    <sheetView showGridLines="0" zoomScaleNormal="100" zoomScaleSheetLayoutView="100" workbookViewId="0">
      <selection activeCell="B7" sqref="B7"/>
    </sheetView>
  </sheetViews>
  <sheetFormatPr baseColWidth="10" defaultColWidth="11.44140625" defaultRowHeight="13.8" x14ac:dyDescent="0.25"/>
  <cols>
    <col min="1" max="1" width="3.5546875" style="1153" customWidth="1"/>
    <col min="2" max="2" width="29.6640625" style="1153" customWidth="1"/>
    <col min="3" max="3" width="33.44140625" style="1153" customWidth="1"/>
    <col min="4" max="4" width="12.6640625" style="1153" customWidth="1"/>
    <col min="5" max="5" width="8.6640625" style="1153" customWidth="1"/>
    <col min="6" max="6" width="7.33203125" style="1153" customWidth="1"/>
    <col min="7" max="7" width="9.33203125" style="1153" customWidth="1"/>
    <col min="8" max="8" width="7.6640625" style="1153" customWidth="1"/>
    <col min="9" max="9" width="8.33203125" style="1153" customWidth="1"/>
    <col min="10" max="10" width="6.6640625" style="1153" customWidth="1"/>
    <col min="11" max="11" width="1.44140625" style="1153" customWidth="1"/>
    <col min="12" max="16384" width="11.44140625" style="1153"/>
  </cols>
  <sheetData>
    <row r="1" spans="1:10" ht="21.75" customHeight="1" x14ac:dyDescent="0.4">
      <c r="B1" s="1723" t="str">
        <f>CONCATENATE("Abgabeliste ",'Nährstoffe und Lagerraum'!D5)</f>
        <v>Abgabeliste 2022</v>
      </c>
      <c r="C1" s="1723"/>
      <c r="D1" s="1723"/>
      <c r="E1" s="1723"/>
      <c r="F1" s="1723"/>
      <c r="G1" s="1723"/>
      <c r="H1" s="1723"/>
      <c r="I1" s="1723"/>
      <c r="J1" s="1723"/>
    </row>
    <row r="2" spans="1:10" ht="9.6" customHeight="1" x14ac:dyDescent="0.25"/>
    <row r="3" spans="1:10" ht="30" customHeight="1" x14ac:dyDescent="0.4">
      <c r="A3" s="1722" t="s">
        <v>7939</v>
      </c>
      <c r="B3" s="1722"/>
      <c r="C3" s="1722"/>
      <c r="D3" s="1722"/>
      <c r="E3" s="1722"/>
      <c r="F3" s="1722"/>
      <c r="G3" s="1722"/>
      <c r="H3" s="1175"/>
      <c r="I3" s="1175"/>
      <c r="J3" s="1175"/>
    </row>
    <row r="4" spans="1:10" ht="36" customHeight="1" x14ac:dyDescent="0.4">
      <c r="A4" s="1717"/>
      <c r="B4" s="1720" t="s">
        <v>7938</v>
      </c>
      <c r="C4" s="1720" t="s">
        <v>7937</v>
      </c>
      <c r="D4" s="1720" t="s">
        <v>7936</v>
      </c>
      <c r="E4" s="1720" t="s">
        <v>7935</v>
      </c>
      <c r="F4" s="1720" t="s">
        <v>331</v>
      </c>
      <c r="G4" s="1714" t="s">
        <v>7934</v>
      </c>
      <c r="H4" s="1162" t="s">
        <v>4</v>
      </c>
      <c r="I4" s="1162" t="s">
        <v>7941</v>
      </c>
      <c r="J4" s="1162" t="s">
        <v>7942</v>
      </c>
    </row>
    <row r="5" spans="1:10" ht="15" x14ac:dyDescent="0.25">
      <c r="A5" s="1718"/>
      <c r="B5" s="1721"/>
      <c r="C5" s="1721"/>
      <c r="D5" s="1721"/>
      <c r="E5" s="1721"/>
      <c r="F5" s="1721"/>
      <c r="G5" s="1715"/>
      <c r="H5" s="1716" t="s">
        <v>7933</v>
      </c>
      <c r="I5" s="1716"/>
      <c r="J5" s="1716"/>
    </row>
    <row r="6" spans="1:10" ht="15.6" thickBot="1" x14ac:dyDescent="0.3">
      <c r="A6" s="1161"/>
      <c r="B6" s="1154" t="s">
        <v>7940</v>
      </c>
      <c r="C6" s="1155"/>
      <c r="D6" s="1156"/>
      <c r="E6" s="1157">
        <f>SUM(E7:E60)</f>
        <v>0</v>
      </c>
      <c r="F6" s="1157" t="str">
        <f>IF($E6=0,"",SUMPRODUCT(F7:F60,$E7:$E60)/$E6)</f>
        <v/>
      </c>
      <c r="G6" s="1158"/>
      <c r="H6" s="1157" t="str">
        <f>IF($E6=0,"",SUMPRODUCT(H7:H60,$E7:$E60)/$E6)</f>
        <v/>
      </c>
      <c r="I6" s="1157" t="str">
        <f>IF($E6=0,"",SUMPRODUCT(I7:I60,$E7:$E60)/$E6)</f>
        <v/>
      </c>
      <c r="J6" s="1157" t="str">
        <f>IF($E6=0,"",SUMPRODUCT(J7:J60,$E7:$E60)/$E6)</f>
        <v/>
      </c>
    </row>
    <row r="7" spans="1:10" ht="14.4" thickTop="1" x14ac:dyDescent="0.25">
      <c r="A7" s="1159">
        <v>1</v>
      </c>
      <c r="B7" s="1163"/>
      <c r="C7" s="1163"/>
      <c r="D7" s="1164"/>
      <c r="E7" s="1164"/>
      <c r="F7" s="1164"/>
      <c r="G7" s="1165"/>
      <c r="H7" s="1164"/>
      <c r="I7" s="1164"/>
      <c r="J7" s="1164"/>
    </row>
    <row r="8" spans="1:10" x14ac:dyDescent="0.25">
      <c r="A8" s="1160">
        <v>2</v>
      </c>
      <c r="B8" s="1166"/>
      <c r="C8" s="1166"/>
      <c r="D8" s="1167"/>
      <c r="E8" s="1167"/>
      <c r="F8" s="1167"/>
      <c r="G8" s="1167"/>
      <c r="H8" s="1167"/>
      <c r="I8" s="1167"/>
      <c r="J8" s="1167"/>
    </row>
    <row r="9" spans="1:10" x14ac:dyDescent="0.25">
      <c r="A9" s="1160">
        <v>3</v>
      </c>
      <c r="B9" s="1166"/>
      <c r="C9" s="1166"/>
      <c r="D9" s="1167"/>
      <c r="E9" s="1167"/>
      <c r="F9" s="1167"/>
      <c r="G9" s="1167"/>
      <c r="H9" s="1167"/>
      <c r="I9" s="1167"/>
      <c r="J9" s="1167"/>
    </row>
    <row r="10" spans="1:10" x14ac:dyDescent="0.25">
      <c r="A10" s="1160">
        <v>4</v>
      </c>
      <c r="B10" s="1166"/>
      <c r="C10" s="1166"/>
      <c r="D10" s="1167"/>
      <c r="E10" s="1167"/>
      <c r="F10" s="1167"/>
      <c r="G10" s="1167"/>
      <c r="H10" s="1167"/>
      <c r="I10" s="1167"/>
      <c r="J10" s="1167"/>
    </row>
    <row r="11" spans="1:10" x14ac:dyDescent="0.25">
      <c r="A11" s="1160">
        <v>5</v>
      </c>
      <c r="B11" s="1166"/>
      <c r="C11" s="1166"/>
      <c r="D11" s="1167"/>
      <c r="E11" s="1167"/>
      <c r="F11" s="1167"/>
      <c r="G11" s="1167"/>
      <c r="H11" s="1167"/>
      <c r="I11" s="1167"/>
      <c r="J11" s="1167"/>
    </row>
    <row r="12" spans="1:10" x14ac:dyDescent="0.25">
      <c r="A12" s="1160">
        <v>6</v>
      </c>
      <c r="B12" s="1166"/>
      <c r="C12" s="1166"/>
      <c r="D12" s="1167"/>
      <c r="E12" s="1167"/>
      <c r="F12" s="1167"/>
      <c r="G12" s="1167"/>
      <c r="H12" s="1167"/>
      <c r="I12" s="1167"/>
      <c r="J12" s="1167"/>
    </row>
    <row r="13" spans="1:10" x14ac:dyDescent="0.25">
      <c r="A13" s="1160">
        <v>7</v>
      </c>
      <c r="B13" s="1166"/>
      <c r="C13" s="1166"/>
      <c r="D13" s="1167"/>
      <c r="E13" s="1167"/>
      <c r="F13" s="1167"/>
      <c r="G13" s="1167"/>
      <c r="H13" s="1167"/>
      <c r="I13" s="1167"/>
      <c r="J13" s="1167"/>
    </row>
    <row r="14" spans="1:10" x14ac:dyDescent="0.25">
      <c r="A14" s="1160">
        <v>8</v>
      </c>
      <c r="B14" s="1166"/>
      <c r="C14" s="1166"/>
      <c r="D14" s="1167"/>
      <c r="E14" s="1167"/>
      <c r="F14" s="1167"/>
      <c r="G14" s="1167"/>
      <c r="H14" s="1167"/>
      <c r="I14" s="1167"/>
      <c r="J14" s="1167"/>
    </row>
    <row r="15" spans="1:10" x14ac:dyDescent="0.25">
      <c r="A15" s="1160">
        <v>9</v>
      </c>
      <c r="B15" s="1166"/>
      <c r="C15" s="1166"/>
      <c r="D15" s="1167"/>
      <c r="E15" s="1167"/>
      <c r="F15" s="1167"/>
      <c r="G15" s="1167"/>
      <c r="H15" s="1167"/>
      <c r="I15" s="1167"/>
      <c r="J15" s="1167"/>
    </row>
    <row r="16" spans="1:10" x14ac:dyDescent="0.25">
      <c r="A16" s="1160">
        <v>10</v>
      </c>
      <c r="B16" s="1166"/>
      <c r="C16" s="1166"/>
      <c r="D16" s="1167"/>
      <c r="E16" s="1167"/>
      <c r="F16" s="1167"/>
      <c r="G16" s="1167"/>
      <c r="H16" s="1167"/>
      <c r="I16" s="1167"/>
      <c r="J16" s="1167"/>
    </row>
    <row r="17" spans="1:10" x14ac:dyDescent="0.25">
      <c r="A17" s="1160">
        <v>11</v>
      </c>
      <c r="B17" s="1166"/>
      <c r="C17" s="1166"/>
      <c r="D17" s="1167"/>
      <c r="E17" s="1167"/>
      <c r="F17" s="1167"/>
      <c r="G17" s="1167"/>
      <c r="H17" s="1167"/>
      <c r="I17" s="1167"/>
      <c r="J17" s="1167"/>
    </row>
    <row r="18" spans="1:10" x14ac:dyDescent="0.25">
      <c r="A18" s="1160">
        <v>12</v>
      </c>
      <c r="B18" s="1166"/>
      <c r="C18" s="1166"/>
      <c r="D18" s="1167"/>
      <c r="E18" s="1167"/>
      <c r="F18" s="1167"/>
      <c r="G18" s="1167"/>
      <c r="H18" s="1167"/>
      <c r="I18" s="1167"/>
      <c r="J18" s="1167"/>
    </row>
    <row r="19" spans="1:10" x14ac:dyDescent="0.25">
      <c r="A19" s="1160">
        <v>13</v>
      </c>
      <c r="B19" s="1166"/>
      <c r="C19" s="1166"/>
      <c r="D19" s="1167"/>
      <c r="E19" s="1167"/>
      <c r="F19" s="1167"/>
      <c r="G19" s="1167"/>
      <c r="H19" s="1167"/>
      <c r="I19" s="1167"/>
      <c r="J19" s="1167"/>
    </row>
    <row r="20" spans="1:10" x14ac:dyDescent="0.25">
      <c r="A20" s="1160">
        <v>14</v>
      </c>
      <c r="B20" s="1166"/>
      <c r="C20" s="1166"/>
      <c r="D20" s="1167"/>
      <c r="E20" s="1167"/>
      <c r="F20" s="1167"/>
      <c r="G20" s="1167"/>
      <c r="H20" s="1167"/>
      <c r="I20" s="1167"/>
      <c r="J20" s="1167"/>
    </row>
    <row r="21" spans="1:10" x14ac:dyDescent="0.25">
      <c r="A21" s="1160">
        <v>15</v>
      </c>
      <c r="B21" s="1166"/>
      <c r="C21" s="1166"/>
      <c r="D21" s="1167"/>
      <c r="E21" s="1167"/>
      <c r="F21" s="1167"/>
      <c r="G21" s="1167"/>
      <c r="H21" s="1167"/>
      <c r="I21" s="1167"/>
      <c r="J21" s="1167"/>
    </row>
    <row r="22" spans="1:10" x14ac:dyDescent="0.25">
      <c r="A22" s="1160">
        <v>16</v>
      </c>
      <c r="B22" s="1166"/>
      <c r="C22" s="1166"/>
      <c r="D22" s="1167"/>
      <c r="E22" s="1167"/>
      <c r="F22" s="1167"/>
      <c r="G22" s="1167"/>
      <c r="H22" s="1167"/>
      <c r="I22" s="1167"/>
      <c r="J22" s="1167"/>
    </row>
    <row r="23" spans="1:10" x14ac:dyDescent="0.25">
      <c r="A23" s="1160">
        <v>17</v>
      </c>
      <c r="B23" s="1166"/>
      <c r="C23" s="1166"/>
      <c r="D23" s="1167"/>
      <c r="E23" s="1167"/>
      <c r="F23" s="1167"/>
      <c r="G23" s="1167"/>
      <c r="H23" s="1167"/>
      <c r="I23" s="1167"/>
      <c r="J23" s="1167"/>
    </row>
    <row r="24" spans="1:10" x14ac:dyDescent="0.25">
      <c r="A24" s="1160">
        <v>18</v>
      </c>
      <c r="B24" s="1166"/>
      <c r="C24" s="1166"/>
      <c r="D24" s="1167"/>
      <c r="E24" s="1167"/>
      <c r="F24" s="1167"/>
      <c r="G24" s="1167"/>
      <c r="H24" s="1167"/>
      <c r="I24" s="1167"/>
      <c r="J24" s="1167"/>
    </row>
    <row r="25" spans="1:10" x14ac:dyDescent="0.25">
      <c r="A25" s="1160">
        <v>19</v>
      </c>
      <c r="B25" s="1166"/>
      <c r="C25" s="1166"/>
      <c r="D25" s="1167"/>
      <c r="E25" s="1167"/>
      <c r="F25" s="1167"/>
      <c r="G25" s="1167"/>
      <c r="H25" s="1167"/>
      <c r="I25" s="1167"/>
      <c r="J25" s="1167"/>
    </row>
    <row r="26" spans="1:10" x14ac:dyDescent="0.25">
      <c r="A26" s="1160">
        <v>20</v>
      </c>
      <c r="B26" s="1166"/>
      <c r="C26" s="1166"/>
      <c r="D26" s="1167"/>
      <c r="E26" s="1167"/>
      <c r="F26" s="1167"/>
      <c r="G26" s="1167"/>
      <c r="H26" s="1167"/>
      <c r="I26" s="1167"/>
      <c r="J26" s="1167"/>
    </row>
    <row r="27" spans="1:10" x14ac:dyDescent="0.25">
      <c r="A27" s="1160">
        <v>21</v>
      </c>
      <c r="B27" s="1166"/>
      <c r="C27" s="1166"/>
      <c r="D27" s="1167"/>
      <c r="E27" s="1167"/>
      <c r="F27" s="1167"/>
      <c r="G27" s="1167"/>
      <c r="H27" s="1167"/>
      <c r="I27" s="1167"/>
      <c r="J27" s="1167"/>
    </row>
    <row r="28" spans="1:10" x14ac:dyDescent="0.25">
      <c r="A28" s="1160">
        <v>22</v>
      </c>
      <c r="B28" s="1166"/>
      <c r="C28" s="1166"/>
      <c r="D28" s="1167"/>
      <c r="E28" s="1167"/>
      <c r="F28" s="1167"/>
      <c r="G28" s="1167"/>
      <c r="H28" s="1167"/>
      <c r="I28" s="1167"/>
      <c r="J28" s="1167"/>
    </row>
    <row r="29" spans="1:10" x14ac:dyDescent="0.25">
      <c r="A29" s="1160">
        <v>23</v>
      </c>
      <c r="B29" s="1166"/>
      <c r="C29" s="1166"/>
      <c r="D29" s="1167"/>
      <c r="E29" s="1167"/>
      <c r="F29" s="1167"/>
      <c r="G29" s="1167"/>
      <c r="H29" s="1167"/>
      <c r="I29" s="1167"/>
      <c r="J29" s="1167"/>
    </row>
    <row r="30" spans="1:10" x14ac:dyDescent="0.25">
      <c r="A30" s="1160">
        <v>24</v>
      </c>
      <c r="B30" s="1166"/>
      <c r="C30" s="1166"/>
      <c r="D30" s="1167"/>
      <c r="E30" s="1167"/>
      <c r="F30" s="1167"/>
      <c r="G30" s="1167"/>
      <c r="H30" s="1167"/>
      <c r="I30" s="1167"/>
      <c r="J30" s="1167"/>
    </row>
    <row r="31" spans="1:10" x14ac:dyDescent="0.25">
      <c r="A31" s="1160">
        <v>25</v>
      </c>
      <c r="B31" s="1166"/>
      <c r="C31" s="1166"/>
      <c r="D31" s="1167"/>
      <c r="E31" s="1167"/>
      <c r="F31" s="1167"/>
      <c r="G31" s="1167"/>
      <c r="H31" s="1167"/>
      <c r="I31" s="1167"/>
      <c r="J31" s="1167"/>
    </row>
    <row r="32" spans="1:10" x14ac:dyDescent="0.25">
      <c r="A32" s="1160">
        <v>26</v>
      </c>
      <c r="B32" s="1166"/>
      <c r="C32" s="1166"/>
      <c r="D32" s="1167"/>
      <c r="E32" s="1167"/>
      <c r="F32" s="1167"/>
      <c r="G32" s="1167"/>
      <c r="H32" s="1167"/>
      <c r="I32" s="1167"/>
      <c r="J32" s="1167"/>
    </row>
    <row r="33" spans="1:10" x14ac:dyDescent="0.25">
      <c r="A33" s="1160">
        <v>27</v>
      </c>
      <c r="B33" s="1166"/>
      <c r="C33" s="1166"/>
      <c r="D33" s="1167"/>
      <c r="E33" s="1167"/>
      <c r="F33" s="1167"/>
      <c r="G33" s="1167"/>
      <c r="H33" s="1167"/>
      <c r="I33" s="1167"/>
      <c r="J33" s="1167"/>
    </row>
    <row r="34" spans="1:10" x14ac:dyDescent="0.25">
      <c r="A34" s="1160">
        <v>28</v>
      </c>
      <c r="B34" s="1166"/>
      <c r="C34" s="1166"/>
      <c r="D34" s="1167"/>
      <c r="E34" s="1167"/>
      <c r="F34" s="1167"/>
      <c r="G34" s="1167"/>
      <c r="H34" s="1167"/>
      <c r="I34" s="1167"/>
      <c r="J34" s="1167"/>
    </row>
    <row r="35" spans="1:10" x14ac:dyDescent="0.25">
      <c r="A35" s="1160">
        <v>29</v>
      </c>
      <c r="B35" s="1166"/>
      <c r="C35" s="1166"/>
      <c r="D35" s="1167"/>
      <c r="E35" s="1167"/>
      <c r="F35" s="1167"/>
      <c r="G35" s="1167"/>
      <c r="H35" s="1167"/>
      <c r="I35" s="1167"/>
      <c r="J35" s="1167"/>
    </row>
    <row r="36" spans="1:10" x14ac:dyDescent="0.25">
      <c r="A36" s="1160">
        <v>30</v>
      </c>
      <c r="B36" s="1166"/>
      <c r="C36" s="1166"/>
      <c r="D36" s="1167"/>
      <c r="E36" s="1167"/>
      <c r="F36" s="1167"/>
      <c r="G36" s="1167"/>
      <c r="H36" s="1167"/>
      <c r="I36" s="1167"/>
      <c r="J36" s="1167"/>
    </row>
    <row r="37" spans="1:10" x14ac:dyDescent="0.25">
      <c r="A37" s="1160">
        <v>31</v>
      </c>
      <c r="B37" s="1166"/>
      <c r="C37" s="1166"/>
      <c r="D37" s="1167"/>
      <c r="E37" s="1167"/>
      <c r="F37" s="1167"/>
      <c r="G37" s="1167"/>
      <c r="H37" s="1167"/>
      <c r="I37" s="1167"/>
      <c r="J37" s="1167"/>
    </row>
    <row r="38" spans="1:10" x14ac:dyDescent="0.25">
      <c r="A38" s="1160">
        <v>32</v>
      </c>
      <c r="B38" s="1166"/>
      <c r="C38" s="1166"/>
      <c r="D38" s="1167"/>
      <c r="E38" s="1167"/>
      <c r="F38" s="1167"/>
      <c r="G38" s="1167"/>
      <c r="H38" s="1167"/>
      <c r="I38" s="1167"/>
      <c r="J38" s="1167"/>
    </row>
    <row r="39" spans="1:10" x14ac:dyDescent="0.25">
      <c r="A39" s="1160">
        <v>33</v>
      </c>
      <c r="B39" s="1166"/>
      <c r="C39" s="1166"/>
      <c r="D39" s="1167"/>
      <c r="E39" s="1167"/>
      <c r="F39" s="1167"/>
      <c r="G39" s="1167"/>
      <c r="H39" s="1167"/>
      <c r="I39" s="1167"/>
      <c r="J39" s="1167"/>
    </row>
    <row r="40" spans="1:10" x14ac:dyDescent="0.25">
      <c r="A40" s="1160">
        <v>34</v>
      </c>
      <c r="B40" s="1166"/>
      <c r="C40" s="1166"/>
      <c r="D40" s="1167"/>
      <c r="E40" s="1167"/>
      <c r="F40" s="1167"/>
      <c r="G40" s="1167"/>
      <c r="H40" s="1167"/>
      <c r="I40" s="1167"/>
      <c r="J40" s="1167"/>
    </row>
    <row r="41" spans="1:10" x14ac:dyDescent="0.25">
      <c r="A41" s="1160">
        <v>35</v>
      </c>
      <c r="B41" s="1166"/>
      <c r="C41" s="1166"/>
      <c r="D41" s="1167"/>
      <c r="E41" s="1167"/>
      <c r="F41" s="1167"/>
      <c r="G41" s="1167"/>
      <c r="H41" s="1167"/>
      <c r="I41" s="1167"/>
      <c r="J41" s="1167"/>
    </row>
    <row r="42" spans="1:10" x14ac:dyDescent="0.25">
      <c r="A42" s="1160">
        <v>36</v>
      </c>
      <c r="B42" s="1166"/>
      <c r="C42" s="1166"/>
      <c r="D42" s="1167"/>
      <c r="E42" s="1167"/>
      <c r="F42" s="1167"/>
      <c r="G42" s="1167"/>
      <c r="H42" s="1167"/>
      <c r="I42" s="1167"/>
      <c r="J42" s="1167"/>
    </row>
    <row r="43" spans="1:10" x14ac:dyDescent="0.25">
      <c r="A43" s="1160">
        <v>37</v>
      </c>
      <c r="B43" s="1166"/>
      <c r="C43" s="1166"/>
      <c r="D43" s="1167"/>
      <c r="E43" s="1167"/>
      <c r="F43" s="1167"/>
      <c r="G43" s="1167"/>
      <c r="H43" s="1167"/>
      <c r="I43" s="1167"/>
      <c r="J43" s="1167"/>
    </row>
    <row r="44" spans="1:10" x14ac:dyDescent="0.25">
      <c r="A44" s="1160">
        <v>38</v>
      </c>
      <c r="B44" s="1166"/>
      <c r="C44" s="1166"/>
      <c r="D44" s="1167"/>
      <c r="E44" s="1167"/>
      <c r="F44" s="1167"/>
      <c r="G44" s="1167"/>
      <c r="H44" s="1167"/>
      <c r="I44" s="1167"/>
      <c r="J44" s="1167"/>
    </row>
    <row r="45" spans="1:10" x14ac:dyDescent="0.25">
      <c r="A45" s="1160">
        <v>39</v>
      </c>
      <c r="B45" s="1166"/>
      <c r="C45" s="1166"/>
      <c r="D45" s="1167"/>
      <c r="E45" s="1167"/>
      <c r="F45" s="1167"/>
      <c r="G45" s="1167"/>
      <c r="H45" s="1167"/>
      <c r="I45" s="1167"/>
      <c r="J45" s="1167"/>
    </row>
    <row r="46" spans="1:10" x14ac:dyDescent="0.25">
      <c r="A46" s="1160">
        <v>40</v>
      </c>
      <c r="B46" s="1166"/>
      <c r="C46" s="1166"/>
      <c r="D46" s="1167"/>
      <c r="E46" s="1167"/>
      <c r="F46" s="1167"/>
      <c r="G46" s="1167"/>
      <c r="H46" s="1167"/>
      <c r="I46" s="1167"/>
      <c r="J46" s="1167"/>
    </row>
    <row r="47" spans="1:10" x14ac:dyDescent="0.25">
      <c r="A47" s="1160">
        <v>41</v>
      </c>
      <c r="B47" s="1166"/>
      <c r="C47" s="1166"/>
      <c r="D47" s="1167"/>
      <c r="E47" s="1167"/>
      <c r="F47" s="1167"/>
      <c r="G47" s="1167"/>
      <c r="H47" s="1167"/>
      <c r="I47" s="1167"/>
      <c r="J47" s="1167"/>
    </row>
    <row r="48" spans="1:10" x14ac:dyDescent="0.25">
      <c r="A48" s="1160">
        <v>42</v>
      </c>
      <c r="B48" s="1166"/>
      <c r="C48" s="1166"/>
      <c r="D48" s="1167"/>
      <c r="E48" s="1167"/>
      <c r="F48" s="1167"/>
      <c r="G48" s="1167"/>
      <c r="H48" s="1167"/>
      <c r="I48" s="1167"/>
      <c r="J48" s="1167"/>
    </row>
    <row r="49" spans="1:10" x14ac:dyDescent="0.25">
      <c r="A49" s="1160">
        <v>43</v>
      </c>
      <c r="B49" s="1166"/>
      <c r="C49" s="1166"/>
      <c r="D49" s="1167"/>
      <c r="E49" s="1167"/>
      <c r="F49" s="1167"/>
      <c r="G49" s="1167"/>
      <c r="H49" s="1167"/>
      <c r="I49" s="1167"/>
      <c r="J49" s="1167"/>
    </row>
    <row r="50" spans="1:10" x14ac:dyDescent="0.25">
      <c r="A50" s="1160">
        <v>44</v>
      </c>
      <c r="B50" s="1166"/>
      <c r="C50" s="1166"/>
      <c r="D50" s="1167"/>
      <c r="E50" s="1167"/>
      <c r="F50" s="1167"/>
      <c r="G50" s="1167"/>
      <c r="H50" s="1167"/>
      <c r="I50" s="1167"/>
      <c r="J50" s="1167"/>
    </row>
    <row r="51" spans="1:10" x14ac:dyDescent="0.25">
      <c r="A51" s="1160">
        <v>45</v>
      </c>
      <c r="B51" s="1166"/>
      <c r="C51" s="1166"/>
      <c r="D51" s="1167"/>
      <c r="E51" s="1167"/>
      <c r="F51" s="1167"/>
      <c r="G51" s="1167"/>
      <c r="H51" s="1167"/>
      <c r="I51" s="1167"/>
      <c r="J51" s="1167"/>
    </row>
    <row r="52" spans="1:10" x14ac:dyDescent="0.25">
      <c r="A52" s="1160">
        <v>46</v>
      </c>
      <c r="B52" s="1166"/>
      <c r="C52" s="1166"/>
      <c r="D52" s="1167"/>
      <c r="E52" s="1167"/>
      <c r="F52" s="1167"/>
      <c r="G52" s="1167"/>
      <c r="H52" s="1167"/>
      <c r="I52" s="1167"/>
      <c r="J52" s="1167"/>
    </row>
    <row r="53" spans="1:10" x14ac:dyDescent="0.25">
      <c r="A53" s="1160">
        <v>47</v>
      </c>
      <c r="B53" s="1166"/>
      <c r="C53" s="1166"/>
      <c r="D53" s="1167"/>
      <c r="E53" s="1167"/>
      <c r="F53" s="1167"/>
      <c r="G53" s="1167"/>
      <c r="H53" s="1167"/>
      <c r="I53" s="1167"/>
      <c r="J53" s="1167"/>
    </row>
    <row r="54" spans="1:10" x14ac:dyDescent="0.25">
      <c r="A54" s="1160">
        <v>48</v>
      </c>
      <c r="B54" s="1166"/>
      <c r="C54" s="1166"/>
      <c r="D54" s="1167"/>
      <c r="E54" s="1167"/>
      <c r="F54" s="1167"/>
      <c r="G54" s="1167"/>
      <c r="H54" s="1167"/>
      <c r="I54" s="1167"/>
      <c r="J54" s="1167"/>
    </row>
    <row r="55" spans="1:10" x14ac:dyDescent="0.25">
      <c r="A55" s="1160">
        <v>49</v>
      </c>
      <c r="B55" s="1166"/>
      <c r="C55" s="1166"/>
      <c r="D55" s="1167"/>
      <c r="E55" s="1167"/>
      <c r="F55" s="1167"/>
      <c r="G55" s="1167"/>
      <c r="H55" s="1167"/>
      <c r="I55" s="1167"/>
      <c r="J55" s="1167"/>
    </row>
    <row r="56" spans="1:10" x14ac:dyDescent="0.25">
      <c r="A56" s="1160">
        <v>50</v>
      </c>
      <c r="B56" s="1166"/>
      <c r="C56" s="1166"/>
      <c r="D56" s="1167"/>
      <c r="E56" s="1167"/>
      <c r="F56" s="1167"/>
      <c r="G56" s="1167"/>
      <c r="H56" s="1167"/>
      <c r="I56" s="1167"/>
      <c r="J56" s="1167"/>
    </row>
    <row r="57" spans="1:10" x14ac:dyDescent="0.25">
      <c r="A57" s="1160">
        <v>51</v>
      </c>
      <c r="B57" s="1166"/>
      <c r="C57" s="1166"/>
      <c r="D57" s="1167"/>
      <c r="E57" s="1167"/>
      <c r="F57" s="1167"/>
      <c r="G57" s="1167"/>
      <c r="H57" s="1167"/>
      <c r="I57" s="1167"/>
      <c r="J57" s="1167"/>
    </row>
    <row r="58" spans="1:10" x14ac:dyDescent="0.25">
      <c r="A58" s="1160">
        <v>52</v>
      </c>
      <c r="B58" s="1166"/>
      <c r="C58" s="1166"/>
      <c r="D58" s="1167"/>
      <c r="E58" s="1167"/>
      <c r="F58" s="1167"/>
      <c r="G58" s="1167"/>
      <c r="H58" s="1167"/>
      <c r="I58" s="1167"/>
      <c r="J58" s="1167"/>
    </row>
    <row r="59" spans="1:10" x14ac:dyDescent="0.25">
      <c r="A59" s="1160">
        <v>53</v>
      </c>
      <c r="B59" s="1166"/>
      <c r="C59" s="1166"/>
      <c r="D59" s="1167"/>
      <c r="E59" s="1167"/>
      <c r="F59" s="1167"/>
      <c r="G59" s="1167"/>
      <c r="H59" s="1167"/>
      <c r="I59" s="1167"/>
      <c r="J59" s="1167"/>
    </row>
    <row r="60" spans="1:10" x14ac:dyDescent="0.25">
      <c r="A60" s="1160">
        <v>54</v>
      </c>
      <c r="B60" s="1166"/>
      <c r="C60" s="1166"/>
      <c r="D60" s="1167"/>
      <c r="E60" s="1167"/>
      <c r="F60" s="1167"/>
      <c r="G60" s="1167"/>
      <c r="H60" s="1167"/>
      <c r="I60" s="1167"/>
      <c r="J60" s="1167"/>
    </row>
    <row r="61" spans="1:10" customFormat="1" ht="13.2" x14ac:dyDescent="0.25"/>
    <row r="62" spans="1:10" ht="21" x14ac:dyDescent="0.4">
      <c r="A62" s="1719" t="str">
        <f>CONCATENATE("Aufnahmeliste ",'Nährstoffe und Lagerraum'!D5)</f>
        <v>Aufnahmeliste 2022</v>
      </c>
      <c r="B62" s="1719"/>
      <c r="C62" s="1719"/>
      <c r="D62" s="1719"/>
      <c r="E62" s="1719"/>
      <c r="F62" s="1719"/>
      <c r="G62" s="1719"/>
      <c r="H62" s="1719"/>
      <c r="I62" s="1719"/>
      <c r="J62" s="1719"/>
    </row>
    <row r="63" spans="1:10" ht="25.5" customHeight="1" x14ac:dyDescent="0.4">
      <c r="A63" s="1717"/>
      <c r="B63" s="1720" t="s">
        <v>7938</v>
      </c>
      <c r="C63" s="1720" t="s">
        <v>7937</v>
      </c>
      <c r="D63" s="1720" t="s">
        <v>7936</v>
      </c>
      <c r="E63" s="1720" t="s">
        <v>7935</v>
      </c>
      <c r="F63" s="1720" t="s">
        <v>331</v>
      </c>
      <c r="G63" s="1714" t="s">
        <v>7934</v>
      </c>
      <c r="H63" s="1162" t="s">
        <v>4</v>
      </c>
      <c r="I63" s="1162" t="s">
        <v>7941</v>
      </c>
      <c r="J63" s="1162" t="s">
        <v>7942</v>
      </c>
    </row>
    <row r="64" spans="1:10" ht="21" customHeight="1" x14ac:dyDescent="0.25">
      <c r="A64" s="1718"/>
      <c r="B64" s="1721"/>
      <c r="C64" s="1721"/>
      <c r="D64" s="1721"/>
      <c r="E64" s="1721"/>
      <c r="F64" s="1721"/>
      <c r="G64" s="1715"/>
      <c r="H64" s="1716" t="s">
        <v>7933</v>
      </c>
      <c r="I64" s="1716"/>
      <c r="J64" s="1716"/>
    </row>
    <row r="65" spans="1:10" ht="17.25" customHeight="1" thickBot="1" x14ac:dyDescent="0.3">
      <c r="A65" s="1161"/>
      <c r="B65" s="1154" t="s">
        <v>7940</v>
      </c>
      <c r="C65" s="1155"/>
      <c r="D65" s="1156"/>
      <c r="E65" s="1157">
        <f>SUM(E66:E94)</f>
        <v>0</v>
      </c>
      <c r="F65" s="1157" t="str">
        <f>IF($E65=0,"",SUMPRODUCT(F66:F94,$E66:$E94)/$E65)</f>
        <v/>
      </c>
      <c r="G65" s="1158"/>
      <c r="H65" s="1157" t="str">
        <f>IF($E65=0,"",SUMPRODUCT(H66:H94,$E66:$E94)/$E65)</f>
        <v/>
      </c>
      <c r="I65" s="1157" t="str">
        <f>IF($E65=0,"",SUMPRODUCT(I66:I94,$E66:$E94)/$E65)</f>
        <v/>
      </c>
      <c r="J65" s="1157" t="str">
        <f>IF($E65=0,"",SUMPRODUCT(J66:J94,$E66:$E94)/$E65)</f>
        <v/>
      </c>
    </row>
    <row r="66" spans="1:10" ht="14.4" thickTop="1" x14ac:dyDescent="0.25">
      <c r="A66" s="1160">
        <v>1</v>
      </c>
      <c r="B66" s="1170"/>
      <c r="C66" s="1170"/>
      <c r="D66" s="1167"/>
      <c r="E66" s="1167"/>
      <c r="F66" s="1167"/>
      <c r="G66" s="1167"/>
      <c r="H66" s="1167"/>
      <c r="I66" s="1167"/>
      <c r="J66" s="1167"/>
    </row>
    <row r="67" spans="1:10" x14ac:dyDescent="0.25">
      <c r="A67" s="1160">
        <v>2</v>
      </c>
      <c r="B67" s="1170"/>
      <c r="C67" s="1170"/>
      <c r="D67" s="1167"/>
      <c r="E67" s="1167"/>
      <c r="F67" s="1167"/>
      <c r="G67" s="1167"/>
      <c r="H67" s="1167"/>
      <c r="I67" s="1167"/>
      <c r="J67" s="1167"/>
    </row>
    <row r="68" spans="1:10" x14ac:dyDescent="0.25">
      <c r="A68" s="1160">
        <v>3</v>
      </c>
      <c r="B68" s="1170"/>
      <c r="C68" s="1170"/>
      <c r="D68" s="1167"/>
      <c r="E68" s="1167"/>
      <c r="F68" s="1167"/>
      <c r="G68" s="1167"/>
      <c r="H68" s="1167"/>
      <c r="I68" s="1167"/>
      <c r="J68" s="1167"/>
    </row>
    <row r="69" spans="1:10" x14ac:dyDescent="0.25">
      <c r="A69" s="1160">
        <v>4</v>
      </c>
      <c r="B69" s="1170"/>
      <c r="C69" s="1170"/>
      <c r="D69" s="1167"/>
      <c r="E69" s="1167"/>
      <c r="F69" s="1167"/>
      <c r="G69" s="1167"/>
      <c r="H69" s="1167"/>
      <c r="I69" s="1167"/>
      <c r="J69" s="1167"/>
    </row>
    <row r="70" spans="1:10" x14ac:dyDescent="0.25">
      <c r="A70" s="1160">
        <v>5</v>
      </c>
      <c r="B70" s="1170"/>
      <c r="C70" s="1170"/>
      <c r="D70" s="1167"/>
      <c r="E70" s="1167"/>
      <c r="F70" s="1167"/>
      <c r="G70" s="1167"/>
      <c r="H70" s="1167"/>
      <c r="I70" s="1167"/>
      <c r="J70" s="1167"/>
    </row>
    <row r="71" spans="1:10" x14ac:dyDescent="0.25">
      <c r="A71" s="1160">
        <v>6</v>
      </c>
      <c r="B71" s="1170"/>
      <c r="C71" s="1170"/>
      <c r="D71" s="1167"/>
      <c r="E71" s="1167"/>
      <c r="F71" s="1167"/>
      <c r="G71" s="1167"/>
      <c r="H71" s="1167"/>
      <c r="I71" s="1167"/>
      <c r="J71" s="1167"/>
    </row>
    <row r="72" spans="1:10" x14ac:dyDescent="0.25">
      <c r="A72" s="1160">
        <v>7</v>
      </c>
      <c r="B72" s="1170"/>
      <c r="C72" s="1170"/>
      <c r="D72" s="1167"/>
      <c r="E72" s="1167"/>
      <c r="F72" s="1167"/>
      <c r="G72" s="1167"/>
      <c r="H72" s="1167"/>
      <c r="I72" s="1167"/>
      <c r="J72" s="1167"/>
    </row>
    <row r="73" spans="1:10" x14ac:dyDescent="0.25">
      <c r="A73" s="1160">
        <v>8</v>
      </c>
      <c r="B73" s="1170"/>
      <c r="C73" s="1170"/>
      <c r="D73" s="1167"/>
      <c r="E73" s="1167"/>
      <c r="F73" s="1167"/>
      <c r="G73" s="1167"/>
      <c r="H73" s="1167"/>
      <c r="I73" s="1167"/>
      <c r="J73" s="1167"/>
    </row>
    <row r="74" spans="1:10" x14ac:dyDescent="0.25">
      <c r="A74" s="1160">
        <v>9</v>
      </c>
      <c r="B74" s="1170"/>
      <c r="C74" s="1170"/>
      <c r="D74" s="1167"/>
      <c r="E74" s="1167"/>
      <c r="F74" s="1167"/>
      <c r="G74" s="1167"/>
      <c r="H74" s="1167"/>
      <c r="I74" s="1167"/>
      <c r="J74" s="1167"/>
    </row>
    <row r="75" spans="1:10" x14ac:dyDescent="0.25">
      <c r="A75" s="1160">
        <v>10</v>
      </c>
      <c r="B75" s="1170"/>
      <c r="C75" s="1170"/>
      <c r="D75" s="1167"/>
      <c r="E75" s="1167"/>
      <c r="F75" s="1167"/>
      <c r="G75" s="1167"/>
      <c r="H75" s="1167"/>
      <c r="I75" s="1167"/>
      <c r="J75" s="1167"/>
    </row>
    <row r="76" spans="1:10" x14ac:dyDescent="0.25">
      <c r="A76" s="1160">
        <v>11</v>
      </c>
      <c r="B76" s="1170"/>
      <c r="C76" s="1170"/>
      <c r="D76" s="1167"/>
      <c r="E76" s="1167"/>
      <c r="F76" s="1167"/>
      <c r="G76" s="1167"/>
      <c r="H76" s="1167"/>
      <c r="I76" s="1167"/>
      <c r="J76" s="1167"/>
    </row>
    <row r="77" spans="1:10" x14ac:dyDescent="0.25">
      <c r="A77" s="1160">
        <v>12</v>
      </c>
      <c r="B77" s="1170"/>
      <c r="C77" s="1170"/>
      <c r="D77" s="1167"/>
      <c r="E77" s="1167"/>
      <c r="F77" s="1167"/>
      <c r="G77" s="1167"/>
      <c r="H77" s="1167"/>
      <c r="I77" s="1167"/>
      <c r="J77" s="1167"/>
    </row>
    <row r="78" spans="1:10" x14ac:dyDescent="0.25">
      <c r="A78" s="1160">
        <v>13</v>
      </c>
      <c r="B78" s="1170"/>
      <c r="C78" s="1170"/>
      <c r="D78" s="1167"/>
      <c r="E78" s="1167"/>
      <c r="F78" s="1167"/>
      <c r="G78" s="1167"/>
      <c r="H78" s="1167"/>
      <c r="I78" s="1167"/>
      <c r="J78" s="1167"/>
    </row>
    <row r="79" spans="1:10" x14ac:dyDescent="0.25">
      <c r="A79" s="1160">
        <v>14</v>
      </c>
      <c r="B79" s="1170"/>
      <c r="C79" s="1170"/>
      <c r="D79" s="1167"/>
      <c r="E79" s="1167"/>
      <c r="F79" s="1167"/>
      <c r="G79" s="1167"/>
      <c r="H79" s="1167"/>
      <c r="I79" s="1167"/>
      <c r="J79" s="1167"/>
    </row>
    <row r="80" spans="1:10" x14ac:dyDescent="0.25">
      <c r="A80" s="1160">
        <v>15</v>
      </c>
      <c r="B80" s="1170"/>
      <c r="C80" s="1170"/>
      <c r="D80" s="1167"/>
      <c r="E80" s="1167"/>
      <c r="F80" s="1167"/>
      <c r="G80" s="1167"/>
      <c r="H80" s="1167"/>
      <c r="I80" s="1167"/>
      <c r="J80" s="1167"/>
    </row>
    <row r="81" spans="1:10" x14ac:dyDescent="0.25">
      <c r="A81" s="1160">
        <v>16</v>
      </c>
      <c r="B81" s="1170"/>
      <c r="C81" s="1170"/>
      <c r="D81" s="1167"/>
      <c r="E81" s="1167"/>
      <c r="F81" s="1167"/>
      <c r="G81" s="1167"/>
      <c r="H81" s="1167"/>
      <c r="I81" s="1167"/>
      <c r="J81" s="1167"/>
    </row>
    <row r="82" spans="1:10" x14ac:dyDescent="0.25">
      <c r="A82" s="1160">
        <v>17</v>
      </c>
      <c r="B82" s="1170"/>
      <c r="C82" s="1170"/>
      <c r="D82" s="1167"/>
      <c r="E82" s="1167"/>
      <c r="F82" s="1167"/>
      <c r="G82" s="1167"/>
      <c r="H82" s="1167"/>
      <c r="I82" s="1167"/>
      <c r="J82" s="1167"/>
    </row>
    <row r="83" spans="1:10" x14ac:dyDescent="0.25">
      <c r="A83" s="1160">
        <v>18</v>
      </c>
      <c r="B83" s="1170"/>
      <c r="C83" s="1170"/>
      <c r="D83" s="1167"/>
      <c r="E83" s="1167"/>
      <c r="F83" s="1167"/>
      <c r="G83" s="1167"/>
      <c r="H83" s="1167"/>
      <c r="I83" s="1167"/>
      <c r="J83" s="1167"/>
    </row>
    <row r="84" spans="1:10" x14ac:dyDescent="0.25">
      <c r="A84" s="1160">
        <v>19</v>
      </c>
      <c r="B84" s="1170"/>
      <c r="C84" s="1170"/>
      <c r="D84" s="1167"/>
      <c r="E84" s="1167"/>
      <c r="F84" s="1167"/>
      <c r="G84" s="1167"/>
      <c r="H84" s="1167"/>
      <c r="I84" s="1167"/>
      <c r="J84" s="1167"/>
    </row>
    <row r="85" spans="1:10" x14ac:dyDescent="0.25">
      <c r="A85" s="1160">
        <v>20</v>
      </c>
      <c r="B85" s="1170"/>
      <c r="C85" s="1170"/>
      <c r="D85" s="1167"/>
      <c r="E85" s="1167"/>
      <c r="F85" s="1167"/>
      <c r="G85" s="1167"/>
      <c r="H85" s="1167"/>
      <c r="I85" s="1167"/>
      <c r="J85" s="1167"/>
    </row>
    <row r="86" spans="1:10" x14ac:dyDescent="0.25">
      <c r="A86" s="1160">
        <v>21</v>
      </c>
      <c r="B86" s="1170"/>
      <c r="C86" s="1170"/>
      <c r="D86" s="1167"/>
      <c r="E86" s="1167"/>
      <c r="F86" s="1167"/>
      <c r="G86" s="1167"/>
      <c r="H86" s="1167"/>
      <c r="I86" s="1167"/>
      <c r="J86" s="1167"/>
    </row>
    <row r="87" spans="1:10" x14ac:dyDescent="0.25">
      <c r="A87" s="1160">
        <v>22</v>
      </c>
      <c r="B87" s="1170"/>
      <c r="C87" s="1170"/>
      <c r="D87" s="1167"/>
      <c r="E87" s="1167"/>
      <c r="F87" s="1167"/>
      <c r="G87" s="1167"/>
      <c r="H87" s="1167"/>
      <c r="I87" s="1167"/>
      <c r="J87" s="1167"/>
    </row>
    <row r="88" spans="1:10" x14ac:dyDescent="0.25">
      <c r="A88" s="1160">
        <v>23</v>
      </c>
      <c r="B88" s="1170"/>
      <c r="C88" s="1170"/>
      <c r="D88" s="1167"/>
      <c r="E88" s="1167"/>
      <c r="F88" s="1167"/>
      <c r="G88" s="1167"/>
      <c r="H88" s="1167"/>
      <c r="I88" s="1167"/>
      <c r="J88" s="1167"/>
    </row>
    <row r="89" spans="1:10" x14ac:dyDescent="0.25">
      <c r="A89" s="1160">
        <v>24</v>
      </c>
      <c r="B89" s="1170"/>
      <c r="C89" s="1170"/>
      <c r="D89" s="1167"/>
      <c r="E89" s="1167"/>
      <c r="F89" s="1167"/>
      <c r="G89" s="1167"/>
      <c r="H89" s="1167"/>
      <c r="I89" s="1167"/>
      <c r="J89" s="1167"/>
    </row>
    <row r="90" spans="1:10" x14ac:dyDescent="0.25">
      <c r="A90" s="1160">
        <v>25</v>
      </c>
      <c r="B90" s="1170"/>
      <c r="C90" s="1170"/>
      <c r="D90" s="1167"/>
      <c r="E90" s="1167"/>
      <c r="F90" s="1167"/>
      <c r="G90" s="1167"/>
      <c r="H90" s="1167"/>
      <c r="I90" s="1167"/>
      <c r="J90" s="1167"/>
    </row>
    <row r="91" spans="1:10" x14ac:dyDescent="0.25">
      <c r="A91" s="1160">
        <v>26</v>
      </c>
      <c r="B91" s="1170"/>
      <c r="C91" s="1170"/>
      <c r="D91" s="1167"/>
      <c r="E91" s="1167"/>
      <c r="F91" s="1167"/>
      <c r="G91" s="1167"/>
      <c r="H91" s="1167"/>
      <c r="I91" s="1167"/>
      <c r="J91" s="1167"/>
    </row>
    <row r="92" spans="1:10" x14ac:dyDescent="0.25">
      <c r="A92" s="1160">
        <v>27</v>
      </c>
      <c r="B92" s="1170"/>
      <c r="C92" s="1170"/>
      <c r="D92" s="1167"/>
      <c r="E92" s="1167"/>
      <c r="F92" s="1167"/>
      <c r="G92" s="1167"/>
      <c r="H92" s="1167"/>
      <c r="I92" s="1167"/>
      <c r="J92" s="1167"/>
    </row>
    <row r="93" spans="1:10" x14ac:dyDescent="0.25">
      <c r="A93" s="1160">
        <v>28</v>
      </c>
      <c r="B93" s="1170"/>
      <c r="C93" s="1170"/>
      <c r="D93" s="1167"/>
      <c r="E93" s="1167"/>
      <c r="F93" s="1167"/>
      <c r="G93" s="1167"/>
      <c r="H93" s="1167"/>
      <c r="I93" s="1167"/>
      <c r="J93" s="1167"/>
    </row>
    <row r="94" spans="1:10" x14ac:dyDescent="0.25">
      <c r="A94" s="1160">
        <v>29</v>
      </c>
      <c r="B94" s="1170"/>
      <c r="C94" s="1170"/>
      <c r="D94" s="1167"/>
      <c r="E94" s="1167"/>
      <c r="F94" s="1167"/>
      <c r="G94" s="1167"/>
      <c r="H94" s="1167"/>
      <c r="I94" s="1167"/>
      <c r="J94" s="1167"/>
    </row>
  </sheetData>
  <sheetProtection algorithmName="SHA-512" hashValue="wEhX38C5kIQa4qFP3zUmfYJbEfwFDcQZ89LXdxgtHWTNJnWM3YwS1qDrpVko402R4zdMp6Nyv55/SMOUrwxEQg==" saltValue="nUpqPV0/0TG3CYGvRsPg1Q==" spinCount="100000" sheet="1" objects="1" scenarios="1"/>
  <mergeCells count="19">
    <mergeCell ref="A3:G3"/>
    <mergeCell ref="B1:J1"/>
    <mergeCell ref="B4:B5"/>
    <mergeCell ref="C4:C5"/>
    <mergeCell ref="D4:D5"/>
    <mergeCell ref="E4:E5"/>
    <mergeCell ref="F4:F5"/>
    <mergeCell ref="G4:G5"/>
    <mergeCell ref="H5:J5"/>
    <mergeCell ref="G63:G64"/>
    <mergeCell ref="H64:J64"/>
    <mergeCell ref="A4:A5"/>
    <mergeCell ref="A63:A64"/>
    <mergeCell ref="A62:J62"/>
    <mergeCell ref="B63:B64"/>
    <mergeCell ref="C63:C64"/>
    <mergeCell ref="D63:D64"/>
    <mergeCell ref="E63:E64"/>
    <mergeCell ref="F63:F64"/>
  </mergeCells>
  <pageMargins left="0.70866141732283472" right="0.70866141732283472" top="0.78740157480314965" bottom="0.78740157480314965" header="0.31496062992125984" footer="0.31496062992125984"/>
  <pageSetup paperSize="9" orientation="landscape" horizontalDpi="300" r:id="rId1"/>
  <headerFooter>
    <oddFooter>&amp;L© Bayerische Landesanstalt für Landwirtschaft, Agrarökologie - Düngung (Of, Sr, Sp, Ka); Stand: 20.10.2022&amp;RSeite &amp;P von &amp;N, &amp;D, &amp;T Uhr</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Nährstoffe und Lagerraum</vt:lpstr>
      <vt:lpstr>Abweichende Werte</vt:lpstr>
      <vt:lpstr>Schweine_Werte</vt:lpstr>
      <vt:lpstr>abweichende Schweine</vt:lpstr>
      <vt:lpstr>Tiere</vt:lpstr>
      <vt:lpstr>org Dünger</vt:lpstr>
      <vt:lpstr>Stroh</vt:lpstr>
      <vt:lpstr>Erläuterungen</vt:lpstr>
      <vt:lpstr>Notizen</vt:lpstr>
      <vt:lpstr>Niederschläge</vt:lpstr>
      <vt:lpstr>Abgabebeleg</vt:lpstr>
      <vt:lpstr>Gemarkungsniederschläge</vt:lpstr>
      <vt:lpstr>Abgabe-;Aufnahmeliste</vt:lpstr>
      <vt:lpstr>Abgabebeleg!Druckbereich</vt:lpstr>
      <vt:lpstr>'Abweichende Werte'!Druckbereich</vt:lpstr>
      <vt:lpstr>'Nährstoffe und Lagerraum'!Druckbereich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LfL-Lagerraum_Nährstoffanfall2022</dc:title>
  <dc:creator>msbo</dc:creator>
  <cp:lastModifiedBy>Schmücker, Rebekka (LfL)</cp:lastModifiedBy>
  <cp:lastPrinted>2022-10-20T08:50:50Z</cp:lastPrinted>
  <dcterms:created xsi:type="dcterms:W3CDTF">2006-11-22T08:57:22Z</dcterms:created>
  <dcterms:modified xsi:type="dcterms:W3CDTF">2022-10-31T10:22:37Z</dcterms:modified>
</cp:coreProperties>
</file>