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DieseArbeitsmappe"/>
  <mc:AlternateContent xmlns:mc="http://schemas.openxmlformats.org/markup-compatibility/2006">
    <mc:Choice Requires="x15">
      <x15ac:absPath xmlns:x15ac="http://schemas.microsoft.com/office/spreadsheetml/2010/11/ac" url="I:\mam\"/>
    </mc:Choice>
  </mc:AlternateContent>
  <xr:revisionPtr revIDLastSave="0" documentId="8_{CCF190B7-BD7E-40FA-BAFD-526DB4182E1F}" xr6:coauthVersionLast="46" xr6:coauthVersionMax="46" xr10:uidLastSave="{00000000-0000-0000-0000-000000000000}"/>
  <bookViews>
    <workbookView xWindow="2115" yWindow="2115" windowWidth="15375" windowHeight="7875" activeTab="1" xr2:uid="{00000000-000D-0000-FFFF-FFFF00000000}"/>
  </bookViews>
  <sheets>
    <sheet name="Erläuterung" sheetId="9" r:id="rId1"/>
    <sheet name="1. Humuswirkung der Früchte" sheetId="10" r:id="rId2"/>
    <sheet name="2. Zufuhr von org. Material" sheetId="2" r:id="rId3"/>
    <sheet name="3. Ergebnis" sheetId="3" r:id="rId4"/>
  </sheets>
  <definedNames>
    <definedName name="_xlnm.Print_Area" localSheetId="3">'3. Ergebnis'!$A$1:$F$18</definedName>
  </definedNames>
  <calcPr calcId="191029"/>
  <customWorkbookViews>
    <customWorkbookView name="msbp - Persönliche Ansicht" guid="{38621A12-BF95-4C99-9393-5E9BE54F8B73}" mergeInterval="0" personalView="1" maximized="1" windowWidth="1020" windowHeight="588" tabRatio="7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 l="1"/>
  <c r="C3" i="3"/>
  <c r="D14" i="10"/>
  <c r="E14" i="10"/>
  <c r="H27" i="2"/>
  <c r="D49" i="10"/>
  <c r="D48" i="10"/>
  <c r="D47" i="10"/>
  <c r="D16" i="3"/>
  <c r="D17" i="3"/>
  <c r="L2" i="3"/>
  <c r="F6" i="2" s="1"/>
  <c r="M4" i="10"/>
  <c r="N4" i="10" s="1"/>
  <c r="M13" i="10"/>
  <c r="N13" i="10" s="1"/>
  <c r="I14" i="10"/>
  <c r="K14" i="10" s="1"/>
  <c r="D15" i="10"/>
  <c r="E15" i="10"/>
  <c r="I15" i="10"/>
  <c r="K15" i="10" s="1"/>
  <c r="D16" i="10"/>
  <c r="E16" i="10"/>
  <c r="L16" i="10"/>
  <c r="D18" i="10"/>
  <c r="E18" i="10"/>
  <c r="I18" i="10"/>
  <c r="K18" i="10"/>
  <c r="M18" i="10"/>
  <c r="N18" i="10" s="1"/>
  <c r="D19" i="10"/>
  <c r="E19" i="10"/>
  <c r="L19" i="10"/>
  <c r="D20" i="10"/>
  <c r="E20" i="10"/>
  <c r="L20" i="10"/>
  <c r="D22" i="10"/>
  <c r="E22" i="10"/>
  <c r="I22" i="10"/>
  <c r="K22" i="10"/>
  <c r="M22" i="10"/>
  <c r="N22" i="10" s="1"/>
  <c r="D23" i="10"/>
  <c r="E23" i="10"/>
  <c r="L23" i="10"/>
  <c r="I23" i="10"/>
  <c r="K23" i="10" s="1"/>
  <c r="D24" i="10"/>
  <c r="E24" i="10"/>
  <c r="L24" i="10"/>
  <c r="I24" i="10"/>
  <c r="K24" i="10" s="1"/>
  <c r="D25" i="10"/>
  <c r="E25" i="10"/>
  <c r="L25" i="10"/>
  <c r="I25" i="10"/>
  <c r="K25" i="10" s="1"/>
  <c r="D26" i="10"/>
  <c r="E26" i="10"/>
  <c r="L26" i="10"/>
  <c r="I26" i="10"/>
  <c r="K26" i="10" s="1"/>
  <c r="D27" i="10"/>
  <c r="E27" i="10"/>
  <c r="I27" i="10"/>
  <c r="K27" i="10" s="1"/>
  <c r="M27" i="10"/>
  <c r="N29" i="10" s="1"/>
  <c r="D28" i="10"/>
  <c r="E28" i="10"/>
  <c r="L28" i="10"/>
  <c r="I28" i="10"/>
  <c r="K28" i="10" s="1"/>
  <c r="D29" i="10"/>
  <c r="E29" i="10"/>
  <c r="L29" i="10"/>
  <c r="I29" i="10"/>
  <c r="K29" i="10" s="1"/>
  <c r="D30" i="10"/>
  <c r="E30" i="10"/>
  <c r="L30" i="10"/>
  <c r="I30" i="10"/>
  <c r="K30" i="10" s="1"/>
  <c r="D31" i="10"/>
  <c r="E31" i="10"/>
  <c r="L31" i="10"/>
  <c r="D33" i="10"/>
  <c r="E33" i="10"/>
  <c r="I33" i="10"/>
  <c r="K33" i="10" s="1"/>
  <c r="M33" i="10"/>
  <c r="N33" i="10" s="1"/>
  <c r="D34" i="10"/>
  <c r="E34" i="10"/>
  <c r="L34" i="10"/>
  <c r="I34" i="10"/>
  <c r="K34" i="10" s="1"/>
  <c r="D35" i="10"/>
  <c r="E35" i="10"/>
  <c r="L35" i="10"/>
  <c r="I35" i="10"/>
  <c r="K35" i="10" s="1"/>
  <c r="D36" i="10"/>
  <c r="E36" i="10"/>
  <c r="I36" i="10"/>
  <c r="K36" i="10" s="1"/>
  <c r="E38" i="10"/>
  <c r="L38" i="10"/>
  <c r="D41" i="10"/>
  <c r="E41" i="10"/>
  <c r="L41" i="10"/>
  <c r="D42" i="10"/>
  <c r="E42" i="10"/>
  <c r="L42" i="10"/>
  <c r="D43" i="10"/>
  <c r="E43" i="10"/>
  <c r="L43" i="10"/>
  <c r="D44" i="10"/>
  <c r="E44" i="10"/>
  <c r="L44" i="10"/>
  <c r="D45" i="10"/>
  <c r="E45" i="10"/>
  <c r="L45" i="10"/>
  <c r="E47" i="10"/>
  <c r="L47" i="10"/>
  <c r="E48" i="10"/>
  <c r="L48" i="10"/>
  <c r="E49" i="10"/>
  <c r="L49" i="10"/>
  <c r="D52" i="10"/>
  <c r="E52" i="10"/>
  <c r="G52" i="10"/>
  <c r="I52" i="10"/>
  <c r="K52" i="10" s="1"/>
  <c r="M52" i="10"/>
  <c r="N55" i="10" s="1"/>
  <c r="D53" i="10"/>
  <c r="E53" i="10"/>
  <c r="G53" i="10"/>
  <c r="I53" i="10"/>
  <c r="K53" i="10" s="1"/>
  <c r="L53" i="10"/>
  <c r="E54" i="10"/>
  <c r="G54" i="10"/>
  <c r="I54" i="10"/>
  <c r="K54" i="10" s="1"/>
  <c r="L54" i="10"/>
  <c r="D55" i="10"/>
  <c r="E55" i="10"/>
  <c r="G55" i="10"/>
  <c r="I55" i="10"/>
  <c r="K55" i="10" s="1"/>
  <c r="D56" i="10"/>
  <c r="E56" i="10"/>
  <c r="G56" i="10"/>
  <c r="I56" i="10"/>
  <c r="K56" i="10" s="1"/>
  <c r="L56" i="10"/>
  <c r="D57" i="10"/>
  <c r="E57" i="10"/>
  <c r="G57" i="10"/>
  <c r="I57" i="10"/>
  <c r="K57" i="10"/>
  <c r="D58" i="10"/>
  <c r="E58" i="10"/>
  <c r="G58" i="10"/>
  <c r="I58" i="10"/>
  <c r="K58" i="10" s="1"/>
  <c r="E60" i="10"/>
  <c r="L60" i="10"/>
  <c r="E61" i="10"/>
  <c r="L61" i="10"/>
  <c r="E62" i="10"/>
  <c r="L62" i="10"/>
  <c r="E63" i="10"/>
  <c r="L63" i="10"/>
  <c r="C64" i="10"/>
  <c r="M63" i="10" s="1"/>
  <c r="C4" i="3"/>
  <c r="C6" i="3"/>
  <c r="B6" i="3" s="1"/>
  <c r="D15" i="3"/>
  <c r="D18" i="3"/>
  <c r="G22" i="2"/>
  <c r="G21" i="2"/>
  <c r="H21" i="2"/>
  <c r="I19" i="2"/>
  <c r="J19" i="2" s="1"/>
  <c r="I16" i="2"/>
  <c r="J16" i="2" s="1"/>
  <c r="I10" i="2"/>
  <c r="J10" i="2" s="1"/>
  <c r="I7" i="2"/>
  <c r="J7" i="2" s="1"/>
  <c r="I23" i="2"/>
  <c r="I21" i="2"/>
  <c r="N21" i="2"/>
  <c r="H22" i="2"/>
  <c r="H13" i="2"/>
  <c r="G13" i="2"/>
  <c r="G11" i="2"/>
  <c r="H11" i="2"/>
  <c r="G25" i="2"/>
  <c r="H25" i="2"/>
  <c r="G26" i="2"/>
  <c r="H26" i="2"/>
  <c r="R22" i="10"/>
  <c r="R27" i="10"/>
  <c r="G12" i="2"/>
  <c r="H12" i="2"/>
  <c r="G20" i="2"/>
  <c r="G35" i="2"/>
  <c r="R55" i="10"/>
  <c r="G19" i="2"/>
  <c r="H19" i="2"/>
  <c r="R47" i="10"/>
  <c r="R39" i="10"/>
  <c r="R38" i="10"/>
  <c r="R33" i="10"/>
  <c r="J23" i="2"/>
  <c r="R14" i="10"/>
  <c r="G28" i="2"/>
  <c r="G24" i="2"/>
  <c r="G23" i="2"/>
  <c r="G18" i="2"/>
  <c r="G17" i="2"/>
  <c r="H17" i="2"/>
  <c r="G16" i="2"/>
  <c r="H16" i="2"/>
  <c r="G15" i="2"/>
  <c r="G14" i="2"/>
  <c r="H14" i="2"/>
  <c r="G10" i="2"/>
  <c r="H10" i="2"/>
  <c r="G9" i="2"/>
  <c r="G8" i="2"/>
  <c r="H8" i="2"/>
  <c r="G7" i="2"/>
  <c r="H7" i="2"/>
  <c r="H9" i="2"/>
  <c r="H15" i="2"/>
  <c r="H18" i="2"/>
  <c r="H20" i="2"/>
  <c r="H23" i="2"/>
  <c r="H24" i="2"/>
  <c r="H28" i="2"/>
  <c r="N7" i="2"/>
  <c r="N10" i="2"/>
  <c r="N16" i="2"/>
  <c r="N19" i="2"/>
  <c r="N23" i="2"/>
  <c r="R60" i="10"/>
  <c r="R20" i="10"/>
  <c r="R19" i="10"/>
  <c r="R18" i="10"/>
  <c r="R16" i="10"/>
  <c r="R15" i="10"/>
  <c r="L36" i="10"/>
  <c r="L27" i="10"/>
  <c r="L55" i="10"/>
  <c r="L57" i="10"/>
  <c r="L58" i="10"/>
  <c r="L15" i="10"/>
  <c r="L33" i="10"/>
  <c r="L22" i="10"/>
  <c r="A1" i="2"/>
  <c r="L18" i="10"/>
  <c r="L14" i="10"/>
  <c r="L52" i="10"/>
  <c r="N63" i="10"/>
  <c r="H29" i="2" l="1"/>
  <c r="C7" i="3" s="1"/>
  <c r="C5" i="3"/>
  <c r="K64" i="10"/>
  <c r="D8" i="3"/>
  <c r="C9" i="3" s="1"/>
  <c r="E64" i="10"/>
  <c r="L64" i="10"/>
  <c r="C10" i="3" l="1"/>
</calcChain>
</file>

<file path=xl/sharedStrings.xml><?xml version="1.0" encoding="utf-8"?>
<sst xmlns="http://schemas.openxmlformats.org/spreadsheetml/2006/main" count="311" uniqueCount="187">
  <si>
    <t>Kartoffeln</t>
  </si>
  <si>
    <t>Körnerleguminosen</t>
  </si>
  <si>
    <t>je Hauptnutzungsjahr</t>
  </si>
  <si>
    <t>Selbstbegrünung ab Frühjahr des Brachejahrs</t>
  </si>
  <si>
    <t>frisch</t>
  </si>
  <si>
    <t>kompostiert</t>
  </si>
  <si>
    <t>Gülle</t>
  </si>
  <si>
    <t>Geflügel (Kot)</t>
  </si>
  <si>
    <t>Bioabfall</t>
  </si>
  <si>
    <t>nicht verrottet</t>
  </si>
  <si>
    <t>Frischkompost</t>
  </si>
  <si>
    <t>Fertigkompost</t>
  </si>
  <si>
    <t>Klärschlamm</t>
  </si>
  <si>
    <t>Sonstiges</t>
  </si>
  <si>
    <t>Rindenkompost</t>
  </si>
  <si>
    <t>See-, Teichschlamm</t>
  </si>
  <si>
    <t>Summe</t>
  </si>
  <si>
    <t>Braugerste</t>
  </si>
  <si>
    <t>Hafer</t>
  </si>
  <si>
    <t>Körnermais</t>
  </si>
  <si>
    <t>Öllein</t>
  </si>
  <si>
    <t>Sommerfuttergerste</t>
  </si>
  <si>
    <t>Sommerraps</t>
  </si>
  <si>
    <t>Sonnenblumen</t>
  </si>
  <si>
    <t>Wintergerste</t>
  </si>
  <si>
    <t>Winterweizen</t>
  </si>
  <si>
    <t>Winterroggen</t>
  </si>
  <si>
    <t>Wintertriticale</t>
  </si>
  <si>
    <t>Zuckerrüben</t>
  </si>
  <si>
    <t>Silomais</t>
  </si>
  <si>
    <t>dt / ha</t>
  </si>
  <si>
    <t xml:space="preserve">Summe </t>
  </si>
  <si>
    <t>Verhältnis
Rübe : Blatt
Korn : Stroh</t>
  </si>
  <si>
    <t>Mais, Hirse</t>
  </si>
  <si>
    <t>Sudangras</t>
  </si>
  <si>
    <t>-</t>
  </si>
  <si>
    <t>Spalte</t>
  </si>
  <si>
    <t>Anfall an 
Stroh, Rü-benblatt,
Gründüng.</t>
  </si>
  <si>
    <t>Einarbeitung von Stroh, Rübenblatt, Gründüngung</t>
  </si>
  <si>
    <t>Geltungs-bereich</t>
  </si>
  <si>
    <t>feste Fraktion aus separierter Gülle</t>
  </si>
  <si>
    <t>verrottet</t>
  </si>
  <si>
    <t>Trockenmassegehalt</t>
  </si>
  <si>
    <t>%</t>
  </si>
  <si>
    <t>Humusfaktor</t>
  </si>
  <si>
    <t>Hackfrüchte</t>
  </si>
  <si>
    <t>alle Arten</t>
  </si>
  <si>
    <t>Marktabfälle, Grünschnitt</t>
  </si>
  <si>
    <t>von</t>
  </si>
  <si>
    <t>bis</t>
  </si>
  <si>
    <t>Menge des aufgebrachten
org. Materials</t>
  </si>
  <si>
    <t>im aufge-brachten Material</t>
  </si>
  <si>
    <t>Kulturart</t>
  </si>
  <si>
    <t>1. Humuswirkung der angebauten Kulturen und deren Nebenprodukten</t>
  </si>
  <si>
    <t>a</t>
  </si>
  <si>
    <t>b</t>
  </si>
  <si>
    <t>c</t>
  </si>
  <si>
    <t>d</t>
  </si>
  <si>
    <t>e</t>
  </si>
  <si>
    <t>f</t>
  </si>
  <si>
    <t>g</t>
  </si>
  <si>
    <t>i</t>
  </si>
  <si>
    <t>HÄ /dt</t>
  </si>
  <si>
    <t>HÄ / ha</t>
  </si>
  <si>
    <t>h</t>
  </si>
  <si>
    <t>j</t>
  </si>
  <si>
    <t xml:space="preserve">e </t>
  </si>
  <si>
    <t>Berechnung</t>
  </si>
  <si>
    <t>a * b</t>
  </si>
  <si>
    <t>g * h</t>
  </si>
  <si>
    <t>c + i</t>
  </si>
  <si>
    <t>d * e * f</t>
  </si>
  <si>
    <t>Humuswirkung 
durch den Anbau</t>
  </si>
  <si>
    <t>Humuswirkung 
der Nebenprodukte</t>
  </si>
  <si>
    <t xml:space="preserve">b </t>
  </si>
  <si>
    <t xml:space="preserve">
Hinweise</t>
  </si>
  <si>
    <t>HÄ / t</t>
  </si>
  <si>
    <t>HÄ / (ha * Jahr)</t>
  </si>
  <si>
    <t>HÄ/(ha * a)</t>
  </si>
  <si>
    <t xml:space="preserve">
Hinweise</t>
  </si>
  <si>
    <t>Bezeichnung der Bewirtschaftungseinheit</t>
  </si>
  <si>
    <t>Betrachtungszeitraum</t>
  </si>
  <si>
    <t>angebaute Hauptfrüchte</t>
  </si>
  <si>
    <t>Winterraps/-rübsen</t>
  </si>
  <si>
    <t>Futterrüben</t>
  </si>
  <si>
    <t>Brache / GLÖZ-Flächen</t>
  </si>
  <si>
    <t>Zeitraum (Jahr)</t>
  </si>
  <si>
    <t>angebaute Früchte</t>
  </si>
  <si>
    <t>ökologisch bewirtschaftet? 
"ja" - "nein"</t>
  </si>
  <si>
    <t>im Ansaatjahr als Blanksaat im Frühjahr</t>
  </si>
  <si>
    <t>Bezeichnung der Ackerfläche</t>
  </si>
  <si>
    <t>pro FF</t>
  </si>
  <si>
    <t>Bilanz sehr niedrig</t>
  </si>
  <si>
    <t>Bilanz niedrig</t>
  </si>
  <si>
    <t>Bilanz ausgeglichen</t>
  </si>
  <si>
    <t>Bilanz hoch</t>
  </si>
  <si>
    <t>Bilanz sehr hoch</t>
  </si>
  <si>
    <t>Bilanz</t>
  </si>
  <si>
    <t xml:space="preserve">gesamte frucht-spezifische Ver-änderung der Humusvorräte </t>
  </si>
  <si>
    <t>Sommerweizen</t>
  </si>
  <si>
    <t>Getreide</t>
  </si>
  <si>
    <t>Öl- und Faserpflanzen</t>
  </si>
  <si>
    <t>Gärrest</t>
  </si>
  <si>
    <t>Stallmist</t>
  </si>
  <si>
    <t>Selbstbegrünung mindestens ab Herbst des Vorjahres</t>
  </si>
  <si>
    <r>
      <t xml:space="preserve">(2) VDLUFA, 2010: Schlussbericht zum Forschungsvorhaben "Humusbilanzierung landwirtschaftlicher Böden - 
</t>
    </r>
    <r>
      <rPr>
        <sz val="11"/>
        <rFont val="Calibri"/>
        <family val="2"/>
      </rPr>
      <t xml:space="preserve">       </t>
    </r>
    <r>
      <rPr>
        <sz val="12"/>
        <rFont val="Calibri"/>
        <family val="2"/>
      </rPr>
      <t xml:space="preserve">Einflussfaktoren und deren Auswirkungen" </t>
    </r>
  </si>
  <si>
    <t>Blumenkohl, Brokkoli, Chinakohl, Fingerhut, Gurke, Knollensellerie, Kürbis, Porree, Rhabarber, Rotkohl, Stabtomate, Stangensellerie, Weißkohl, Wirsing, Zucchini, Zuckermelone</t>
  </si>
  <si>
    <t>Aubergine, Chicoree (Wurzel), Goldlack, Kamille, Knoblauch, Kohlrübe, Malve, Möhre, Meerrettich, Paprika, Pastinak, Ringelblume, Schöllkraut, Schwarzwurzel, Sonnenhut, Zuckermais</t>
  </si>
  <si>
    <t>kalkstabilisiert</t>
  </si>
  <si>
    <t>unbehandelt, ausgefault</t>
  </si>
  <si>
    <r>
      <t xml:space="preserve"> &gt;  tragen Sie den gemessenen oder geschätzten 
     Trockenmassegehalt (%) und die aufgebrachte 
     Menge der organischen Dünger (t/ha) ein
 &gt;  für flüssige Substrate (bis ca. 15 % TS) können 
     die Mengenangaben auch in m</t>
    </r>
    <r>
      <rPr>
        <b/>
        <vertAlign val="superscript"/>
        <sz val="10"/>
        <rFont val="Calibri"/>
        <family val="2"/>
      </rPr>
      <t>3</t>
    </r>
    <r>
      <rPr>
        <b/>
        <sz val="10"/>
        <rFont val="Calibri"/>
        <family val="2"/>
      </rPr>
      <t xml:space="preserve"> / ha erfolgen </t>
    </r>
  </si>
  <si>
    <t>Dinkel</t>
  </si>
  <si>
    <t>ausgebrachte 
organische Dünger</t>
  </si>
  <si>
    <r>
      <rPr>
        <b/>
        <u/>
        <sz val="8"/>
        <rFont val="Arial"/>
        <family val="2"/>
      </rPr>
      <t>Untersaat:</t>
    </r>
    <r>
      <rPr>
        <b/>
        <sz val="8"/>
        <rFont val="Arial"/>
        <family val="2"/>
      </rPr>
      <t xml:space="preserve"> Alexandrinerklee, Buchweizen, Weidelgras u. ä. </t>
    </r>
  </si>
  <si>
    <r>
      <rPr>
        <b/>
        <u/>
        <sz val="8"/>
        <rFont val="Arial"/>
        <family val="2"/>
      </rPr>
      <t>Stoppelsaat:</t>
    </r>
    <r>
      <rPr>
        <b/>
        <sz val="8"/>
        <rFont val="Arial"/>
        <family val="2"/>
      </rPr>
      <t xml:space="preserve"> Phazelie, Sommerwicken, Inkarnatklee u. ä.</t>
    </r>
  </si>
  <si>
    <r>
      <rPr>
        <b/>
        <u/>
        <sz val="8"/>
        <rFont val="Arial"/>
        <family val="2"/>
      </rPr>
      <t xml:space="preserve">Stoppelsaat: </t>
    </r>
    <r>
      <rPr>
        <b/>
        <sz val="8"/>
        <rFont val="Arial"/>
        <family val="2"/>
      </rPr>
      <t>Erbsen/Sonnenblumen-Gemenge, Senf, Sonnenblumen u. ä.</t>
    </r>
  </si>
  <si>
    <r>
      <rPr>
        <b/>
        <u/>
        <sz val="8"/>
        <rFont val="Arial"/>
        <family val="2"/>
      </rPr>
      <t>Untersaat:</t>
    </r>
    <r>
      <rPr>
        <b/>
        <sz val="8"/>
        <rFont val="Arial"/>
        <family val="2"/>
      </rPr>
      <t xml:space="preserve"> Phazelie, Inkarnatklee, Serradella, Weißklee, Rotklee u. ä.</t>
    </r>
  </si>
  <si>
    <r>
      <rPr>
        <b/>
        <u/>
        <sz val="8"/>
        <rFont val="Arial"/>
        <family val="2"/>
      </rPr>
      <t>Stoppelsaat:</t>
    </r>
    <r>
      <rPr>
        <b/>
        <sz val="8"/>
        <rFont val="Arial"/>
        <family val="2"/>
      </rPr>
      <t xml:space="preserve"> Welsches Weidelgras, Winterraps, -rübsen u. a. Winter-Zwi.Früchte</t>
    </r>
  </si>
  <si>
    <t xml:space="preserve">1)  Doppelnutzung: Winterung mit anschließender Zweitnutzung (z. B. Grünroggen oder Getreide-Ganzpflanzensilage vor Mais oder Sudangras), Ackerfutter im Ansaatjahr (außer bei 
     Frühjahrsblanksaat), Zwischenfrüchte   </t>
  </si>
  <si>
    <t>(bei 10 % TM)</t>
  </si>
  <si>
    <t>damit zugeführte Humusmenge</t>
  </si>
  <si>
    <r>
      <t xml:space="preserve">Anzahl der Jahre mit Doppelnutzungen </t>
    </r>
    <r>
      <rPr>
        <b/>
        <vertAlign val="superscript"/>
        <sz val="9"/>
        <rFont val="Arial"/>
        <family val="2"/>
      </rPr>
      <t>1)</t>
    </r>
  </si>
  <si>
    <r>
      <rPr>
        <b/>
        <u/>
        <sz val="8"/>
        <rFont val="Arial"/>
        <family val="2"/>
      </rPr>
      <t>Stoppelsaat:</t>
    </r>
    <r>
      <rPr>
        <b/>
        <sz val="8"/>
        <rFont val="Arial"/>
        <family val="2"/>
      </rPr>
      <t xml:space="preserve"> Ackerbohnen/Erbsen/Wicken-Gemenge, Alexandrinerklee, Ackerbohnen, Buchweizen, Erbsen, Ölrettich, Sommerraps, -rübsen, 1jähriges Weidelgras u. ä.</t>
    </r>
  </si>
  <si>
    <r>
      <t xml:space="preserve"> &gt;  geben Sie zunächst die Bezeichnung der Fläche und den Zeitraum in Jahren an (z. B. von "2012" bis einschl. "2015", d. h. 4 Jahre)
 &gt;  geben Sie die Anzahl der Doppelnutzungen</t>
    </r>
    <r>
      <rPr>
        <b/>
        <vertAlign val="superscript"/>
        <sz val="8"/>
        <rFont val="Arial"/>
        <family val="2"/>
      </rPr>
      <t>1)</t>
    </r>
    <r>
      <rPr>
        <b/>
        <sz val="8"/>
        <rFont val="Arial"/>
        <family val="2"/>
      </rPr>
      <t xml:space="preserve"> an und ob die Fläche ökologisch bewirtschaftet wird
 &gt;  geben Sie in Spalte a an, wie oft eine Frucht in Ihrer Fruchtfolge angebaut wurde ("0" muss nicht eingetragen werden)
 &gt;  soweit Nebenprodukte (Rübenblatt, Stroh, Gründüngung) auf der Fläche verblieben sind, geben Sie jeweils an, in wie vielen Jahren das Nebenprodukt
     innerhalb einer Fruchtfolge auf dem Feld verblieben ist (Spalte d) und den geschätzten Ertrag des Haupternteprodukts (Spalte e) 
 &gt;  Gemenge werden wie die im Gemenge dominierende Fruchtart behandelt </t>
    </r>
  </si>
  <si>
    <r>
      <t xml:space="preserve">Zwischenfrüchte </t>
    </r>
    <r>
      <rPr>
        <b/>
        <vertAlign val="superscript"/>
        <sz val="9"/>
        <rFont val="Arial"/>
        <family val="2"/>
      </rPr>
      <t>1)</t>
    </r>
  </si>
  <si>
    <r>
      <rPr>
        <b/>
        <u/>
        <sz val="8"/>
        <rFont val="Arial"/>
        <family val="2"/>
      </rPr>
      <t>Stoppelsaat:</t>
    </r>
    <r>
      <rPr>
        <b/>
        <sz val="8"/>
        <rFont val="Arial"/>
        <family val="2"/>
      </rPr>
      <t xml:space="preserve"> Wintergetreide, z.B. Grünroggen (Einarbeiten oder Abfahren bis Ende Ährenschieben)</t>
    </r>
  </si>
  <si>
    <r>
      <t xml:space="preserve">im Ansaatjahr mit Körner-Deckfrucht ("Untersaat") </t>
    </r>
    <r>
      <rPr>
        <b/>
        <vertAlign val="superscript"/>
        <sz val="10"/>
        <rFont val="Arial"/>
        <family val="2"/>
      </rPr>
      <t>1)</t>
    </r>
  </si>
  <si>
    <r>
      <t xml:space="preserve">im Ansaatjahr mit Grünfutter-Deckfrucht </t>
    </r>
    <r>
      <rPr>
        <b/>
        <vertAlign val="superscript"/>
        <sz val="10"/>
        <rFont val="Calibri"/>
        <family val="2"/>
      </rPr>
      <t xml:space="preserve"> </t>
    </r>
    <r>
      <rPr>
        <b/>
        <vertAlign val="superscript"/>
        <sz val="10"/>
        <rFont val="Arial"/>
        <family val="2"/>
      </rPr>
      <t>1)</t>
    </r>
  </si>
  <si>
    <r>
      <t>im Ansaatjahr als Blanksaat im Spätsommer</t>
    </r>
    <r>
      <rPr>
        <b/>
        <vertAlign val="superscript"/>
        <sz val="10"/>
        <rFont val="Arial"/>
        <family val="2"/>
      </rPr>
      <t xml:space="preserve"> 1)</t>
    </r>
  </si>
  <si>
    <r>
      <t xml:space="preserve">Getreide für Ganzpflanzennutzung ab Blühbeginn </t>
    </r>
    <r>
      <rPr>
        <b/>
        <vertAlign val="superscript"/>
        <sz val="10"/>
        <rFont val="Arial"/>
        <family val="2"/>
      </rPr>
      <t>1)</t>
    </r>
  </si>
  <si>
    <t>über 80% Bodendeckung erreicht?     "ja" - "nein"</t>
  </si>
  <si>
    <t>Schwein 1</t>
  </si>
  <si>
    <t>Schwein 2</t>
  </si>
  <si>
    <t>Rind 1</t>
  </si>
  <si>
    <t>Rind 2</t>
  </si>
  <si>
    <t>flüssig, fest, kompostiert 1</t>
  </si>
  <si>
    <t>flüssig, fest, kompostiert 2</t>
  </si>
  <si>
    <t>Kleegras u. ä. 1</t>
  </si>
  <si>
    <t>Kleegras u. ä. 2</t>
  </si>
  <si>
    <t>Ertrag 
Haupternte-produkt
(FM)</t>
  </si>
  <si>
    <t>erwartetes Ertragsniveau im Hauptnutzungsjahr
 &gt; 0,5 t FM/ha? "ja" - "nein"</t>
  </si>
  <si>
    <t>&lt; -200</t>
  </si>
  <si>
    <t>Bewertung</t>
  </si>
  <si>
    <t>Empfehlung</t>
  </si>
  <si>
    <t>Bewertungsgrenzen
HÄ / (ha * Jahr)</t>
  </si>
  <si>
    <t xml:space="preserve">bei standorttypischem oder niedrigerem Humusgehalt: weniger humuszehrende Früchte anbauen und/oder Zufuhr organischer Dünger unter Berücksichtigung des Nährstoffvergleichs erhöhen </t>
  </si>
  <si>
    <t>bei niedrigerem als dem standorttypischen Humusgehalt: weniger humuszehrende Früchte anbauen und/oder Zufuhr organischer Dünger unter Berücksichtigung des Nährstoffvergleichs erhöhen</t>
  </si>
  <si>
    <t>gezielte Begrünung ab Sommer der Brachlegung inkl. des folgenden Jahres mit einer Klee-, Gras- oder Blühmischung</t>
  </si>
  <si>
    <t>gezielte Begrünung ab Frühjahr des Brachejahres mit einer 
Klee-, Gras- oder Blühmischung</t>
  </si>
  <si>
    <r>
      <t xml:space="preserve">Ackerschachtelhalm, Alant, Arzneifenchel, Baldrian, Bergarnika, Bergbohnenkraut, Bibernelle, Brennnessel, ...  </t>
    </r>
    <r>
      <rPr>
        <b/>
        <vertAlign val="superscript"/>
        <sz val="8"/>
        <rFont val="Arial"/>
        <family val="2"/>
      </rPr>
      <t>2)</t>
    </r>
  </si>
  <si>
    <t xml:space="preserve">(1) VDLUFA, April 2014: Standpunkt "Humusbilanzierung" </t>
  </si>
  <si>
    <t>Dr. Robert Beck, Rudolf  Rippel
Bayerische Landesanstalt für Landwirtschaft
Institut für Ökologischen Landbau, Bodenkultur und Ressourcenschutz
Tel.: 08161/71-3705      Fax: 08161/71-3618</t>
  </si>
  <si>
    <t>Klasse</t>
  </si>
  <si>
    <t>A</t>
  </si>
  <si>
    <t>B</t>
  </si>
  <si>
    <t>C</t>
  </si>
  <si>
    <t>D</t>
  </si>
  <si>
    <t>E</t>
  </si>
  <si>
    <t>Bewertungsgrenzen</t>
  </si>
  <si>
    <t>B / konv</t>
  </si>
  <si>
    <t>A / konv</t>
  </si>
  <si>
    <t>A / öko</t>
  </si>
  <si>
    <t xml:space="preserve">weniger humuszehrende Früchte anbauen und/oder Zufuhr organischer Dünger unter Berücksichtigung des Nährstoffvergleichs erhöhen </t>
  </si>
  <si>
    <t>B / öko</t>
  </si>
  <si>
    <t>auf Einhaltung des zulässigen N-Überschusses achten (Düngeverordnung); bei höherem als dem standorttypischen Humusgehalt: Zufuhr von organischer Substanz reduzieren</t>
  </si>
  <si>
    <t>bei höherem als dem standorttypischen Humusgehalt: Zufuhr an organischer Substanz reduzieren</t>
  </si>
  <si>
    <t>Bilanz sehr niedrig: mittelfristig ungünstige Beeinflussung von Bodenfunktionen und Ertragsleistung möglich</t>
  </si>
  <si>
    <t>Bilanz sehr niedrig: ungünstige Beeinflussung von Bodenfunktionen und Ertragsleistung ist zu erwarten</t>
  </si>
  <si>
    <t>Bilanz niedrig: mittelfristig tolerierbar, insbesondere auf humusreichen Standorten</t>
  </si>
  <si>
    <t>Bilanz niedrig: kurzfristig tolerierbar, insbesondere auf humusreichen Standorten</t>
  </si>
  <si>
    <t xml:space="preserve">Bilanz hoch: mittelfristig tolerierbar, insbesondere auf humusarmen Standorten </t>
  </si>
  <si>
    <t xml:space="preserve">Bilanz sehr hoch: erhöhtes Risiko für Stickstoffverluste und verminderte Stickstoffeffizienz </t>
  </si>
  <si>
    <t>Bilanz ausgeglichen: optimale Ertragssicherheit bei geringem Stickstoffverlust</t>
  </si>
  <si>
    <t>empfehlenswert bei standorttypischem Humusgehalt</t>
  </si>
  <si>
    <t>Obst-, Gemüse-, Duft-, Gewürz- und Heilpflanzen</t>
  </si>
  <si>
    <t>2)  ..., Brennnessel, Drachenkopf, Dill, Dost, Eibisch, Eichblattsalat, Eisbergsalat, Endivie, Engelswurz, Erdbeere, Estragon, Faserpflanzen, Feldsalat, Fenchel, Goldrute, Grünerbse, Grünkohl, 
      Hopfen, Johanniskraut, Kohlrabi, Kopfsalat, Kornblume, Kümmel, Lollo, Liebstöckel, Majoran, Mangold, Mutterkraut, Nachtkerze, Ölfrüchte, Petersilie, Pfefferminze, Radicchio, Radies, Rettich, Romana, 
      Rote Rübe, Salbei, Schafgarbe, Schnittlauch, Spinat, Spitzwegerich, Stangenbohne, Tabak, Thymian, Zitronenmelisse, Zwiebel</t>
  </si>
  <si>
    <r>
      <t xml:space="preserve">Ackergras, Futterleguminosen, Bockshorn-, Schabziger-, Steinklee, einschl. Gemenge und Vermehrung </t>
    </r>
    <r>
      <rPr>
        <b/>
        <vertAlign val="superscript"/>
        <sz val="9"/>
        <rFont val="Arial"/>
        <family val="2"/>
      </rPr>
      <t>1)</t>
    </r>
  </si>
  <si>
    <t>Getreidestroh (z.B. zu Erdbeeren)</t>
  </si>
  <si>
    <t>Humusbilanzierung "Schlag/Fruchtfolge"</t>
  </si>
  <si>
    <r>
      <t>Stand: 09</t>
    </r>
    <r>
      <rPr>
        <b/>
        <sz val="12"/>
        <color indexed="10"/>
        <rFont val="Calibri"/>
        <family val="2"/>
      </rPr>
      <t>/2015</t>
    </r>
  </si>
  <si>
    <t xml:space="preserve">Die Methode gilt für konventionell und ökologisch bewirtschaftete Ackerschläge. </t>
  </si>
  <si>
    <t>Die vorliegende Humusbilanz-Methode für die Beratung landwirtschaftlicher Betriebe in Bayern beruht auf der VDLUFA-Methode (1), wobei hier die "Mittleren Werte" für die konventionelle und die "Oberen Werte" für die ökologische Bewirtschaftung Verwendung finden. Daneben gingen u. a. auch die Ergebnisse des Schluss-berichts zum Forschungsvorhaben "Humusbilanzierung landwirtschaftlicher Böden - Einflussfaktoren und deren Auswirkungen" (2) der VDLUFA in das Programm ein.</t>
  </si>
  <si>
    <r>
      <t>Die Bilanz "</t>
    </r>
    <r>
      <rPr>
        <b/>
        <sz val="12"/>
        <rFont val="Calibri"/>
        <family val="2"/>
      </rPr>
      <t>Schlag/Fruchtfolge</t>
    </r>
    <r>
      <rPr>
        <sz val="12"/>
        <rFont val="Calibri"/>
        <family val="2"/>
      </rPr>
      <t>" betrachtet eine ganze Fruchtfolge auf einer einheitlich bewirtschafteten Fläche. Für die Betrachtung aller Ackerflächen eines Betriebs in einem Jahr ist die Bilanz "</t>
    </r>
    <r>
      <rPr>
        <b/>
        <sz val="12"/>
        <rFont val="Calibri"/>
        <family val="2"/>
      </rPr>
      <t>Betrieb/Jahr</t>
    </r>
    <r>
      <rPr>
        <sz val="12"/>
        <rFont val="Calibri"/>
        <family val="2"/>
      </rPr>
      <t xml:space="preserve">" unter gewissen Einschränkungen (siehe dort) geeignet. </t>
    </r>
  </si>
  <si>
    <r>
      <rPr>
        <b/>
        <u/>
        <sz val="12"/>
        <rFont val="Calibri"/>
        <family val="2"/>
      </rPr>
      <t>Anleitung</t>
    </r>
    <r>
      <rPr>
        <u/>
        <sz val="12"/>
        <rFont val="Calibri"/>
        <family val="2"/>
      </rPr>
      <t>:</t>
    </r>
    <r>
      <rPr>
        <sz val="12"/>
        <rFont val="Calibri"/>
        <family val="2"/>
      </rPr>
      <t xml:space="preserve"> 
Diese schlagbezogene Humusbilanz soll stets eine ganze Fruchtfolge erfassen. Sofern keine wiederkehrenden Fruchtfolgen bekannt sind, soll eine schlagbezogene Humusbilanz der letzten 7 bis 10 Jahre erstellt werden. Es wird empfohlen, die Humusbilanz mit einer Humusuntersuchung (alle 6 Jahre) zu kombinieren. Damit ist eine bessere Bewertung des Humushaushalts gewährleistet.
Füllen Sie die weißen Felder der Arbeitsblätter 1 und 2 aus. Die grau hinterlegten Felder müssen Sie nicht beachten, bei Bedarf können Sie damit aber die Berechnung nachvollziehen. Beachten Sie die weiteren Erläuterungen auf den einzelnen Arbeitsblättern.
</t>
    </r>
    <r>
      <rPr>
        <b/>
        <sz val="12"/>
        <rFont val="Calibri"/>
        <family val="2"/>
      </rPr>
      <t>1. Humuswirkung der Früchte</t>
    </r>
    <r>
      <rPr>
        <sz val="12"/>
        <rFont val="Calibri"/>
        <family val="2"/>
      </rPr>
      <t xml:space="preserve">: Die Humusfaktoren für Zucker- und Futterrüben, Getreide einschließlich Körnermais, Öl- und Zwischenfrüchte enthalten nicht die Humuswirkung der Koppelprodukte (Stroh, Blätter, usw.). Bei den restlichen Fruchtarten ist die Humusleistung der Koppelprodukte in der Anbauwirkung bereits berücksichtigt.
</t>
    </r>
    <r>
      <rPr>
        <b/>
        <sz val="12"/>
        <rFont val="Calibri"/>
        <family val="2"/>
      </rPr>
      <t>2. Zufuhr von org.  Material</t>
    </r>
    <r>
      <rPr>
        <sz val="12"/>
        <rFont val="Calibri"/>
        <family val="2"/>
      </rPr>
      <t xml:space="preserve">: Die Humuswirkung der im Betrachtungszeitraum ausgebrachten organischen Dünger wird hier berücksichtigt. 
</t>
    </r>
    <r>
      <rPr>
        <b/>
        <sz val="12"/>
        <rFont val="Calibri"/>
        <family val="2"/>
      </rPr>
      <t>3. Ergebnis</t>
    </r>
    <r>
      <rPr>
        <sz val="12"/>
        <rFont val="Calibri"/>
        <family val="2"/>
      </rPr>
      <t xml:space="preserve">: Hier werden alle für die Bilanzierung wesentlichen Merkmale zusammengefasst und das Ergebnis der Bilanzierung ausgegeben und bewertet. Drucken Sie das Blatt für Ihre Unterlagen aus. </t>
    </r>
  </si>
  <si>
    <t>Humusbilanz (Schlag/Fruchtfolge)</t>
  </si>
  <si>
    <t xml:space="preserve">Die Wirkung der Früchte, ihrer Nebenprodukte und der zugeführten sonstigen organischen Substanz auf den Humushaushalt wird in Humus-Äquivalenten (HÄ) ausgedrückt (1 HÄ = 1 kg Humus-C = 1 kg organischer Kohlenstoff). </t>
  </si>
  <si>
    <t>Die Faktoren für die Humusbilanz werden laufend an den verfügbaren Kenntnisstand angepasst. Verwenden Sie deshalb immer eine aktuelle Version dieses Programms. 
Für Körnerleguminosen zeichnet sich ab, dass deren Wert für die Humusnachlieferung derzeit wahrscheinlich überschätzt wird. Entsprechende Änderungen folgen nach Vorliegen wissenschaftlich belegter Untersuchungen.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</si>
</sst>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3" x14ac:knownFonts="1">
    <font>
      <sz val="10"/>
      <name val="Arial"/>
    </font>
    <font>
      <b/>
      <sz val="10"/>
      <name val="Arial"/>
      <family val="2"/>
    </font>
    <font>
      <b/>
      <sz val="11"/>
      <name val="Arial"/>
      <family val="2"/>
    </font>
    <font>
      <sz val="8"/>
      <name val="Arial"/>
      <family val="2"/>
    </font>
    <font>
      <b/>
      <sz val="8"/>
      <name val="Arial"/>
      <family val="2"/>
    </font>
    <font>
      <b/>
      <sz val="9"/>
      <name val="Arial"/>
      <family val="2"/>
    </font>
    <font>
      <sz val="11"/>
      <name val="Arial"/>
      <family val="2"/>
    </font>
    <font>
      <b/>
      <vertAlign val="superscript"/>
      <sz val="8"/>
      <name val="Arial"/>
      <family val="2"/>
    </font>
    <font>
      <sz val="10"/>
      <name val="Arial"/>
      <family val="2"/>
    </font>
    <font>
      <sz val="14"/>
      <name val="Arial"/>
      <family val="2"/>
    </font>
    <font>
      <sz val="11"/>
      <name val="Calibri"/>
      <family val="2"/>
    </font>
    <font>
      <b/>
      <sz val="10"/>
      <name val="Calibri"/>
      <family val="2"/>
    </font>
    <font>
      <b/>
      <vertAlign val="superscript"/>
      <sz val="10"/>
      <name val="Calibri"/>
      <family val="2"/>
    </font>
    <font>
      <b/>
      <vertAlign val="superscript"/>
      <sz val="9"/>
      <name val="Arial"/>
      <family val="2"/>
    </font>
    <font>
      <sz val="12"/>
      <name val="Calibri"/>
      <family val="2"/>
    </font>
    <font>
      <u/>
      <sz val="12"/>
      <name val="Calibri"/>
      <family val="2"/>
    </font>
    <font>
      <b/>
      <u/>
      <sz val="8"/>
      <name val="Arial"/>
      <family val="2"/>
    </font>
    <font>
      <b/>
      <vertAlign val="superscript"/>
      <sz val="10"/>
      <name val="Arial"/>
      <family val="2"/>
    </font>
    <font>
      <b/>
      <sz val="12"/>
      <name val="Calibri"/>
      <family val="2"/>
    </font>
    <font>
      <b/>
      <sz val="12"/>
      <color indexed="10"/>
      <name val="Calibri"/>
      <family val="2"/>
    </font>
    <font>
      <b/>
      <u/>
      <sz val="12"/>
      <name val="Calibri"/>
      <family val="2"/>
    </font>
    <font>
      <sz val="11"/>
      <color theme="1"/>
      <name val="Calibri"/>
      <family val="2"/>
      <scheme val="minor"/>
    </font>
    <font>
      <sz val="10"/>
      <name val="Calibri"/>
      <family val="2"/>
      <scheme val="minor"/>
    </font>
    <font>
      <b/>
      <sz val="11"/>
      <name val="Calibri"/>
      <family val="2"/>
      <scheme val="minor"/>
    </font>
    <font>
      <b/>
      <sz val="10"/>
      <name val="Calibri"/>
      <family val="2"/>
      <scheme val="minor"/>
    </font>
    <font>
      <sz val="14"/>
      <name val="Calibri"/>
      <family val="2"/>
      <scheme val="minor"/>
    </font>
    <font>
      <b/>
      <sz val="18"/>
      <name val="Calibri"/>
      <family val="2"/>
      <scheme val="minor"/>
    </font>
    <font>
      <b/>
      <sz val="10"/>
      <color rgb="FFFF0000"/>
      <name val="Arial"/>
      <family val="2"/>
    </font>
    <font>
      <b/>
      <sz val="14"/>
      <name val="Calibri"/>
      <family val="2"/>
      <scheme val="minor"/>
    </font>
    <font>
      <sz val="12"/>
      <name val="Calibri"/>
      <family val="2"/>
      <scheme val="minor"/>
    </font>
    <font>
      <sz val="10"/>
      <color rgb="FF000000"/>
      <name val="Arial"/>
      <family val="2"/>
    </font>
    <font>
      <sz val="8"/>
      <color theme="0"/>
      <name val="Arial"/>
      <family val="2"/>
    </font>
    <font>
      <b/>
      <sz val="10"/>
      <color theme="0"/>
      <name val="Calibri"/>
      <family val="2"/>
      <scheme val="minor"/>
    </font>
    <font>
      <sz val="8"/>
      <color rgb="FFFF0000"/>
      <name val="Arial"/>
      <family val="2"/>
    </font>
    <font>
      <b/>
      <sz val="8"/>
      <color rgb="FFFF0000"/>
      <name val="Arial"/>
      <family val="2"/>
    </font>
    <font>
      <sz val="11"/>
      <name val="Calibri"/>
      <family val="2"/>
      <scheme val="minor"/>
    </font>
    <font>
      <sz val="18"/>
      <name val="Calibri"/>
      <family val="2"/>
      <scheme val="minor"/>
    </font>
    <font>
      <b/>
      <sz val="8"/>
      <color theme="0"/>
      <name val="Arial"/>
      <family val="2"/>
    </font>
    <font>
      <sz val="10"/>
      <color theme="0"/>
      <name val="Arial"/>
      <family val="2"/>
    </font>
    <font>
      <b/>
      <sz val="12"/>
      <color rgb="FFFF0000"/>
      <name val="Calibri"/>
      <family val="2"/>
      <scheme val="minor"/>
    </font>
    <font>
      <b/>
      <sz val="9"/>
      <color rgb="FFFF0000"/>
      <name val="Arial"/>
      <family val="2"/>
    </font>
    <font>
      <sz val="20"/>
      <name val="Calibri"/>
      <family val="2"/>
      <scheme val="minor"/>
    </font>
    <font>
      <sz val="10"/>
      <color theme="0" tint="-0.249977111117893"/>
      <name val="Arial"/>
      <family val="2"/>
    </font>
  </fonts>
  <fills count="12">
    <fill>
      <patternFill patternType="none"/>
    </fill>
    <fill>
      <patternFill patternType="gray125"/>
    </fill>
    <fill>
      <patternFill patternType="solid">
        <fgColor indexed="43"/>
        <bgColor indexed="64"/>
      </patternFill>
    </fill>
    <fill>
      <patternFill patternType="solid">
        <fgColor indexed="55"/>
        <bgColor indexed="64"/>
      </patternFill>
    </fill>
    <fill>
      <patternFill patternType="solid">
        <fgColor indexed="9"/>
        <bgColor indexed="64"/>
      </patternFill>
    </fill>
    <fill>
      <patternFill patternType="solid">
        <fgColor indexed="42"/>
        <bgColor indexed="64"/>
      </patternFill>
    </fill>
    <fill>
      <patternFill patternType="solid">
        <fgColor rgb="FFFF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s>
  <cellStyleXfs count="4">
    <xf numFmtId="0" fontId="0" fillId="0" borderId="0"/>
    <xf numFmtId="0" fontId="8" fillId="0" borderId="0"/>
    <xf numFmtId="0" fontId="21" fillId="0" borderId="0"/>
    <xf numFmtId="0" fontId="21" fillId="0" borderId="0"/>
  </cellStyleXfs>
  <cellXfs count="425">
    <xf numFmtId="0" fontId="0" fillId="0" borderId="0" xfId="0"/>
    <xf numFmtId="0" fontId="0" fillId="0" borderId="0" xfId="0" applyAlignment="1">
      <alignment horizontal="center" vertical="center"/>
    </xf>
    <xf numFmtId="0" fontId="3" fillId="0" borderId="0" xfId="1" applyFont="1" applyFill="1" applyAlignment="1" applyProtection="1">
      <alignment horizontal="center" vertical="center" wrapText="1"/>
    </xf>
    <xf numFmtId="0" fontId="3" fillId="0" borderId="0" xfId="1" applyFont="1" applyAlignment="1" applyProtection="1">
      <alignment vertical="center" wrapText="1"/>
    </xf>
    <xf numFmtId="0" fontId="3" fillId="0" borderId="0" xfId="1" applyFont="1" applyAlignment="1" applyProtection="1">
      <alignment horizontal="center" vertical="center" wrapText="1"/>
    </xf>
    <xf numFmtId="0" fontId="4" fillId="0" borderId="0" xfId="1" applyFont="1" applyAlignment="1" applyProtection="1">
      <alignment horizontal="center" vertical="center" wrapText="1"/>
    </xf>
    <xf numFmtId="0" fontId="4" fillId="0" borderId="0" xfId="1" applyFont="1" applyAlignment="1" applyProtection="1">
      <alignment vertical="center" wrapText="1"/>
    </xf>
    <xf numFmtId="0" fontId="3" fillId="6" borderId="1" xfId="1" applyFont="1" applyFill="1" applyBorder="1" applyAlignment="1" applyProtection="1">
      <alignment horizontal="center" vertical="center" wrapText="1"/>
    </xf>
    <xf numFmtId="0" fontId="3" fillId="6" borderId="2" xfId="1" applyFont="1" applyFill="1" applyBorder="1" applyAlignment="1" applyProtection="1">
      <alignment horizontal="center" vertical="center" wrapText="1"/>
    </xf>
    <xf numFmtId="0" fontId="4" fillId="6" borderId="0" xfId="1" applyFont="1" applyFill="1" applyBorder="1" applyAlignment="1" applyProtection="1">
      <alignment horizontal="center" vertical="center" wrapText="1"/>
    </xf>
    <xf numFmtId="0" fontId="3" fillId="6" borderId="3" xfId="1" applyFont="1" applyFill="1" applyBorder="1" applyAlignment="1" applyProtection="1">
      <alignment horizontal="center" vertical="center" wrapText="1"/>
    </xf>
    <xf numFmtId="0" fontId="4" fillId="6" borderId="2" xfId="1" applyFont="1" applyFill="1" applyBorder="1" applyAlignment="1" applyProtection="1">
      <alignment horizontal="center" vertical="center" wrapText="1"/>
    </xf>
    <xf numFmtId="0" fontId="4" fillId="6" borderId="4" xfId="1" applyFont="1" applyFill="1" applyBorder="1" applyAlignment="1" applyProtection="1">
      <alignment horizontal="center" vertical="center" wrapText="1"/>
    </xf>
    <xf numFmtId="0" fontId="4" fillId="7" borderId="5" xfId="1" applyFont="1" applyFill="1" applyBorder="1" applyAlignment="1" applyProtection="1">
      <alignment vertical="center" wrapText="1"/>
    </xf>
    <xf numFmtId="0" fontId="4" fillId="7" borderId="6" xfId="1" applyFont="1" applyFill="1" applyBorder="1" applyAlignment="1" applyProtection="1">
      <alignment vertical="center" wrapText="1"/>
    </xf>
    <xf numFmtId="0" fontId="4" fillId="7" borderId="7" xfId="1" applyFont="1" applyFill="1" applyBorder="1" applyAlignment="1" applyProtection="1">
      <alignment vertical="center" wrapText="1"/>
    </xf>
    <xf numFmtId="0" fontId="4" fillId="7" borderId="6" xfId="1" applyFont="1" applyFill="1" applyBorder="1" applyAlignment="1" applyProtection="1">
      <alignment horizontal="center" vertical="center" wrapText="1"/>
    </xf>
    <xf numFmtId="0" fontId="4" fillId="7" borderId="8" xfId="1" applyFont="1" applyFill="1" applyBorder="1" applyAlignment="1" applyProtection="1">
      <alignment vertical="center" wrapText="1"/>
    </xf>
    <xf numFmtId="0" fontId="4" fillId="7" borderId="7" xfId="1" applyFont="1" applyFill="1" applyBorder="1" applyAlignment="1" applyProtection="1">
      <alignment horizontal="center" vertical="center" wrapText="1"/>
    </xf>
    <xf numFmtId="0" fontId="3" fillId="6" borderId="9" xfId="1" applyFont="1" applyFill="1" applyBorder="1" applyAlignment="1" applyProtection="1">
      <alignment horizontal="center" vertical="center" wrapText="1"/>
    </xf>
    <xf numFmtId="0" fontId="3" fillId="6" borderId="9" xfId="1" applyFont="1" applyFill="1" applyBorder="1" applyAlignment="1" applyProtection="1">
      <alignment horizontal="left" vertical="center" wrapText="1"/>
    </xf>
    <xf numFmtId="0" fontId="22" fillId="0" borderId="0" xfId="0" applyFont="1" applyFill="1" applyBorder="1"/>
    <xf numFmtId="0" fontId="22" fillId="0" borderId="0" xfId="0" applyFont="1" applyBorder="1"/>
    <xf numFmtId="0" fontId="23" fillId="0" borderId="0" xfId="0" applyFont="1" applyFill="1" applyBorder="1" applyAlignment="1">
      <alignment horizontal="center" wrapText="1"/>
    </xf>
    <xf numFmtId="0" fontId="23" fillId="0" borderId="0" xfId="0" applyFont="1" applyFill="1" applyBorder="1" applyAlignment="1">
      <alignment horizontal="center"/>
    </xf>
    <xf numFmtId="0" fontId="23" fillId="0" borderId="0" xfId="0" applyFont="1" applyBorder="1" applyAlignment="1">
      <alignment horizontal="center"/>
    </xf>
    <xf numFmtId="0" fontId="24" fillId="0" borderId="0" xfId="0" applyFont="1" applyProtection="1"/>
    <xf numFmtId="0" fontId="22" fillId="2" borderId="10"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12" xfId="0" applyFont="1" applyFill="1" applyBorder="1" applyAlignment="1" applyProtection="1">
      <alignment horizontal="center" vertical="center"/>
    </xf>
    <xf numFmtId="0" fontId="24" fillId="6" borderId="2" xfId="0" applyFont="1" applyFill="1" applyBorder="1" applyAlignment="1" applyProtection="1">
      <alignment horizontal="center" vertical="center"/>
    </xf>
    <xf numFmtId="0" fontId="24" fillId="6" borderId="13" xfId="0" applyFont="1" applyFill="1" applyBorder="1" applyAlignment="1" applyProtection="1">
      <alignment horizontal="center" vertical="center" wrapText="1"/>
    </xf>
    <xf numFmtId="0" fontId="24" fillId="6" borderId="14" xfId="0" applyFont="1" applyFill="1" applyBorder="1" applyAlignment="1" applyProtection="1">
      <alignment horizontal="center" vertical="center" wrapText="1"/>
    </xf>
    <xf numFmtId="0" fontId="24" fillId="6" borderId="15" xfId="0" applyFont="1" applyFill="1" applyBorder="1" applyAlignment="1" applyProtection="1">
      <alignment horizontal="center"/>
    </xf>
    <xf numFmtId="0" fontId="24" fillId="6" borderId="16" xfId="0" applyFont="1" applyFill="1" applyBorder="1" applyAlignment="1" applyProtection="1">
      <alignment horizontal="center"/>
    </xf>
    <xf numFmtId="0" fontId="24" fillId="6" borderId="17" xfId="0" applyFont="1" applyFill="1" applyBorder="1" applyAlignment="1" applyProtection="1">
      <alignment horizontal="center" vertical="center" wrapText="1"/>
    </xf>
    <xf numFmtId="0" fontId="24" fillId="6" borderId="18" xfId="0" applyFont="1" applyFill="1" applyBorder="1" applyAlignment="1" applyProtection="1">
      <alignment vertical="center"/>
    </xf>
    <xf numFmtId="0" fontId="24" fillId="6" borderId="19" xfId="0" applyFont="1" applyFill="1" applyBorder="1" applyAlignment="1" applyProtection="1">
      <alignment vertical="center"/>
    </xf>
    <xf numFmtId="0" fontId="24" fillId="6" borderId="20" xfId="0" applyFont="1" applyFill="1" applyBorder="1" applyAlignment="1" applyProtection="1">
      <alignment horizontal="center" vertical="center"/>
    </xf>
    <xf numFmtId="0" fontId="24" fillId="6" borderId="21" xfId="0" applyFont="1" applyFill="1" applyBorder="1" applyAlignment="1" applyProtection="1">
      <alignment horizontal="center" vertical="center"/>
    </xf>
    <xf numFmtId="0" fontId="24" fillId="6" borderId="13" xfId="0" applyFont="1" applyFill="1" applyBorder="1" applyAlignment="1" applyProtection="1">
      <alignment vertical="center"/>
    </xf>
    <xf numFmtId="0" fontId="24" fillId="6" borderId="14" xfId="0" applyFont="1" applyFill="1" applyBorder="1" applyAlignment="1" applyProtection="1">
      <alignment vertical="center"/>
    </xf>
    <xf numFmtId="0" fontId="24" fillId="6" borderId="13" xfId="0" applyFont="1" applyFill="1" applyBorder="1" applyAlignment="1" applyProtection="1">
      <alignment horizontal="center" vertical="center"/>
    </xf>
    <xf numFmtId="0" fontId="24" fillId="6" borderId="14" xfId="0" applyFont="1" applyFill="1" applyBorder="1" applyAlignment="1" applyProtection="1">
      <alignment horizontal="center" vertical="center"/>
    </xf>
    <xf numFmtId="0" fontId="24" fillId="6" borderId="15" xfId="0" applyFont="1" applyFill="1" applyBorder="1" applyAlignment="1" applyProtection="1">
      <alignment vertical="center"/>
    </xf>
    <xf numFmtId="0" fontId="24" fillId="6" borderId="16" xfId="0" applyFont="1" applyFill="1" applyBorder="1" applyAlignment="1" applyProtection="1">
      <alignment vertical="center"/>
    </xf>
    <xf numFmtId="0" fontId="24" fillId="6" borderId="22" xfId="0" applyFont="1" applyFill="1" applyBorder="1" applyAlignment="1" applyProtection="1">
      <alignment horizontal="center" vertical="center"/>
    </xf>
    <xf numFmtId="0" fontId="24" fillId="6" borderId="18" xfId="0" applyFont="1" applyFill="1" applyBorder="1" applyAlignment="1" applyProtection="1">
      <alignment horizontal="center" vertical="center"/>
    </xf>
    <xf numFmtId="0" fontId="24" fillId="6" borderId="14" xfId="0" quotePrefix="1" applyFont="1" applyFill="1" applyBorder="1" applyAlignment="1" applyProtection="1">
      <alignment horizontal="center" vertical="center"/>
    </xf>
    <xf numFmtId="0" fontId="24" fillId="6" borderId="15" xfId="0" applyFont="1" applyFill="1" applyBorder="1" applyAlignment="1" applyProtection="1">
      <alignment horizontal="center" vertical="center"/>
    </xf>
    <xf numFmtId="0" fontId="24" fillId="6" borderId="16" xfId="0" applyFont="1" applyFill="1" applyBorder="1" applyAlignment="1" applyProtection="1">
      <alignment horizontal="center" vertical="center"/>
    </xf>
    <xf numFmtId="0" fontId="24" fillId="6" borderId="20" xfId="0" applyFont="1" applyFill="1" applyBorder="1" applyAlignment="1" applyProtection="1">
      <alignment vertical="center"/>
    </xf>
    <xf numFmtId="0" fontId="24" fillId="6" borderId="21" xfId="0" applyFont="1" applyFill="1" applyBorder="1" applyAlignment="1" applyProtection="1">
      <alignment vertical="center"/>
    </xf>
    <xf numFmtId="0" fontId="24" fillId="6" borderId="21" xfId="0" quotePrefix="1" applyFont="1" applyFill="1" applyBorder="1" applyAlignment="1" applyProtection="1">
      <alignment horizontal="center" vertical="center"/>
    </xf>
    <xf numFmtId="0" fontId="24" fillId="6" borderId="22" xfId="0" applyFont="1" applyFill="1" applyBorder="1" applyAlignment="1" applyProtection="1">
      <alignment vertical="center"/>
    </xf>
    <xf numFmtId="0" fontId="24" fillId="6" borderId="23" xfId="0" applyFont="1" applyFill="1" applyBorder="1" applyAlignment="1" applyProtection="1">
      <alignment vertical="center"/>
    </xf>
    <xf numFmtId="0" fontId="24" fillId="0" borderId="0" xfId="0" applyFont="1" applyAlignment="1" applyProtection="1">
      <alignment horizontal="center"/>
    </xf>
    <xf numFmtId="0" fontId="24" fillId="6" borderId="24" xfId="0" applyFont="1" applyFill="1" applyBorder="1" applyAlignment="1" applyProtection="1">
      <alignment horizontal="center" vertical="center"/>
    </xf>
    <xf numFmtId="0" fontId="24" fillId="6" borderId="25" xfId="0" applyFont="1" applyFill="1" applyBorder="1" applyAlignment="1" applyProtection="1">
      <alignment horizontal="center" vertical="center"/>
    </xf>
    <xf numFmtId="0" fontId="24" fillId="6" borderId="26" xfId="0" applyFont="1" applyFill="1" applyBorder="1" applyAlignment="1" applyProtection="1">
      <alignment horizontal="center" vertical="center"/>
    </xf>
    <xf numFmtId="0" fontId="24" fillId="6" borderId="27" xfId="0" applyFont="1" applyFill="1" applyBorder="1" applyAlignment="1" applyProtection="1">
      <alignment vertical="center"/>
    </xf>
    <xf numFmtId="0" fontId="24" fillId="6" borderId="28" xfId="0" applyFont="1" applyFill="1" applyBorder="1" applyAlignment="1" applyProtection="1">
      <alignment vertical="center"/>
    </xf>
    <xf numFmtId="0" fontId="24" fillId="6" borderId="29" xfId="0" applyFont="1" applyFill="1" applyBorder="1" applyAlignment="1" applyProtection="1">
      <alignment vertical="center"/>
    </xf>
    <xf numFmtId="3" fontId="4" fillId="0" borderId="30" xfId="1" applyNumberFormat="1" applyFont="1" applyFill="1" applyBorder="1" applyAlignment="1" applyProtection="1">
      <alignment horizontal="center" vertical="center" wrapText="1"/>
      <protection locked="0"/>
    </xf>
    <xf numFmtId="3" fontId="4" fillId="0" borderId="31" xfId="1" applyNumberFormat="1" applyFont="1" applyFill="1" applyBorder="1" applyAlignment="1" applyProtection="1">
      <alignment horizontal="center" vertical="center" wrapText="1"/>
      <protection locked="0"/>
    </xf>
    <xf numFmtId="3" fontId="4" fillId="0" borderId="17" xfId="1" applyNumberFormat="1" applyFont="1" applyFill="1" applyBorder="1" applyAlignment="1" applyProtection="1">
      <alignment horizontal="center" vertical="center" wrapText="1"/>
      <protection locked="0"/>
    </xf>
    <xf numFmtId="3" fontId="4" fillId="7" borderId="7" xfId="1" applyNumberFormat="1" applyFont="1" applyFill="1" applyBorder="1" applyAlignment="1" applyProtection="1">
      <alignment vertical="center" wrapText="1"/>
    </xf>
    <xf numFmtId="3" fontId="4" fillId="7" borderId="6" xfId="1" applyNumberFormat="1" applyFont="1" applyFill="1" applyBorder="1" applyAlignment="1" applyProtection="1">
      <alignment vertical="center" wrapText="1"/>
    </xf>
    <xf numFmtId="3" fontId="4" fillId="7" borderId="6" xfId="1" applyNumberFormat="1" applyFont="1" applyFill="1" applyBorder="1" applyAlignment="1" applyProtection="1">
      <alignment horizontal="center" vertical="center" wrapText="1"/>
    </xf>
    <xf numFmtId="3" fontId="4" fillId="7" borderId="8" xfId="1" applyNumberFormat="1" applyFont="1" applyFill="1" applyBorder="1" applyAlignment="1" applyProtection="1">
      <alignment vertical="center" wrapText="1"/>
    </xf>
    <xf numFmtId="3" fontId="4" fillId="7" borderId="7" xfId="1" applyNumberFormat="1" applyFont="1" applyFill="1" applyBorder="1" applyAlignment="1" applyProtection="1">
      <alignment horizontal="center" vertical="center" wrapText="1"/>
    </xf>
    <xf numFmtId="3" fontId="4" fillId="0" borderId="32" xfId="1" applyNumberFormat="1" applyFont="1" applyFill="1" applyBorder="1" applyAlignment="1" applyProtection="1">
      <alignment horizontal="center" vertical="center" wrapText="1"/>
      <protection locked="0"/>
    </xf>
    <xf numFmtId="3" fontId="4" fillId="0" borderId="33" xfId="1" applyNumberFormat="1" applyFont="1" applyFill="1" applyBorder="1" applyAlignment="1" applyProtection="1">
      <alignment horizontal="center" vertical="center" wrapText="1"/>
      <protection locked="0"/>
    </xf>
    <xf numFmtId="3" fontId="4" fillId="0" borderId="1" xfId="1" applyNumberFormat="1" applyFont="1" applyFill="1" applyBorder="1" applyAlignment="1" applyProtection="1">
      <alignment horizontal="center" vertical="center" wrapText="1"/>
      <protection locked="0"/>
    </xf>
    <xf numFmtId="3" fontId="4" fillId="0" borderId="34" xfId="1" applyNumberFormat="1" applyFont="1" applyFill="1" applyBorder="1" applyAlignment="1" applyProtection="1">
      <alignment horizontal="center" vertical="center" wrapText="1"/>
      <protection locked="0"/>
    </xf>
    <xf numFmtId="3" fontId="4" fillId="0" borderId="35" xfId="1" applyNumberFormat="1" applyFont="1" applyFill="1" applyBorder="1" applyAlignment="1" applyProtection="1">
      <alignment horizontal="center" vertical="center" wrapText="1"/>
      <protection locked="0"/>
    </xf>
    <xf numFmtId="3" fontId="4" fillId="0" borderId="36" xfId="1" applyNumberFormat="1" applyFont="1" applyFill="1" applyBorder="1" applyAlignment="1" applyProtection="1">
      <alignment horizontal="center" vertical="center" wrapText="1"/>
      <protection locked="0"/>
    </xf>
    <xf numFmtId="3" fontId="4" fillId="0" borderId="37" xfId="1" applyNumberFormat="1" applyFont="1" applyFill="1" applyBorder="1" applyAlignment="1" applyProtection="1">
      <alignment horizontal="center" vertical="center" wrapText="1"/>
      <protection locked="0"/>
    </xf>
    <xf numFmtId="164" fontId="24" fillId="0" borderId="30" xfId="0" applyNumberFormat="1" applyFont="1" applyBorder="1" applyAlignment="1" applyProtection="1">
      <alignment horizontal="center" vertical="center"/>
      <protection locked="0"/>
    </xf>
    <xf numFmtId="164" fontId="24" fillId="0" borderId="34" xfId="0" applyNumberFormat="1" applyFont="1" applyBorder="1" applyAlignment="1" applyProtection="1">
      <alignment horizontal="center" vertical="center"/>
      <protection locked="0"/>
    </xf>
    <xf numFmtId="164" fontId="24" fillId="0" borderId="35" xfId="0" applyNumberFormat="1" applyFont="1" applyBorder="1" applyAlignment="1" applyProtection="1">
      <alignment horizontal="center" vertical="center"/>
      <protection locked="0"/>
    </xf>
    <xf numFmtId="164" fontId="24" fillId="0" borderId="7" xfId="0" applyNumberFormat="1" applyFont="1" applyBorder="1" applyAlignment="1" applyProtection="1">
      <alignment horizontal="center" vertical="center"/>
      <protection locked="0"/>
    </xf>
    <xf numFmtId="164" fontId="24" fillId="0" borderId="33" xfId="0" applyNumberFormat="1" applyFont="1" applyBorder="1" applyAlignment="1" applyProtection="1">
      <alignment horizontal="center" vertical="center"/>
      <protection locked="0"/>
    </xf>
    <xf numFmtId="164" fontId="24" fillId="0" borderId="17" xfId="0" applyNumberFormat="1" applyFont="1" applyBorder="1" applyAlignment="1" applyProtection="1">
      <alignment horizontal="center" vertical="center"/>
      <protection locked="0"/>
    </xf>
    <xf numFmtId="0" fontId="22" fillId="0" borderId="0" xfId="0" applyFont="1" applyFill="1" applyBorder="1" applyAlignment="1">
      <alignment wrapText="1"/>
    </xf>
    <xf numFmtId="0" fontId="5" fillId="8" borderId="4" xfId="1" applyFont="1" applyFill="1" applyBorder="1" applyAlignment="1" applyProtection="1">
      <alignment horizontal="right" vertical="center" wrapText="1"/>
    </xf>
    <xf numFmtId="0" fontId="5" fillId="8" borderId="38" xfId="1" applyFont="1" applyFill="1" applyBorder="1" applyAlignment="1" applyProtection="1">
      <alignment horizontal="right" vertical="center" wrapText="1"/>
    </xf>
    <xf numFmtId="0" fontId="5" fillId="8" borderId="4" xfId="1" applyFont="1" applyFill="1" applyBorder="1" applyAlignment="1" applyProtection="1">
      <alignment horizontal="center" vertical="center" wrapText="1"/>
    </xf>
    <xf numFmtId="0" fontId="5" fillId="6" borderId="9" xfId="1" applyFont="1" applyFill="1" applyBorder="1" applyAlignment="1" applyProtection="1">
      <alignment vertical="center" wrapText="1"/>
    </xf>
    <xf numFmtId="0" fontId="24" fillId="6" borderId="1" xfId="0" applyFont="1" applyFill="1" applyBorder="1" applyAlignment="1" applyProtection="1">
      <alignment horizontal="center" vertical="center" wrapText="1"/>
    </xf>
    <xf numFmtId="0" fontId="1" fillId="8" borderId="4" xfId="1" applyFont="1" applyFill="1" applyBorder="1" applyAlignment="1" applyProtection="1">
      <alignment horizontal="center" vertical="center" wrapText="1"/>
    </xf>
    <xf numFmtId="0" fontId="5" fillId="0" borderId="29" xfId="1" applyFont="1" applyBorder="1" applyAlignment="1" applyProtection="1">
      <alignment horizontal="center" vertical="center" wrapText="1"/>
      <protection locked="0"/>
    </xf>
    <xf numFmtId="3" fontId="4" fillId="9" borderId="32" xfId="1" applyNumberFormat="1" applyFont="1" applyFill="1" applyBorder="1" applyAlignment="1" applyProtection="1">
      <alignment horizontal="center" vertical="center"/>
      <protection locked="0"/>
    </xf>
    <xf numFmtId="3" fontId="4" fillId="9" borderId="9" xfId="1" applyNumberFormat="1" applyFont="1" applyFill="1" applyBorder="1" applyAlignment="1" applyProtection="1">
      <alignment horizontal="center" vertical="center"/>
      <protection locked="0"/>
    </xf>
    <xf numFmtId="3" fontId="4" fillId="9" borderId="39" xfId="1" applyNumberFormat="1" applyFont="1" applyFill="1" applyBorder="1" applyAlignment="1" applyProtection="1">
      <alignment horizontal="center" vertical="center"/>
      <protection locked="0"/>
    </xf>
    <xf numFmtId="3" fontId="4" fillId="9" borderId="0" xfId="1" applyNumberFormat="1" applyFont="1" applyFill="1" applyBorder="1" applyAlignment="1" applyProtection="1">
      <alignment horizontal="center" vertical="center"/>
      <protection locked="0"/>
    </xf>
    <xf numFmtId="3" fontId="4" fillId="9" borderId="32" xfId="1" applyNumberFormat="1" applyFont="1" applyFill="1" applyBorder="1" applyAlignment="1" applyProtection="1">
      <alignment horizontal="center" vertical="center" wrapText="1"/>
      <protection locked="0"/>
    </xf>
    <xf numFmtId="1" fontId="24" fillId="6" borderId="23" xfId="0" applyNumberFormat="1" applyFont="1" applyFill="1" applyBorder="1" applyAlignment="1" applyProtection="1">
      <alignment horizontal="center" vertical="center"/>
    </xf>
    <xf numFmtId="1" fontId="24" fillId="6" borderId="19" xfId="0" applyNumberFormat="1" applyFont="1" applyFill="1" applyBorder="1" applyAlignment="1" applyProtection="1">
      <alignment horizontal="center" vertical="center"/>
    </xf>
    <xf numFmtId="1" fontId="24" fillId="6" borderId="14" xfId="0" applyNumberFormat="1" applyFont="1" applyFill="1" applyBorder="1" applyAlignment="1" applyProtection="1">
      <alignment horizontal="center" vertical="center"/>
    </xf>
    <xf numFmtId="0" fontId="24" fillId="9" borderId="32" xfId="0" applyFont="1" applyFill="1" applyBorder="1" applyAlignment="1" applyProtection="1">
      <alignment horizontal="center" vertical="center"/>
      <protection locked="0"/>
    </xf>
    <xf numFmtId="0" fontId="24" fillId="9" borderId="33" xfId="0" applyFont="1" applyFill="1" applyBorder="1" applyAlignment="1" applyProtection="1">
      <alignment horizontal="center" vertical="center"/>
      <protection locked="0"/>
    </xf>
    <xf numFmtId="0" fontId="24" fillId="9" borderId="37" xfId="0" applyFont="1" applyFill="1" applyBorder="1" applyAlignment="1" applyProtection="1">
      <alignment horizontal="center" vertical="center"/>
      <protection locked="0"/>
    </xf>
    <xf numFmtId="0" fontId="24" fillId="9" borderId="7" xfId="0" applyFont="1" applyFill="1" applyBorder="1" applyAlignment="1" applyProtection="1">
      <alignment horizontal="center" vertical="center"/>
      <protection locked="0"/>
    </xf>
    <xf numFmtId="0" fontId="24" fillId="9" borderId="17" xfId="0" applyFont="1" applyFill="1" applyBorder="1" applyAlignment="1" applyProtection="1">
      <alignment horizontal="center" vertical="center"/>
      <protection locked="0"/>
    </xf>
    <xf numFmtId="0" fontId="0" fillId="0" borderId="21" xfId="0" applyBorder="1" applyAlignment="1">
      <alignment horizontal="center" vertical="center"/>
    </xf>
    <xf numFmtId="0" fontId="25" fillId="0" borderId="40" xfId="0" applyFont="1" applyBorder="1" applyAlignment="1">
      <alignment horizontal="left" vertical="center" wrapText="1"/>
    </xf>
    <xf numFmtId="0" fontId="26" fillId="9" borderId="14" xfId="0" applyFont="1" applyFill="1" applyBorder="1" applyAlignment="1">
      <alignment horizontal="left" vertical="center" wrapText="1"/>
    </xf>
    <xf numFmtId="0" fontId="0" fillId="0" borderId="23" xfId="0" applyBorder="1" applyAlignment="1">
      <alignment horizontal="center" vertical="center"/>
    </xf>
    <xf numFmtId="0" fontId="0" fillId="0" borderId="41" xfId="0" applyBorder="1" applyAlignment="1">
      <alignment horizontal="center" vertical="center"/>
    </xf>
    <xf numFmtId="0" fontId="5" fillId="6" borderId="13" xfId="1" applyFont="1" applyFill="1" applyBorder="1" applyAlignment="1" applyProtection="1">
      <alignment horizontal="center" vertical="center" wrapText="1"/>
    </xf>
    <xf numFmtId="0" fontId="5" fillId="6" borderId="28" xfId="1" applyFont="1" applyFill="1" applyBorder="1" applyAlignment="1" applyProtection="1">
      <alignment horizontal="center" vertical="center" wrapText="1"/>
    </xf>
    <xf numFmtId="0" fontId="5" fillId="0" borderId="15" xfId="1" applyFont="1" applyBorder="1" applyAlignment="1" applyProtection="1">
      <alignment horizontal="center" vertical="center" wrapText="1"/>
      <protection locked="0"/>
    </xf>
    <xf numFmtId="0" fontId="9" fillId="6" borderId="9" xfId="1" applyFont="1" applyFill="1" applyBorder="1" applyAlignment="1" applyProtection="1">
      <alignment vertical="center" wrapText="1"/>
    </xf>
    <xf numFmtId="0" fontId="27" fillId="6" borderId="9" xfId="1" applyFont="1" applyFill="1" applyBorder="1" applyAlignment="1" applyProtection="1">
      <alignment horizontal="center" vertical="center" wrapText="1"/>
    </xf>
    <xf numFmtId="0" fontId="3" fillId="6" borderId="9" xfId="1" applyFont="1" applyFill="1" applyBorder="1" applyAlignment="1" applyProtection="1">
      <alignment vertical="center" wrapText="1"/>
    </xf>
    <xf numFmtId="3" fontId="4" fillId="10" borderId="2" xfId="1" applyNumberFormat="1" applyFont="1" applyFill="1" applyBorder="1" applyAlignment="1" applyProtection="1">
      <alignment horizontal="center" vertical="center" wrapText="1"/>
    </xf>
    <xf numFmtId="3" fontId="4" fillId="7" borderId="5" xfId="1" applyNumberFormat="1" applyFont="1" applyFill="1" applyBorder="1" applyAlignment="1" applyProtection="1">
      <alignment horizontal="center" vertical="center" wrapText="1"/>
    </xf>
    <xf numFmtId="0" fontId="28" fillId="4" borderId="0" xfId="0" applyFont="1" applyFill="1" applyBorder="1" applyAlignment="1">
      <alignment horizontal="left" wrapText="1"/>
    </xf>
    <xf numFmtId="0" fontId="22" fillId="0" borderId="39" xfId="0" applyFont="1" applyFill="1" applyBorder="1" applyAlignment="1">
      <alignment wrapText="1"/>
    </xf>
    <xf numFmtId="0" fontId="29" fillId="0" borderId="0" xfId="0" applyFont="1" applyFill="1" applyBorder="1" applyAlignment="1">
      <alignment vertical="center" wrapText="1"/>
    </xf>
    <xf numFmtId="0" fontId="29" fillId="0" borderId="40" xfId="0" applyNumberFormat="1" applyFont="1" applyFill="1" applyBorder="1" applyAlignment="1">
      <alignment vertical="center" wrapText="1"/>
    </xf>
    <xf numFmtId="0" fontId="29" fillId="0" borderId="42" xfId="0" applyFont="1" applyFill="1" applyBorder="1" applyAlignment="1">
      <alignment vertical="center" wrapText="1"/>
    </xf>
    <xf numFmtId="0" fontId="30" fillId="0" borderId="0" xfId="0" applyFont="1" applyAlignment="1">
      <alignment horizontal="center" readingOrder="1"/>
    </xf>
    <xf numFmtId="164" fontId="24" fillId="0" borderId="32" xfId="0" applyNumberFormat="1" applyFont="1" applyBorder="1" applyAlignment="1" applyProtection="1">
      <alignment horizontal="center" vertical="center"/>
      <protection locked="0"/>
    </xf>
    <xf numFmtId="0" fontId="4" fillId="6" borderId="43" xfId="1" applyFont="1" applyFill="1" applyBorder="1" applyAlignment="1" applyProtection="1">
      <alignment horizontal="left" vertical="center" wrapText="1"/>
    </xf>
    <xf numFmtId="0" fontId="4" fillId="6" borderId="34" xfId="1" applyFont="1" applyFill="1" applyBorder="1" applyAlignment="1" applyProtection="1">
      <alignment horizontal="left" vertical="center" wrapText="1"/>
    </xf>
    <xf numFmtId="0" fontId="5" fillId="6" borderId="9" xfId="1" applyFont="1" applyFill="1" applyBorder="1" applyAlignment="1" applyProtection="1">
      <alignment horizontal="center" vertical="center" wrapText="1"/>
    </xf>
    <xf numFmtId="0" fontId="31" fillId="0" borderId="0" xfId="1" applyFont="1" applyAlignment="1" applyProtection="1">
      <alignment horizontal="center" vertical="center" wrapText="1"/>
    </xf>
    <xf numFmtId="0" fontId="32" fillId="0" borderId="0" xfId="0" applyFont="1" applyProtection="1"/>
    <xf numFmtId="0" fontId="32" fillId="0" borderId="0" xfId="0" applyFont="1" applyAlignment="1" applyProtection="1">
      <alignment horizontal="center"/>
    </xf>
    <xf numFmtId="3" fontId="4" fillId="7" borderId="32" xfId="1" applyNumberFormat="1" applyFont="1" applyFill="1" applyBorder="1" applyAlignment="1" applyProtection="1">
      <alignment vertical="center" wrapText="1"/>
    </xf>
    <xf numFmtId="3" fontId="4" fillId="9" borderId="33" xfId="1" applyNumberFormat="1" applyFont="1" applyFill="1" applyBorder="1" applyAlignment="1" applyProtection="1">
      <alignment horizontal="center" vertical="center"/>
      <protection locked="0"/>
    </xf>
    <xf numFmtId="0" fontId="30" fillId="0" borderId="0" xfId="0" applyFont="1" applyAlignment="1">
      <alignment horizontal="center" readingOrder="1"/>
    </xf>
    <xf numFmtId="3" fontId="4" fillId="9" borderId="17" xfId="1" applyNumberFormat="1" applyFont="1" applyFill="1" applyBorder="1" applyAlignment="1" applyProtection="1">
      <alignment horizontal="center" vertical="center" wrapText="1"/>
      <protection locked="0"/>
    </xf>
    <xf numFmtId="0" fontId="33" fillId="0" borderId="0" xfId="1" applyFont="1" applyAlignment="1" applyProtection="1">
      <alignment vertical="center" wrapText="1"/>
    </xf>
    <xf numFmtId="0" fontId="33" fillId="0" borderId="0" xfId="1" applyFont="1" applyAlignment="1" applyProtection="1">
      <alignment horizontal="center" vertical="center" wrapText="1"/>
    </xf>
    <xf numFmtId="0" fontId="34" fillId="0" borderId="0" xfId="1" applyFont="1" applyFill="1" applyBorder="1" applyAlignment="1" applyProtection="1">
      <alignment horizontal="center" vertical="center" wrapText="1"/>
    </xf>
    <xf numFmtId="0" fontId="33" fillId="0" borderId="0" xfId="1" applyFont="1" applyFill="1" applyBorder="1" applyAlignment="1" applyProtection="1">
      <alignment vertical="center" wrapText="1"/>
    </xf>
    <xf numFmtId="0" fontId="33" fillId="0" borderId="0" xfId="1" applyFont="1" applyBorder="1" applyAlignment="1" applyProtection="1">
      <alignment vertical="center" wrapText="1"/>
    </xf>
    <xf numFmtId="0" fontId="33" fillId="0" borderId="0" xfId="1" applyFont="1" applyFill="1" applyAlignment="1" applyProtection="1">
      <alignment horizontal="center" vertical="center" wrapText="1"/>
    </xf>
    <xf numFmtId="0" fontId="4" fillId="6" borderId="44" xfId="1" applyFont="1" applyFill="1" applyBorder="1" applyAlignment="1" applyProtection="1">
      <alignment horizontal="left" vertical="center" wrapText="1"/>
    </xf>
    <xf numFmtId="3" fontId="5" fillId="9" borderId="2" xfId="1" applyNumberFormat="1" applyFont="1" applyFill="1" applyBorder="1" applyAlignment="1" applyProtection="1">
      <alignment horizontal="center" vertical="center" wrapText="1"/>
      <protection locked="0"/>
    </xf>
    <xf numFmtId="3" fontId="4" fillId="0" borderId="44" xfId="1" applyNumberFormat="1" applyFont="1" applyFill="1" applyBorder="1" applyAlignment="1" applyProtection="1">
      <alignment horizontal="center" vertical="center" wrapText="1"/>
      <protection locked="0"/>
    </xf>
    <xf numFmtId="3" fontId="4" fillId="0" borderId="43" xfId="1" applyNumberFormat="1" applyFont="1" applyFill="1" applyBorder="1" applyAlignment="1" applyProtection="1">
      <alignment horizontal="center" vertical="center" wrapText="1"/>
      <protection locked="0"/>
    </xf>
    <xf numFmtId="3" fontId="4" fillId="0" borderId="45" xfId="1" applyNumberFormat="1" applyFont="1" applyFill="1" applyBorder="1" applyAlignment="1" applyProtection="1">
      <alignment horizontal="center" vertical="center" wrapText="1"/>
      <protection locked="0"/>
    </xf>
    <xf numFmtId="0" fontId="4" fillId="6" borderId="46" xfId="1" applyFont="1" applyFill="1" applyBorder="1" applyAlignment="1" applyProtection="1">
      <alignment horizontal="left" vertical="center" wrapText="1"/>
    </xf>
    <xf numFmtId="3" fontId="4" fillId="9" borderId="40" xfId="1" applyNumberFormat="1" applyFont="1" applyFill="1" applyBorder="1" applyAlignment="1" applyProtection="1">
      <alignment horizontal="center" vertical="center"/>
      <protection locked="0"/>
    </xf>
    <xf numFmtId="0" fontId="24" fillId="6" borderId="47" xfId="0" applyFont="1" applyFill="1" applyBorder="1" applyAlignment="1" applyProtection="1">
      <alignment vertical="center"/>
    </xf>
    <xf numFmtId="0" fontId="24" fillId="6" borderId="48" xfId="0" applyFont="1" applyFill="1" applyBorder="1" applyAlignment="1" applyProtection="1">
      <alignment horizontal="center" vertical="center"/>
    </xf>
    <xf numFmtId="1" fontId="24" fillId="6" borderId="21" xfId="0" applyNumberFormat="1" applyFont="1" applyFill="1" applyBorder="1" applyAlignment="1" applyProtection="1">
      <alignment horizontal="center" vertical="center"/>
    </xf>
    <xf numFmtId="0" fontId="24" fillId="6" borderId="23" xfId="0" applyFont="1" applyFill="1" applyBorder="1" applyAlignment="1" applyProtection="1">
      <alignment horizontal="center" vertical="center"/>
    </xf>
    <xf numFmtId="0" fontId="24" fillId="6" borderId="49" xfId="0" applyFont="1" applyFill="1" applyBorder="1" applyAlignment="1" applyProtection="1">
      <alignment vertical="center"/>
    </xf>
    <xf numFmtId="0" fontId="24" fillId="6" borderId="50" xfId="0" applyFont="1" applyFill="1" applyBorder="1" applyAlignment="1" applyProtection="1">
      <alignment vertical="center"/>
    </xf>
    <xf numFmtId="0" fontId="24" fillId="6" borderId="51" xfId="0" applyFont="1" applyFill="1" applyBorder="1" applyAlignment="1" applyProtection="1">
      <alignment vertical="center"/>
    </xf>
    <xf numFmtId="164" fontId="24" fillId="0" borderId="39" xfId="0" applyNumberFormat="1" applyFont="1" applyBorder="1" applyAlignment="1" applyProtection="1">
      <alignment horizontal="center" vertical="center"/>
      <protection locked="0"/>
    </xf>
    <xf numFmtId="164" fontId="24" fillId="0" borderId="40" xfId="0" applyNumberFormat="1" applyFont="1" applyBorder="1" applyAlignment="1" applyProtection="1">
      <alignment horizontal="center" vertical="center"/>
      <protection locked="0"/>
    </xf>
    <xf numFmtId="164" fontId="24" fillId="0" borderId="52" xfId="0" applyNumberFormat="1" applyFont="1" applyBorder="1" applyAlignment="1" applyProtection="1">
      <alignment horizontal="center" vertical="center"/>
      <protection locked="0"/>
    </xf>
    <xf numFmtId="164" fontId="24" fillId="0" borderId="6" xfId="0" applyNumberFormat="1" applyFont="1" applyBorder="1" applyAlignment="1" applyProtection="1">
      <alignment horizontal="center" vertical="center"/>
      <protection locked="0"/>
    </xf>
    <xf numFmtId="0" fontId="24" fillId="6" borderId="27" xfId="0" quotePrefix="1" applyFont="1" applyFill="1" applyBorder="1" applyAlignment="1" applyProtection="1">
      <alignment horizontal="center" vertical="center"/>
    </xf>
    <xf numFmtId="0" fontId="24" fillId="6" borderId="28" xfId="0" applyFont="1" applyFill="1" applyBorder="1" applyAlignment="1" applyProtection="1">
      <alignment horizontal="center" vertical="center"/>
    </xf>
    <xf numFmtId="0" fontId="24" fillId="6" borderId="29" xfId="0" quotePrefix="1" applyFont="1" applyFill="1" applyBorder="1" applyAlignment="1" applyProtection="1">
      <alignment horizontal="center" vertical="center"/>
    </xf>
    <xf numFmtId="1" fontId="24" fillId="6" borderId="47" xfId="0" applyNumberFormat="1" applyFont="1" applyFill="1" applyBorder="1" applyAlignment="1" applyProtection="1">
      <alignment horizontal="center" vertical="center"/>
    </xf>
    <xf numFmtId="0" fontId="24" fillId="6" borderId="47" xfId="0" quotePrefix="1" applyFont="1" applyFill="1" applyBorder="1" applyAlignment="1" applyProtection="1">
      <alignment horizontal="center" vertical="center"/>
    </xf>
    <xf numFmtId="3" fontId="4" fillId="7" borderId="6" xfId="1" applyNumberFormat="1" applyFont="1" applyFill="1" applyBorder="1" applyAlignment="1" applyProtection="1">
      <alignment horizontal="center" vertical="center" wrapText="1"/>
    </xf>
    <xf numFmtId="0" fontId="3" fillId="7" borderId="1" xfId="1" applyFont="1" applyFill="1" applyBorder="1" applyAlignment="1" applyProtection="1">
      <alignment horizontal="center" vertical="center" wrapText="1"/>
    </xf>
    <xf numFmtId="0" fontId="3" fillId="7" borderId="4" xfId="1" applyFont="1" applyFill="1" applyBorder="1" applyAlignment="1" applyProtection="1">
      <alignment horizontal="center" vertical="center" wrapText="1"/>
    </xf>
    <xf numFmtId="0" fontId="4" fillId="7" borderId="1" xfId="1" applyFont="1" applyFill="1" applyBorder="1" applyAlignment="1" applyProtection="1">
      <alignment horizontal="center" vertical="center" wrapText="1"/>
    </xf>
    <xf numFmtId="0" fontId="4" fillId="7" borderId="0" xfId="1" applyFont="1" applyFill="1" applyBorder="1" applyAlignment="1" applyProtection="1">
      <alignment horizontal="center" vertical="center" wrapText="1"/>
    </xf>
    <xf numFmtId="0" fontId="4" fillId="7" borderId="9" xfId="1" applyFont="1" applyFill="1" applyBorder="1" applyAlignment="1" applyProtection="1">
      <alignment horizontal="center" vertical="center" wrapText="1"/>
    </xf>
    <xf numFmtId="0" fontId="3" fillId="7" borderId="2" xfId="1" applyFont="1" applyFill="1" applyBorder="1" applyAlignment="1" applyProtection="1">
      <alignment horizontal="center" vertical="center" wrapText="1"/>
    </xf>
    <xf numFmtId="0" fontId="3" fillId="7" borderId="53" xfId="1" applyFont="1" applyFill="1" applyBorder="1" applyAlignment="1" applyProtection="1">
      <alignment horizontal="center" vertical="center" wrapText="1"/>
    </xf>
    <xf numFmtId="0" fontId="4" fillId="7" borderId="38" xfId="1" applyFont="1" applyFill="1" applyBorder="1" applyAlignment="1" applyProtection="1">
      <alignment horizontal="center" vertical="center" wrapText="1"/>
    </xf>
    <xf numFmtId="0" fontId="4" fillId="7" borderId="4" xfId="1" applyFont="1" applyFill="1" applyBorder="1" applyAlignment="1" applyProtection="1">
      <alignment horizontal="center" vertical="center" wrapText="1"/>
    </xf>
    <xf numFmtId="0" fontId="4" fillId="7" borderId="2" xfId="1" applyFont="1" applyFill="1" applyBorder="1" applyAlignment="1" applyProtection="1">
      <alignment horizontal="center" vertical="center" wrapText="1"/>
    </xf>
    <xf numFmtId="0" fontId="4" fillId="7" borderId="46" xfId="1" applyFont="1" applyFill="1" applyBorder="1" applyAlignment="1" applyProtection="1">
      <alignment horizontal="center" vertical="center" wrapText="1"/>
    </xf>
    <xf numFmtId="164" fontId="4" fillId="7" borderId="33" xfId="1" applyNumberFormat="1" applyFont="1" applyFill="1" applyBorder="1" applyAlignment="1" applyProtection="1">
      <alignment horizontal="center" vertical="center" wrapText="1"/>
    </xf>
    <xf numFmtId="3" fontId="4" fillId="7" borderId="39" xfId="1" applyNumberFormat="1" applyFont="1" applyFill="1" applyBorder="1" applyAlignment="1" applyProtection="1">
      <alignment horizontal="center" vertical="center" wrapText="1"/>
    </xf>
    <xf numFmtId="164" fontId="4" fillId="7" borderId="44" xfId="1" applyNumberFormat="1" applyFont="1" applyFill="1" applyBorder="1" applyAlignment="1" applyProtection="1">
      <alignment horizontal="center" vertical="center" wrapText="1"/>
    </xf>
    <xf numFmtId="3" fontId="4" fillId="7" borderId="32" xfId="1" applyNumberFormat="1" applyFont="1" applyFill="1" applyBorder="1" applyAlignment="1" applyProtection="1">
      <alignment horizontal="center" vertical="center" wrapText="1"/>
    </xf>
    <xf numFmtId="164" fontId="4" fillId="7" borderId="37" xfId="1" applyNumberFormat="1" applyFont="1" applyFill="1" applyBorder="1" applyAlignment="1" applyProtection="1">
      <alignment horizontal="center" vertical="center" wrapText="1"/>
    </xf>
    <xf numFmtId="164" fontId="4" fillId="7" borderId="46" xfId="1" applyNumberFormat="1" applyFont="1" applyFill="1" applyBorder="1" applyAlignment="1" applyProtection="1">
      <alignment horizontal="center" vertical="center" wrapText="1"/>
    </xf>
    <xf numFmtId="3" fontId="4" fillId="7" borderId="17" xfId="1" applyNumberFormat="1" applyFont="1" applyFill="1" applyBorder="1" applyAlignment="1" applyProtection="1">
      <alignment horizontal="center" vertical="center"/>
    </xf>
    <xf numFmtId="3" fontId="4" fillId="7" borderId="17" xfId="1" applyNumberFormat="1" applyFont="1" applyFill="1" applyBorder="1" applyAlignment="1" applyProtection="1">
      <alignment horizontal="center" vertical="center" wrapText="1"/>
    </xf>
    <xf numFmtId="3" fontId="4" fillId="7" borderId="54" xfId="1" applyNumberFormat="1" applyFont="1" applyFill="1" applyBorder="1" applyAlignment="1" applyProtection="1">
      <alignment horizontal="center" vertical="center"/>
    </xf>
    <xf numFmtId="3" fontId="4" fillId="7" borderId="39" xfId="1" applyNumberFormat="1" applyFont="1" applyFill="1" applyBorder="1" applyAlignment="1" applyProtection="1">
      <alignment horizontal="center" vertical="center"/>
    </xf>
    <xf numFmtId="3" fontId="4" fillId="7" borderId="32" xfId="1" applyNumberFormat="1" applyFont="1" applyFill="1" applyBorder="1" applyAlignment="1" applyProtection="1">
      <alignment horizontal="center" vertical="center"/>
    </xf>
    <xf numFmtId="3" fontId="4" fillId="7" borderId="30" xfId="1" applyNumberFormat="1" applyFont="1" applyFill="1" applyBorder="1" applyAlignment="1" applyProtection="1">
      <alignment horizontal="center" vertical="center"/>
    </xf>
    <xf numFmtId="3" fontId="4" fillId="7" borderId="33" xfId="1" applyNumberFormat="1" applyFont="1" applyFill="1" applyBorder="1" applyAlignment="1" applyProtection="1">
      <alignment horizontal="center" vertical="center"/>
    </xf>
    <xf numFmtId="3" fontId="4" fillId="7" borderId="44" xfId="1" applyNumberFormat="1" applyFont="1" applyFill="1" applyBorder="1" applyAlignment="1" applyProtection="1">
      <alignment horizontal="center" vertical="center"/>
    </xf>
    <xf numFmtId="3" fontId="4" fillId="7" borderId="1" xfId="1" applyNumberFormat="1" applyFont="1" applyFill="1" applyBorder="1" applyAlignment="1" applyProtection="1">
      <alignment horizontal="center" vertical="center"/>
    </xf>
    <xf numFmtId="3" fontId="4" fillId="7" borderId="9" xfId="1" applyNumberFormat="1" applyFont="1" applyFill="1" applyBorder="1" applyAlignment="1" applyProtection="1">
      <alignment horizontal="center" vertical="center"/>
    </xf>
    <xf numFmtId="3" fontId="4" fillId="7" borderId="30" xfId="1" applyNumberFormat="1" applyFont="1" applyFill="1" applyBorder="1" applyAlignment="1" applyProtection="1">
      <alignment horizontal="center" vertical="center" wrapText="1"/>
    </xf>
    <xf numFmtId="3" fontId="4" fillId="7" borderId="34" xfId="1" applyNumberFormat="1" applyFont="1" applyFill="1" applyBorder="1" applyAlignment="1" applyProtection="1">
      <alignment horizontal="center" vertical="center" wrapText="1"/>
    </xf>
    <xf numFmtId="3" fontId="4" fillId="7" borderId="37" xfId="1" applyNumberFormat="1" applyFont="1" applyFill="1" applyBorder="1" applyAlignment="1" applyProtection="1">
      <alignment horizontal="center" vertical="center"/>
    </xf>
    <xf numFmtId="3" fontId="5" fillId="7" borderId="10" xfId="1" applyNumberFormat="1" applyFont="1" applyFill="1" applyBorder="1" applyAlignment="1" applyProtection="1">
      <alignment horizontal="left" vertical="center" wrapText="1"/>
    </xf>
    <xf numFmtId="3" fontId="4" fillId="7" borderId="2" xfId="1" applyNumberFormat="1" applyFont="1" applyFill="1" applyBorder="1" applyAlignment="1" applyProtection="1">
      <alignment horizontal="center" vertical="center" wrapText="1"/>
    </xf>
    <xf numFmtId="3" fontId="4" fillId="7" borderId="10" xfId="1" applyNumberFormat="1" applyFont="1" applyFill="1" applyBorder="1" applyAlignment="1" applyProtection="1">
      <alignment horizontal="center" vertical="center" wrapText="1"/>
    </xf>
    <xf numFmtId="3" fontId="4" fillId="7" borderId="0" xfId="1" applyNumberFormat="1" applyFont="1" applyFill="1" applyBorder="1" applyAlignment="1" applyProtection="1">
      <alignment horizontal="center" vertical="center"/>
    </xf>
    <xf numFmtId="3" fontId="4" fillId="7" borderId="40" xfId="1" applyNumberFormat="1" applyFont="1" applyFill="1" applyBorder="1" applyAlignment="1" applyProtection="1">
      <alignment horizontal="center" vertical="center" wrapText="1"/>
    </xf>
    <xf numFmtId="164" fontId="4" fillId="7" borderId="33" xfId="1" applyNumberFormat="1" applyFont="1" applyFill="1" applyBorder="1" applyAlignment="1" applyProtection="1">
      <alignment horizontal="center" vertical="center"/>
    </xf>
    <xf numFmtId="3" fontId="4" fillId="7" borderId="33" xfId="1" applyNumberFormat="1" applyFont="1" applyFill="1" applyBorder="1" applyAlignment="1" applyProtection="1">
      <alignment horizontal="center" vertical="center" wrapText="1"/>
    </xf>
    <xf numFmtId="164" fontId="4" fillId="7" borderId="32" xfId="1" applyNumberFormat="1" applyFont="1" applyFill="1" applyBorder="1" applyAlignment="1" applyProtection="1">
      <alignment horizontal="center" vertical="center"/>
    </xf>
    <xf numFmtId="3" fontId="4" fillId="7" borderId="38" xfId="1" applyNumberFormat="1" applyFont="1" applyFill="1" applyBorder="1" applyAlignment="1" applyProtection="1">
      <alignment horizontal="center" vertical="center"/>
    </xf>
    <xf numFmtId="3" fontId="4" fillId="7" borderId="46" xfId="1" applyNumberFormat="1" applyFont="1" applyFill="1" applyBorder="1" applyAlignment="1" applyProtection="1">
      <alignment horizontal="center" vertical="center"/>
    </xf>
    <xf numFmtId="3" fontId="4" fillId="7" borderId="44" xfId="1" applyNumberFormat="1" applyFont="1" applyFill="1" applyBorder="1" applyAlignment="1" applyProtection="1">
      <alignment horizontal="center" vertical="center" wrapText="1"/>
    </xf>
    <xf numFmtId="3" fontId="4" fillId="7" borderId="37" xfId="1" applyNumberFormat="1" applyFont="1" applyFill="1" applyBorder="1" applyAlignment="1" applyProtection="1">
      <alignment horizontal="center" vertical="center" wrapText="1"/>
    </xf>
    <xf numFmtId="3" fontId="4" fillId="7" borderId="0" xfId="1" applyNumberFormat="1" applyFont="1" applyFill="1" applyBorder="1" applyAlignment="1" applyProtection="1">
      <alignment horizontal="center" vertical="center" wrapText="1"/>
    </xf>
    <xf numFmtId="3" fontId="4" fillId="7" borderId="46" xfId="1" applyNumberFormat="1" applyFont="1" applyFill="1" applyBorder="1" applyAlignment="1" applyProtection="1">
      <alignment horizontal="center" vertical="center" wrapText="1"/>
    </xf>
    <xf numFmtId="3" fontId="4" fillId="7" borderId="9" xfId="1" applyNumberFormat="1" applyFont="1" applyFill="1" applyBorder="1" applyAlignment="1" applyProtection="1">
      <alignment horizontal="center" vertical="center" wrapText="1"/>
    </xf>
    <xf numFmtId="0" fontId="22" fillId="7" borderId="55" xfId="0" applyFont="1" applyFill="1" applyBorder="1" applyAlignment="1" applyProtection="1">
      <alignment horizontal="center" vertical="center"/>
    </xf>
    <xf numFmtId="0" fontId="22" fillId="7" borderId="12" xfId="0" applyFont="1" applyFill="1" applyBorder="1" applyAlignment="1" applyProtection="1">
      <alignment horizontal="center" vertical="center"/>
    </xf>
    <xf numFmtId="0" fontId="24" fillId="7" borderId="1" xfId="0" applyFont="1" applyFill="1" applyBorder="1" applyAlignment="1" applyProtection="1">
      <alignment horizontal="center" vertical="center" wrapText="1"/>
    </xf>
    <xf numFmtId="0" fontId="24" fillId="7" borderId="38" xfId="0" applyFont="1" applyFill="1" applyBorder="1" applyAlignment="1" applyProtection="1">
      <alignment horizontal="center" vertical="center" wrapText="1"/>
    </xf>
    <xf numFmtId="1" fontId="24" fillId="7" borderId="39" xfId="0" applyNumberFormat="1" applyFont="1" applyFill="1" applyBorder="1" applyAlignment="1" applyProtection="1">
      <alignment horizontal="center" vertical="center"/>
    </xf>
    <xf numFmtId="3" fontId="24" fillId="7" borderId="44" xfId="0" applyNumberFormat="1" applyFont="1" applyFill="1" applyBorder="1" applyAlignment="1" applyProtection="1">
      <alignment horizontal="center" vertical="center"/>
    </xf>
    <xf numFmtId="1" fontId="24" fillId="7" borderId="40" xfId="0" applyNumberFormat="1" applyFont="1" applyFill="1" applyBorder="1" applyAlignment="1" applyProtection="1">
      <alignment horizontal="center" vertical="center"/>
    </xf>
    <xf numFmtId="3" fontId="24" fillId="7" borderId="43" xfId="0" applyNumberFormat="1" applyFont="1" applyFill="1" applyBorder="1" applyAlignment="1" applyProtection="1">
      <alignment horizontal="center" vertical="center"/>
    </xf>
    <xf numFmtId="1" fontId="24" fillId="7" borderId="42" xfId="0" applyNumberFormat="1" applyFont="1" applyFill="1" applyBorder="1" applyAlignment="1" applyProtection="1">
      <alignment horizontal="center" vertical="center"/>
    </xf>
    <xf numFmtId="3" fontId="24" fillId="7" borderId="45" xfId="0" applyNumberFormat="1" applyFont="1" applyFill="1" applyBorder="1" applyAlignment="1" applyProtection="1">
      <alignment horizontal="center" vertical="center"/>
    </xf>
    <xf numFmtId="1" fontId="24" fillId="7" borderId="7" xfId="0" applyNumberFormat="1" applyFont="1" applyFill="1" applyBorder="1" applyAlignment="1" applyProtection="1">
      <alignment horizontal="center" vertical="center"/>
    </xf>
    <xf numFmtId="3" fontId="24" fillId="7" borderId="8" xfId="0" applyNumberFormat="1" applyFont="1" applyFill="1" applyBorder="1" applyAlignment="1" applyProtection="1">
      <alignment horizontal="center" vertical="center"/>
    </xf>
    <xf numFmtId="1" fontId="24" fillId="7" borderId="32" xfId="0" applyNumberFormat="1" applyFont="1" applyFill="1" applyBorder="1" applyAlignment="1" applyProtection="1">
      <alignment horizontal="center" vertical="center"/>
    </xf>
    <xf numFmtId="1" fontId="24" fillId="7" borderId="52" xfId="0" applyNumberFormat="1" applyFont="1" applyFill="1" applyBorder="1" applyAlignment="1" applyProtection="1">
      <alignment horizontal="center" vertical="center"/>
    </xf>
    <xf numFmtId="3" fontId="24" fillId="7" borderId="54" xfId="0" applyNumberFormat="1" applyFont="1" applyFill="1" applyBorder="1" applyAlignment="1" applyProtection="1">
      <alignment horizontal="center" vertical="center"/>
    </xf>
    <xf numFmtId="3" fontId="24" fillId="7" borderId="39" xfId="0" applyNumberFormat="1" applyFont="1" applyFill="1" applyBorder="1" applyAlignment="1" applyProtection="1">
      <alignment horizontal="center" vertical="center"/>
    </xf>
    <xf numFmtId="1" fontId="24" fillId="7" borderId="33" xfId="0" applyNumberFormat="1" applyFont="1" applyFill="1" applyBorder="1" applyAlignment="1" applyProtection="1">
      <alignment horizontal="center" vertical="center"/>
    </xf>
    <xf numFmtId="3" fontId="24" fillId="7" borderId="40" xfId="0" applyNumberFormat="1" applyFont="1" applyFill="1" applyBorder="1" applyAlignment="1" applyProtection="1">
      <alignment horizontal="center" vertical="center"/>
    </xf>
    <xf numFmtId="1" fontId="24" fillId="7" borderId="17" xfId="0" applyNumberFormat="1" applyFont="1" applyFill="1" applyBorder="1" applyAlignment="1" applyProtection="1">
      <alignment horizontal="center" vertical="center"/>
    </xf>
    <xf numFmtId="3" fontId="24" fillId="7" borderId="52" xfId="0" applyNumberFormat="1" applyFont="1" applyFill="1" applyBorder="1" applyAlignment="1" applyProtection="1">
      <alignment horizontal="center" vertical="center"/>
    </xf>
    <xf numFmtId="165" fontId="24" fillId="7" borderId="32" xfId="0" applyNumberFormat="1" applyFont="1" applyFill="1" applyBorder="1" applyAlignment="1" applyProtection="1">
      <alignment horizontal="center" vertical="center"/>
    </xf>
    <xf numFmtId="3" fontId="24" fillId="7" borderId="6" xfId="0" applyNumberFormat="1" applyFont="1" applyFill="1" applyBorder="1" applyAlignment="1" applyProtection="1">
      <alignment horizontal="center" vertical="center"/>
    </xf>
    <xf numFmtId="165" fontId="24" fillId="7" borderId="33" xfId="0" applyNumberFormat="1" applyFont="1" applyFill="1" applyBorder="1" applyAlignment="1" applyProtection="1">
      <alignment horizontal="center" vertical="center"/>
    </xf>
    <xf numFmtId="165" fontId="24" fillId="7" borderId="17" xfId="0" applyNumberFormat="1" applyFont="1" applyFill="1" applyBorder="1" applyAlignment="1" applyProtection="1">
      <alignment horizontal="center" vertical="center"/>
    </xf>
    <xf numFmtId="3" fontId="24" fillId="7" borderId="1" xfId="0" applyNumberFormat="1" applyFont="1" applyFill="1" applyBorder="1" applyAlignment="1" applyProtection="1">
      <alignment horizontal="center" vertical="center"/>
    </xf>
    <xf numFmtId="0" fontId="24" fillId="7" borderId="1" xfId="0" applyFont="1" applyFill="1" applyBorder="1" applyAlignment="1" applyProtection="1">
      <alignment wrapText="1"/>
    </xf>
    <xf numFmtId="0" fontId="25" fillId="0" borderId="40" xfId="0" applyFont="1" applyBorder="1" applyAlignment="1">
      <alignment horizontal="left" vertical="center"/>
    </xf>
    <xf numFmtId="0" fontId="8" fillId="0" borderId="0" xfId="0" applyFont="1" applyAlignment="1">
      <alignment horizontal="center" wrapText="1"/>
    </xf>
    <xf numFmtId="0" fontId="35" fillId="9" borderId="49" xfId="0" applyFont="1" applyFill="1" applyBorder="1" applyAlignment="1">
      <alignment horizontal="center" vertical="center"/>
    </xf>
    <xf numFmtId="0" fontId="0" fillId="0" borderId="42"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36" fillId="9" borderId="48" xfId="0" applyFont="1" applyFill="1" applyBorder="1" applyAlignment="1">
      <alignment horizontal="left" vertical="center" wrapText="1"/>
    </xf>
    <xf numFmtId="1" fontId="36" fillId="9" borderId="25" xfId="0" applyNumberFormat="1" applyFont="1" applyFill="1" applyBorder="1" applyAlignment="1">
      <alignment vertical="center"/>
    </xf>
    <xf numFmtId="3" fontId="36" fillId="9" borderId="40" xfId="0" applyNumberFormat="1" applyFont="1" applyFill="1" applyBorder="1" applyAlignment="1">
      <alignment horizontal="center" vertical="center"/>
    </xf>
    <xf numFmtId="0" fontId="25" fillId="9" borderId="25" xfId="0" applyFont="1" applyFill="1" applyBorder="1" applyAlignment="1">
      <alignment vertical="center" wrapText="1"/>
    </xf>
    <xf numFmtId="0" fontId="0" fillId="0" borderId="0" xfId="0" applyAlignment="1">
      <alignment horizontal="left" vertical="center"/>
    </xf>
    <xf numFmtId="0" fontId="8" fillId="0" borderId="0" xfId="0" applyFont="1" applyAlignment="1">
      <alignment horizontal="left" wrapText="1"/>
    </xf>
    <xf numFmtId="0" fontId="14" fillId="0" borderId="40" xfId="0" applyFont="1" applyFill="1" applyBorder="1" applyAlignment="1">
      <alignment vertical="center" wrapText="1"/>
    </xf>
    <xf numFmtId="0" fontId="31" fillId="0" borderId="0" xfId="1" applyFont="1" applyAlignment="1" applyProtection="1">
      <alignment vertical="center" wrapText="1"/>
    </xf>
    <xf numFmtId="0" fontId="37" fillId="0" borderId="0" xfId="1" applyFont="1" applyFill="1" applyBorder="1" applyAlignment="1" applyProtection="1">
      <alignment horizontal="center" vertical="center" wrapText="1"/>
    </xf>
    <xf numFmtId="0" fontId="31" fillId="0" borderId="0" xfId="1" applyFont="1" applyBorder="1" applyAlignment="1" applyProtection="1">
      <alignment horizontal="left" vertical="center" wrapText="1"/>
    </xf>
    <xf numFmtId="0" fontId="31" fillId="0" borderId="0" xfId="1" applyFont="1" applyAlignment="1" applyProtection="1">
      <alignment horizontal="left" vertical="center" wrapText="1"/>
    </xf>
    <xf numFmtId="0" fontId="35" fillId="9" borderId="49" xfId="0" quotePrefix="1" applyFont="1" applyFill="1" applyBorder="1" applyAlignment="1">
      <alignment horizontal="center" vertical="center"/>
    </xf>
    <xf numFmtId="49" fontId="23" fillId="9" borderId="49" xfId="0" applyNumberFormat="1" applyFont="1" applyFill="1" applyBorder="1" applyAlignment="1">
      <alignment horizontal="center" vertical="center"/>
    </xf>
    <xf numFmtId="0" fontId="23" fillId="9" borderId="49" xfId="0" applyFont="1" applyFill="1" applyBorder="1" applyAlignment="1">
      <alignment horizontal="center" vertical="center"/>
    </xf>
    <xf numFmtId="0" fontId="14" fillId="0" borderId="0" xfId="0" applyFont="1" applyAlignment="1"/>
    <xf numFmtId="0" fontId="38" fillId="0" borderId="49" xfId="0" applyFont="1" applyBorder="1" applyAlignment="1">
      <alignment horizontal="center" vertical="center"/>
    </xf>
    <xf numFmtId="0" fontId="0" fillId="0" borderId="56" xfId="0" applyBorder="1" applyAlignment="1">
      <alignment horizontal="center" vertical="center"/>
    </xf>
    <xf numFmtId="0" fontId="5" fillId="9" borderId="1" xfId="1" applyFont="1" applyFill="1" applyBorder="1" applyAlignment="1" applyProtection="1">
      <alignment horizontal="center" vertical="center" wrapText="1"/>
      <protection locked="0"/>
    </xf>
    <xf numFmtId="0" fontId="5" fillId="7" borderId="7" xfId="1" applyFont="1" applyFill="1" applyBorder="1" applyAlignment="1" applyProtection="1">
      <alignment vertical="center" wrapText="1"/>
    </xf>
    <xf numFmtId="164" fontId="24" fillId="0" borderId="42" xfId="0" applyNumberFormat="1" applyFont="1" applyBorder="1" applyAlignment="1" applyProtection="1">
      <alignment horizontal="center" vertical="center"/>
      <protection locked="0"/>
    </xf>
    <xf numFmtId="0" fontId="24" fillId="7" borderId="37" xfId="0" applyFont="1" applyFill="1" applyBorder="1" applyAlignment="1" applyProtection="1">
      <alignment horizontal="center" vertical="center"/>
    </xf>
    <xf numFmtId="3" fontId="24" fillId="7" borderId="33" xfId="0" applyNumberFormat="1" applyFont="1" applyFill="1" applyBorder="1" applyAlignment="1" applyProtection="1">
      <alignment horizontal="center" vertical="center"/>
    </xf>
    <xf numFmtId="0" fontId="38" fillId="0" borderId="0" xfId="0" applyFont="1" applyAlignment="1">
      <alignment horizontal="center" vertical="center"/>
    </xf>
    <xf numFmtId="0" fontId="39" fillId="4" borderId="0" xfId="0" applyFont="1" applyFill="1" applyBorder="1" applyAlignment="1">
      <alignment horizontal="left" vertical="top" wrapText="1"/>
    </xf>
    <xf numFmtId="0" fontId="29" fillId="0" borderId="39" xfId="0" applyFont="1" applyFill="1" applyBorder="1" applyAlignment="1">
      <alignment vertical="center" wrapText="1"/>
    </xf>
    <xf numFmtId="0" fontId="29" fillId="0" borderId="40" xfId="0" applyFont="1" applyFill="1" applyBorder="1" applyAlignment="1">
      <alignment vertical="center" wrapText="1"/>
    </xf>
    <xf numFmtId="0" fontId="4" fillId="6" borderId="43" xfId="1" applyFont="1" applyFill="1" applyBorder="1" applyAlignment="1" applyProtection="1">
      <alignment horizontal="left" vertical="center" wrapText="1"/>
    </xf>
    <xf numFmtId="0" fontId="4" fillId="6" borderId="34" xfId="1" applyFont="1" applyFill="1" applyBorder="1" applyAlignment="1" applyProtection="1">
      <alignment horizontal="left" vertical="center" wrapText="1"/>
    </xf>
    <xf numFmtId="0" fontId="5" fillId="6" borderId="9" xfId="1" applyFont="1" applyFill="1" applyBorder="1" applyAlignment="1" applyProtection="1">
      <alignment horizontal="center" vertical="center" wrapText="1"/>
    </xf>
    <xf numFmtId="0" fontId="5" fillId="7" borderId="8" xfId="1" applyFont="1" applyFill="1" applyBorder="1" applyAlignment="1" applyProtection="1">
      <alignment horizontal="left" vertical="center" wrapText="1"/>
    </xf>
    <xf numFmtId="0" fontId="5" fillId="7" borderId="5" xfId="1" applyFont="1" applyFill="1" applyBorder="1" applyAlignment="1" applyProtection="1">
      <alignment horizontal="left" vertical="center" wrapText="1"/>
    </xf>
    <xf numFmtId="0" fontId="4" fillId="6" borderId="54" xfId="1" applyFont="1" applyFill="1" applyBorder="1" applyAlignment="1" applyProtection="1">
      <alignment horizontal="left" vertical="center" wrapText="1"/>
    </xf>
    <xf numFmtId="0" fontId="4" fillId="6" borderId="36" xfId="1" applyFont="1" applyFill="1" applyBorder="1" applyAlignment="1" applyProtection="1">
      <alignment horizontal="left" vertical="center" wrapText="1"/>
    </xf>
    <xf numFmtId="0" fontId="4" fillId="6" borderId="30" xfId="1" applyFont="1" applyFill="1" applyBorder="1" applyAlignment="1" applyProtection="1">
      <alignment horizontal="left" vertical="center" wrapText="1"/>
    </xf>
    <xf numFmtId="0" fontId="5" fillId="7" borderId="19" xfId="1" applyFont="1" applyFill="1" applyBorder="1" applyAlignment="1" applyProtection="1">
      <alignment horizontal="left" vertical="center" wrapText="1"/>
    </xf>
    <xf numFmtId="0" fontId="5" fillId="7" borderId="6" xfId="1" applyFont="1" applyFill="1" applyBorder="1" applyAlignment="1" applyProtection="1">
      <alignment horizontal="left" vertical="center" wrapText="1"/>
    </xf>
    <xf numFmtId="0" fontId="4" fillId="7" borderId="57" xfId="1" applyFont="1" applyFill="1" applyBorder="1" applyAlignment="1" applyProtection="1">
      <alignment horizontal="center" vertical="center" wrapText="1"/>
    </xf>
    <xf numFmtId="0" fontId="4" fillId="7" borderId="12" xfId="1" applyFont="1" applyFill="1" applyBorder="1" applyAlignment="1" applyProtection="1">
      <alignment horizontal="center" vertical="center" wrapText="1"/>
    </xf>
    <xf numFmtId="0" fontId="4" fillId="7" borderId="38" xfId="1" applyFont="1" applyFill="1" applyBorder="1" applyAlignment="1" applyProtection="1">
      <alignment horizontal="center" vertical="center" wrapText="1"/>
    </xf>
    <xf numFmtId="0" fontId="4" fillId="7" borderId="3" xfId="1" applyFont="1" applyFill="1" applyBorder="1" applyAlignment="1" applyProtection="1">
      <alignment horizontal="center" vertical="center" wrapText="1"/>
    </xf>
    <xf numFmtId="0" fontId="9" fillId="6" borderId="55" xfId="1" applyFont="1" applyFill="1" applyBorder="1" applyAlignment="1" applyProtection="1">
      <alignment horizontal="center" vertical="center" wrapText="1"/>
    </xf>
    <xf numFmtId="0" fontId="9" fillId="6" borderId="9" xfId="1" applyFont="1" applyFill="1" applyBorder="1" applyAlignment="1" applyProtection="1">
      <alignment horizontal="center" vertical="center" wrapText="1"/>
    </xf>
    <xf numFmtId="0" fontId="4" fillId="6" borderId="7" xfId="1" applyFont="1" applyFill="1" applyBorder="1" applyAlignment="1" applyProtection="1">
      <alignment horizontal="center" vertical="center" wrapText="1"/>
    </xf>
    <xf numFmtId="0" fontId="4" fillId="6" borderId="17" xfId="1" applyFont="1" applyFill="1" applyBorder="1" applyAlignment="1" applyProtection="1">
      <alignment horizontal="center" vertical="center" wrapText="1"/>
    </xf>
    <xf numFmtId="0" fontId="4" fillId="6" borderId="53" xfId="1" applyFont="1" applyFill="1" applyBorder="1" applyAlignment="1" applyProtection="1">
      <alignment horizontal="center" vertical="center" wrapText="1"/>
    </xf>
    <xf numFmtId="0" fontId="4" fillId="6" borderId="58" xfId="1" applyFont="1" applyFill="1" applyBorder="1" applyAlignment="1" applyProtection="1">
      <alignment horizontal="center" vertical="center" wrapText="1"/>
    </xf>
    <xf numFmtId="0" fontId="2" fillId="6" borderId="57" xfId="1" applyFont="1" applyFill="1" applyBorder="1" applyAlignment="1" applyProtection="1">
      <alignment horizontal="center" vertical="center" wrapText="1"/>
    </xf>
    <xf numFmtId="0" fontId="2" fillId="6" borderId="12" xfId="1" applyFont="1" applyFill="1" applyBorder="1" applyAlignment="1" applyProtection="1">
      <alignment horizontal="center" vertical="center" wrapText="1"/>
    </xf>
    <xf numFmtId="0" fontId="2" fillId="6" borderId="46" xfId="1" applyFont="1" applyFill="1" applyBorder="1" applyAlignment="1" applyProtection="1">
      <alignment horizontal="center" vertical="center" wrapText="1"/>
    </xf>
    <xf numFmtId="0" fontId="2" fillId="6" borderId="31" xfId="1" applyFont="1" applyFill="1" applyBorder="1" applyAlignment="1" applyProtection="1">
      <alignment horizontal="center" vertical="center" wrapText="1"/>
    </xf>
    <xf numFmtId="0" fontId="2" fillId="6" borderId="38" xfId="1" applyFont="1" applyFill="1" applyBorder="1" applyAlignment="1" applyProtection="1">
      <alignment horizontal="center" vertical="center" wrapText="1"/>
    </xf>
    <xf numFmtId="0" fontId="2" fillId="6" borderId="3" xfId="1" applyFont="1" applyFill="1" applyBorder="1" applyAlignment="1" applyProtection="1">
      <alignment horizontal="center" vertical="center" wrapText="1"/>
    </xf>
    <xf numFmtId="0" fontId="5" fillId="6" borderId="18" xfId="1" applyFont="1" applyFill="1" applyBorder="1" applyAlignment="1" applyProtection="1">
      <alignment horizontal="center" vertical="center" wrapText="1"/>
    </xf>
    <xf numFmtId="0" fontId="5" fillId="6" borderId="27" xfId="1" applyFont="1" applyFill="1" applyBorder="1" applyAlignment="1" applyProtection="1">
      <alignment horizontal="center" vertical="center" wrapText="1"/>
    </xf>
    <xf numFmtId="0" fontId="5" fillId="6" borderId="24" xfId="1" applyFont="1" applyFill="1" applyBorder="1" applyAlignment="1" applyProtection="1">
      <alignment horizontal="center" vertical="center" wrapText="1"/>
    </xf>
    <xf numFmtId="0" fontId="5" fillId="6" borderId="19" xfId="1" applyFont="1" applyFill="1" applyBorder="1" applyAlignment="1" applyProtection="1">
      <alignment horizontal="center" vertical="center" wrapText="1"/>
    </xf>
    <xf numFmtId="0" fontId="5" fillId="6" borderId="25" xfId="1" applyFont="1" applyFill="1" applyBorder="1" applyAlignment="1" applyProtection="1">
      <alignment horizontal="center" vertical="center" wrapText="1"/>
    </xf>
    <xf numFmtId="0" fontId="5" fillId="6" borderId="14" xfId="1" applyFont="1" applyFill="1" applyBorder="1" applyAlignment="1" applyProtection="1">
      <alignment horizontal="center" vertical="center" wrapText="1"/>
    </xf>
    <xf numFmtId="0" fontId="4" fillId="7" borderId="6" xfId="1" applyFont="1" applyFill="1" applyBorder="1" applyAlignment="1" applyProtection="1">
      <alignment horizontal="center" vertical="center" wrapText="1"/>
    </xf>
    <xf numFmtId="0" fontId="4" fillId="7" borderId="52" xfId="1" applyFont="1" applyFill="1" applyBorder="1" applyAlignment="1" applyProtection="1">
      <alignment horizontal="center" vertical="center" wrapText="1"/>
    </xf>
    <xf numFmtId="0" fontId="5" fillId="6" borderId="57" xfId="0" applyFont="1" applyFill="1" applyBorder="1" applyAlignment="1" applyProtection="1">
      <alignment horizontal="center" vertical="center" wrapText="1"/>
    </xf>
    <xf numFmtId="0" fontId="0" fillId="0" borderId="10" xfId="0" applyBorder="1"/>
    <xf numFmtId="0" fontId="0" fillId="0" borderId="12" xfId="0" applyBorder="1"/>
    <xf numFmtId="0" fontId="0" fillId="0" borderId="44" xfId="0" applyBorder="1"/>
    <xf numFmtId="0" fontId="0" fillId="0" borderId="39" xfId="0" applyBorder="1"/>
    <xf numFmtId="0" fontId="0" fillId="0" borderId="30" xfId="0" applyBorder="1"/>
    <xf numFmtId="0" fontId="3" fillId="6" borderId="57" xfId="1" applyFont="1" applyFill="1" applyBorder="1" applyAlignment="1" applyProtection="1">
      <alignment horizontal="center" vertical="center" wrapText="1"/>
    </xf>
    <xf numFmtId="0" fontId="3" fillId="6" borderId="10" xfId="1" applyFont="1" applyFill="1" applyBorder="1" applyAlignment="1" applyProtection="1">
      <alignment horizontal="center" vertical="center" wrapText="1"/>
    </xf>
    <xf numFmtId="0" fontId="3" fillId="6" borderId="46" xfId="1" applyFont="1" applyFill="1" applyBorder="1" applyAlignment="1" applyProtection="1">
      <alignment horizontal="center" vertical="center" wrapText="1"/>
    </xf>
    <xf numFmtId="0" fontId="3" fillId="6" borderId="0" xfId="1" applyFont="1" applyFill="1" applyBorder="1" applyAlignment="1" applyProtection="1">
      <alignment horizontal="center" vertical="center" wrapText="1"/>
    </xf>
    <xf numFmtId="0" fontId="3" fillId="6" borderId="38" xfId="1" applyFont="1" applyFill="1" applyBorder="1" applyAlignment="1" applyProtection="1">
      <alignment horizontal="center" vertical="center" wrapText="1"/>
    </xf>
    <xf numFmtId="0" fontId="3" fillId="6" borderId="4" xfId="1" applyFont="1" applyFill="1" applyBorder="1" applyAlignment="1" applyProtection="1">
      <alignment horizontal="center" vertical="center" wrapText="1"/>
    </xf>
    <xf numFmtId="0" fontId="5" fillId="0" borderId="26" xfId="1" applyFont="1" applyFill="1" applyBorder="1" applyAlignment="1" applyProtection="1">
      <alignment horizontal="center" vertical="center" wrapText="1"/>
      <protection locked="0"/>
    </xf>
    <xf numFmtId="0" fontId="5" fillId="0" borderId="16" xfId="1" applyFont="1" applyFill="1" applyBorder="1" applyAlignment="1" applyProtection="1">
      <alignment horizontal="center" vertical="center" wrapText="1"/>
      <protection locked="0"/>
    </xf>
    <xf numFmtId="0" fontId="40" fillId="6" borderId="55" xfId="1" applyFont="1" applyFill="1" applyBorder="1" applyAlignment="1" applyProtection="1">
      <alignment horizontal="center" vertical="center" wrapText="1"/>
    </xf>
    <xf numFmtId="0" fontId="40" fillId="6" borderId="9" xfId="1" applyFont="1" applyFill="1" applyBorder="1" applyAlignment="1" applyProtection="1">
      <alignment horizontal="center" vertical="center" wrapText="1"/>
    </xf>
    <xf numFmtId="0" fontId="40" fillId="6" borderId="1" xfId="1" applyFont="1" applyFill="1" applyBorder="1" applyAlignment="1" applyProtection="1">
      <alignment horizontal="center" vertical="center" wrapText="1"/>
    </xf>
    <xf numFmtId="0" fontId="5" fillId="0" borderId="54" xfId="1" applyFont="1" applyFill="1" applyBorder="1" applyAlignment="1" applyProtection="1">
      <alignment horizontal="center" vertical="center" wrapText="1"/>
      <protection locked="0"/>
    </xf>
    <xf numFmtId="0" fontId="5" fillId="0" borderId="36" xfId="1" applyFont="1" applyFill="1" applyBorder="1" applyAlignment="1" applyProtection="1">
      <alignment horizontal="center" vertical="center" wrapText="1"/>
      <protection locked="0"/>
    </xf>
    <xf numFmtId="0" fontId="2" fillId="2" borderId="53" xfId="1" applyFont="1" applyFill="1" applyBorder="1" applyAlignment="1" applyProtection="1">
      <alignment horizontal="center" vertical="center" wrapText="1"/>
    </xf>
    <xf numFmtId="0" fontId="2" fillId="2" borderId="59" xfId="1" applyFont="1" applyFill="1" applyBorder="1" applyAlignment="1" applyProtection="1">
      <alignment horizontal="center" vertical="center" wrapText="1"/>
    </xf>
    <xf numFmtId="0" fontId="0" fillId="0" borderId="59" xfId="0" applyBorder="1" applyProtection="1"/>
    <xf numFmtId="0" fontId="4" fillId="11" borderId="57" xfId="1" applyFont="1" applyFill="1" applyBorder="1" applyAlignment="1" applyProtection="1">
      <alignment horizontal="left" vertical="center" wrapText="1"/>
    </xf>
    <xf numFmtId="0" fontId="4" fillId="11" borderId="10" xfId="1" applyFont="1" applyFill="1" applyBorder="1" applyAlignment="1" applyProtection="1">
      <alignment horizontal="left" vertical="center" wrapText="1"/>
    </xf>
    <xf numFmtId="0" fontId="0" fillId="11" borderId="10" xfId="0" applyFill="1" applyBorder="1" applyProtection="1"/>
    <xf numFmtId="0" fontId="0" fillId="11" borderId="46" xfId="0" applyFill="1" applyBorder="1" applyProtection="1"/>
    <xf numFmtId="0" fontId="0" fillId="11" borderId="0" xfId="0" applyFill="1" applyBorder="1" applyProtection="1"/>
    <xf numFmtId="0" fontId="4" fillId="6" borderId="55" xfId="1" applyFont="1" applyFill="1" applyBorder="1" applyAlignment="1" applyProtection="1">
      <alignment horizontal="center" vertical="center" wrapText="1"/>
    </xf>
    <xf numFmtId="0" fontId="4" fillId="6" borderId="1" xfId="1" applyFont="1" applyFill="1" applyBorder="1" applyAlignment="1" applyProtection="1">
      <alignment horizontal="center" vertical="center" wrapText="1"/>
    </xf>
    <xf numFmtId="0" fontId="5" fillId="6" borderId="57" xfId="1" applyFont="1" applyFill="1" applyBorder="1" applyAlignment="1" applyProtection="1">
      <alignment horizontal="center" vertical="center" wrapText="1"/>
    </xf>
    <xf numFmtId="0" fontId="5" fillId="6" borderId="12" xfId="1" applyFont="1" applyFill="1" applyBorder="1" applyAlignment="1" applyProtection="1">
      <alignment horizontal="center" vertical="center" wrapText="1"/>
    </xf>
    <xf numFmtId="0" fontId="5" fillId="6" borderId="44" xfId="1" applyFont="1" applyFill="1" applyBorder="1" applyAlignment="1" applyProtection="1">
      <alignment horizontal="center" vertical="center" wrapText="1"/>
    </xf>
    <xf numFmtId="0" fontId="5" fillId="6" borderId="30" xfId="1" applyFont="1" applyFill="1" applyBorder="1" applyAlignment="1" applyProtection="1">
      <alignment horizontal="center" vertical="center" wrapText="1"/>
    </xf>
    <xf numFmtId="0" fontId="4" fillId="7" borderId="7" xfId="1" applyFont="1" applyFill="1" applyBorder="1" applyAlignment="1" applyProtection="1">
      <alignment horizontal="center" vertical="center" wrapText="1"/>
    </xf>
    <xf numFmtId="0" fontId="4" fillId="7" borderId="33" xfId="1" applyFont="1" applyFill="1" applyBorder="1" applyAlignment="1" applyProtection="1">
      <alignment horizontal="center" vertical="center" wrapText="1"/>
    </xf>
    <xf numFmtId="0" fontId="4" fillId="7" borderId="17" xfId="1" applyFont="1" applyFill="1" applyBorder="1" applyAlignment="1" applyProtection="1">
      <alignment horizontal="center" vertical="center" wrapText="1"/>
    </xf>
    <xf numFmtId="0" fontId="4" fillId="6" borderId="8" xfId="1" applyFont="1" applyFill="1" applyBorder="1" applyAlignment="1" applyProtection="1">
      <alignment horizontal="center" vertical="center" wrapText="1"/>
    </xf>
    <xf numFmtId="0" fontId="4" fillId="6" borderId="54" xfId="1" applyFont="1" applyFill="1" applyBorder="1" applyAlignment="1" applyProtection="1">
      <alignment horizontal="center" vertical="center" wrapText="1"/>
    </xf>
    <xf numFmtId="0" fontId="5" fillId="0" borderId="38"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5" fillId="0" borderId="3" xfId="1" applyFont="1" applyBorder="1" applyAlignment="1" applyProtection="1">
      <alignment horizontal="center" vertical="center" wrapText="1"/>
      <protection locked="0"/>
    </xf>
    <xf numFmtId="0" fontId="4" fillId="6" borderId="44" xfId="0" applyFont="1" applyFill="1" applyBorder="1" applyAlignment="1" applyProtection="1">
      <alignment horizontal="left" vertical="center" wrapText="1"/>
    </xf>
    <xf numFmtId="0" fontId="4" fillId="6" borderId="30" xfId="0" applyFont="1" applyFill="1" applyBorder="1" applyAlignment="1" applyProtection="1">
      <alignment horizontal="left" vertical="center" wrapText="1"/>
    </xf>
    <xf numFmtId="0" fontId="5" fillId="7" borderId="12" xfId="1" applyFont="1" applyFill="1" applyBorder="1" applyAlignment="1" applyProtection="1">
      <alignment horizontal="left" vertical="center" wrapText="1"/>
    </xf>
    <xf numFmtId="0" fontId="4" fillId="5" borderId="53" xfId="1" applyFont="1" applyFill="1" applyBorder="1" applyAlignment="1" applyProtection="1">
      <alignment horizontal="left" vertical="center" wrapText="1"/>
    </xf>
    <xf numFmtId="0" fontId="4" fillId="5" borderId="59" xfId="1" applyFont="1" applyFill="1" applyBorder="1" applyAlignment="1" applyProtection="1">
      <alignment horizontal="left" vertical="center" wrapText="1"/>
    </xf>
    <xf numFmtId="0" fontId="0" fillId="0" borderId="58" xfId="0" applyBorder="1" applyProtection="1"/>
    <xf numFmtId="0" fontId="4" fillId="3" borderId="53" xfId="1" applyFont="1" applyFill="1" applyBorder="1" applyAlignment="1" applyProtection="1">
      <alignment horizontal="center" vertical="center" wrapText="1"/>
    </xf>
    <xf numFmtId="0" fontId="4" fillId="3" borderId="59" xfId="1" applyFont="1" applyFill="1" applyBorder="1" applyAlignment="1" applyProtection="1">
      <alignment horizontal="center" vertical="center" wrapText="1"/>
    </xf>
    <xf numFmtId="0" fontId="4" fillId="3" borderId="58" xfId="1" applyFont="1" applyFill="1" applyBorder="1" applyAlignment="1" applyProtection="1">
      <alignment horizontal="center" vertical="center" wrapText="1"/>
    </xf>
    <xf numFmtId="0" fontId="4" fillId="5" borderId="57" xfId="1" applyFont="1" applyFill="1" applyBorder="1" applyAlignment="1" applyProtection="1">
      <alignment horizontal="left" vertical="center" wrapText="1"/>
    </xf>
    <xf numFmtId="0" fontId="4" fillId="5" borderId="10" xfId="1" applyFont="1" applyFill="1" applyBorder="1" applyAlignment="1" applyProtection="1">
      <alignment horizontal="left" vertical="center" wrapText="1"/>
    </xf>
    <xf numFmtId="0" fontId="0" fillId="0" borderId="10" xfId="0" applyBorder="1" applyProtection="1"/>
    <xf numFmtId="0" fontId="0" fillId="0" borderId="12" xfId="0" applyBorder="1" applyProtection="1"/>
    <xf numFmtId="0" fontId="5" fillId="10" borderId="53" xfId="1" applyFont="1" applyFill="1" applyBorder="1" applyAlignment="1" applyProtection="1">
      <alignment horizontal="center" vertical="center" wrapText="1"/>
    </xf>
    <xf numFmtId="0" fontId="5" fillId="10" borderId="58" xfId="1" applyFont="1" applyFill="1" applyBorder="1" applyAlignment="1" applyProtection="1">
      <alignment horizontal="center" vertical="center" wrapText="1"/>
    </xf>
    <xf numFmtId="0" fontId="5" fillId="6" borderId="1" xfId="1" applyFont="1" applyFill="1" applyBorder="1" applyAlignment="1" applyProtection="1">
      <alignment horizontal="center" vertical="center" wrapText="1"/>
    </xf>
    <xf numFmtId="3" fontId="4" fillId="7" borderId="8" xfId="1" applyNumberFormat="1" applyFont="1" applyFill="1" applyBorder="1" applyAlignment="1" applyProtection="1">
      <alignment horizontal="center" vertical="center" wrapText="1"/>
    </xf>
    <xf numFmtId="3" fontId="4" fillId="7" borderId="6" xfId="1" applyNumberFormat="1" applyFont="1" applyFill="1" applyBorder="1" applyAlignment="1" applyProtection="1">
      <alignment horizontal="center" vertical="center" wrapText="1"/>
    </xf>
    <xf numFmtId="3" fontId="4" fillId="7" borderId="5" xfId="1" applyNumberFormat="1" applyFont="1" applyFill="1" applyBorder="1" applyAlignment="1" applyProtection="1">
      <alignment horizontal="center" vertical="center" wrapText="1"/>
    </xf>
    <xf numFmtId="0" fontId="4" fillId="6" borderId="43" xfId="0" applyFont="1" applyFill="1" applyBorder="1" applyAlignment="1" applyProtection="1">
      <alignment horizontal="left" vertical="center" wrapText="1"/>
    </xf>
    <xf numFmtId="0" fontId="24" fillId="6" borderId="20" xfId="0" applyFont="1" applyFill="1" applyBorder="1" applyAlignment="1" applyProtection="1">
      <alignment horizontal="center" vertical="center" wrapText="1"/>
    </xf>
    <xf numFmtId="0" fontId="24" fillId="6" borderId="21" xfId="0" applyFont="1" applyFill="1" applyBorder="1" applyAlignment="1" applyProtection="1">
      <alignment horizontal="center" vertical="center" wrapText="1"/>
    </xf>
    <xf numFmtId="0" fontId="24" fillId="6" borderId="9" xfId="0" applyFont="1" applyFill="1" applyBorder="1" applyAlignment="1" applyProtection="1">
      <alignment horizontal="center" vertical="center" wrapText="1"/>
    </xf>
    <xf numFmtId="0" fontId="24" fillId="6" borderId="1" xfId="0" applyFont="1" applyFill="1" applyBorder="1" applyAlignment="1" applyProtection="1">
      <alignment horizontal="center" vertical="center" wrapText="1"/>
    </xf>
    <xf numFmtId="0" fontId="23" fillId="2" borderId="57" xfId="0" applyFont="1" applyFill="1" applyBorder="1" applyAlignment="1" applyProtection="1">
      <alignment horizontal="center" vertical="center"/>
    </xf>
    <xf numFmtId="0" fontId="23" fillId="2" borderId="10" xfId="0" applyFont="1" applyFill="1" applyBorder="1" applyAlignment="1" applyProtection="1">
      <alignment horizontal="center" vertical="center"/>
    </xf>
    <xf numFmtId="0" fontId="23" fillId="2" borderId="12" xfId="0" applyFont="1" applyFill="1" applyBorder="1" applyAlignment="1" applyProtection="1">
      <alignment horizontal="center" vertical="center"/>
    </xf>
    <xf numFmtId="0" fontId="24" fillId="11" borderId="57" xfId="1" applyFont="1" applyFill="1" applyBorder="1" applyAlignment="1" applyProtection="1">
      <alignment horizontal="left" vertical="center" wrapText="1"/>
    </xf>
    <xf numFmtId="0" fontId="24" fillId="11" borderId="10" xfId="1" applyFont="1" applyFill="1" applyBorder="1" applyAlignment="1" applyProtection="1">
      <alignment horizontal="left" vertical="center" wrapText="1"/>
    </xf>
    <xf numFmtId="0" fontId="24" fillId="11" borderId="46" xfId="1" applyFont="1" applyFill="1" applyBorder="1" applyAlignment="1" applyProtection="1">
      <alignment horizontal="left" vertical="center" wrapText="1"/>
    </xf>
    <xf numFmtId="0" fontId="24" fillId="11" borderId="0" xfId="1" applyFont="1" applyFill="1" applyBorder="1" applyAlignment="1" applyProtection="1">
      <alignment horizontal="left" vertical="center" wrapText="1"/>
    </xf>
    <xf numFmtId="0" fontId="24" fillId="11" borderId="38" xfId="1" applyFont="1" applyFill="1" applyBorder="1" applyAlignment="1" applyProtection="1">
      <alignment horizontal="left" vertical="center" wrapText="1"/>
    </xf>
    <xf numFmtId="0" fontId="24" fillId="11" borderId="4" xfId="1" applyFont="1" applyFill="1" applyBorder="1" applyAlignment="1" applyProtection="1">
      <alignment horizontal="left" vertical="center" wrapText="1"/>
    </xf>
    <xf numFmtId="0" fontId="23" fillId="6" borderId="55"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xf>
    <xf numFmtId="0" fontId="23" fillId="6" borderId="1" xfId="0" applyFont="1" applyFill="1" applyBorder="1" applyAlignment="1" applyProtection="1">
      <alignment horizontal="center" vertical="center"/>
    </xf>
    <xf numFmtId="0" fontId="24" fillId="7" borderId="53" xfId="0" applyFont="1" applyFill="1" applyBorder="1" applyAlignment="1" applyProtection="1">
      <alignment horizontal="center" vertical="center"/>
    </xf>
    <xf numFmtId="0" fontId="24" fillId="7" borderId="59" xfId="0" applyFont="1" applyFill="1" applyBorder="1" applyAlignment="1" applyProtection="1">
      <alignment horizontal="center" vertical="center"/>
    </xf>
    <xf numFmtId="0" fontId="24" fillId="7" borderId="4" xfId="0" applyFont="1" applyFill="1" applyBorder="1" applyAlignment="1" applyProtection="1">
      <alignment horizontal="center" vertical="center"/>
    </xf>
    <xf numFmtId="0" fontId="24" fillId="7" borderId="3" xfId="0" applyFont="1" applyFill="1" applyBorder="1" applyAlignment="1" applyProtection="1">
      <alignment horizontal="center" vertical="center"/>
    </xf>
    <xf numFmtId="0" fontId="24" fillId="7" borderId="55" xfId="0" applyFont="1" applyFill="1" applyBorder="1" applyAlignment="1" applyProtection="1">
      <alignment horizontal="center" vertical="center" wrapText="1"/>
    </xf>
    <xf numFmtId="0" fontId="24" fillId="7" borderId="9" xfId="0" applyFont="1" applyFill="1" applyBorder="1" applyAlignment="1" applyProtection="1">
      <alignment horizontal="center" vertical="center" wrapText="1"/>
    </xf>
    <xf numFmtId="0" fontId="24" fillId="7" borderId="32" xfId="0" applyFont="1" applyFill="1" applyBorder="1" applyAlignment="1" applyProtection="1">
      <alignment horizontal="center" vertical="center" wrapText="1"/>
    </xf>
    <xf numFmtId="0" fontId="24" fillId="6" borderId="55" xfId="0" applyFont="1" applyFill="1" applyBorder="1" applyAlignment="1" applyProtection="1">
      <alignment horizontal="center" vertical="center" wrapText="1"/>
    </xf>
    <xf numFmtId="0" fontId="24" fillId="6" borderId="32" xfId="0" applyFont="1" applyFill="1" applyBorder="1" applyAlignment="1" applyProtection="1">
      <alignment horizontal="center" vertical="center" wrapText="1"/>
    </xf>
    <xf numFmtId="0" fontId="24" fillId="7" borderId="57" xfId="0" applyFont="1" applyFill="1" applyBorder="1" applyAlignment="1" applyProtection="1">
      <alignment horizontal="center" vertical="center" wrapText="1"/>
    </xf>
    <xf numFmtId="0" fontId="24" fillId="7" borderId="46" xfId="0" applyFont="1" applyFill="1" applyBorder="1" applyAlignment="1" applyProtection="1">
      <alignment horizontal="center" vertical="center" wrapText="1"/>
    </xf>
    <xf numFmtId="0" fontId="24" fillId="7" borderId="44" xfId="0" applyFont="1" applyFill="1" applyBorder="1" applyAlignment="1" applyProtection="1">
      <alignment horizontal="center" vertical="center" wrapText="1"/>
    </xf>
    <xf numFmtId="0" fontId="24" fillId="6" borderId="33" xfId="0" applyFont="1" applyFill="1" applyBorder="1" applyAlignment="1" applyProtection="1">
      <alignment horizontal="center" vertical="center" wrapText="1"/>
    </xf>
    <xf numFmtId="0" fontId="22" fillId="2" borderId="53" xfId="0" applyFont="1" applyFill="1" applyBorder="1" applyAlignment="1" applyProtection="1">
      <alignment horizontal="right" vertical="center"/>
    </xf>
    <xf numFmtId="0" fontId="22" fillId="2" borderId="58" xfId="0" applyFont="1" applyFill="1" applyBorder="1" applyAlignment="1" applyProtection="1">
      <alignment horizontal="right" vertical="center"/>
    </xf>
    <xf numFmtId="0" fontId="24" fillId="6" borderId="60" xfId="0" applyFont="1" applyFill="1" applyBorder="1" applyAlignment="1" applyProtection="1">
      <alignment horizontal="center" vertical="center" wrapText="1"/>
    </xf>
    <xf numFmtId="0" fontId="24" fillId="6" borderId="61" xfId="0" applyFont="1" applyFill="1" applyBorder="1" applyAlignment="1" applyProtection="1">
      <alignment horizontal="center" vertical="center" wrapText="1"/>
    </xf>
    <xf numFmtId="0" fontId="24" fillId="6" borderId="11" xfId="0" applyFont="1" applyFill="1" applyBorder="1" applyAlignment="1" applyProtection="1">
      <alignment horizontal="center" vertical="center" wrapText="1"/>
    </xf>
    <xf numFmtId="0" fontId="25" fillId="0" borderId="14" xfId="0" applyNumberFormat="1" applyFont="1" applyBorder="1" applyAlignment="1">
      <alignment horizontal="center" vertical="center" wrapText="1"/>
    </xf>
    <xf numFmtId="0" fontId="25" fillId="0" borderId="40" xfId="0" applyNumberFormat="1" applyFont="1" applyBorder="1" applyAlignment="1">
      <alignment horizontal="center" vertical="center" wrapText="1"/>
    </xf>
    <xf numFmtId="0" fontId="25" fillId="0" borderId="25" xfId="0" applyNumberFormat="1" applyFont="1" applyBorder="1" applyAlignment="1">
      <alignment horizontal="center" vertical="center" wrapText="1"/>
    </xf>
    <xf numFmtId="0" fontId="6" fillId="9" borderId="49" xfId="0" applyFont="1" applyFill="1" applyBorder="1" applyAlignment="1">
      <alignment horizontal="center" vertical="top" wrapText="1"/>
    </xf>
    <xf numFmtId="0" fontId="25" fillId="9" borderId="14" xfId="0" applyFont="1" applyFill="1" applyBorder="1" applyAlignment="1">
      <alignment horizontal="center" vertical="center" wrapText="1"/>
    </xf>
    <xf numFmtId="0" fontId="25" fillId="9" borderId="40" xfId="0" applyFont="1" applyFill="1" applyBorder="1" applyAlignment="1">
      <alignment horizontal="center" vertical="center" wrapText="1"/>
    </xf>
    <xf numFmtId="0" fontId="25" fillId="9" borderId="25" xfId="0" applyFont="1" applyFill="1" applyBorder="1" applyAlignment="1">
      <alignment horizontal="center" vertical="center" wrapText="1"/>
    </xf>
    <xf numFmtId="0" fontId="8" fillId="0" borderId="0" xfId="0" applyFont="1" applyAlignment="1">
      <alignment horizontal="left" wrapText="1"/>
    </xf>
    <xf numFmtId="0" fontId="42" fillId="9" borderId="14" xfId="0" applyFont="1" applyFill="1" applyBorder="1" applyAlignment="1">
      <alignment horizontal="center" vertical="center"/>
    </xf>
    <xf numFmtId="0" fontId="42" fillId="9" borderId="40" xfId="0" applyFont="1" applyFill="1" applyBorder="1" applyAlignment="1">
      <alignment horizontal="center" vertical="center"/>
    </xf>
    <xf numFmtId="0" fontId="42" fillId="9" borderId="25" xfId="0" applyFont="1" applyFill="1" applyBorder="1" applyAlignment="1">
      <alignment horizontal="center" vertical="center"/>
    </xf>
    <xf numFmtId="0" fontId="41" fillId="0" borderId="21" xfId="0" applyFont="1" applyBorder="1" applyAlignment="1">
      <alignment horizontal="left" vertical="center" wrapText="1"/>
    </xf>
    <xf numFmtId="0" fontId="41" fillId="0" borderId="39" xfId="0" applyFont="1" applyBorder="1" applyAlignment="1">
      <alignment horizontal="left" vertical="center"/>
    </xf>
    <xf numFmtId="0" fontId="41" fillId="0" borderId="48" xfId="0" applyFont="1" applyBorder="1" applyAlignment="1">
      <alignment horizontal="left" vertical="center"/>
    </xf>
    <xf numFmtId="0" fontId="25" fillId="9" borderId="62" xfId="0" applyFont="1" applyFill="1" applyBorder="1" applyAlignment="1">
      <alignment horizontal="left" vertical="center" wrapText="1"/>
    </xf>
    <xf numFmtId="0" fontId="25" fillId="9" borderId="48" xfId="0" applyFont="1" applyFill="1" applyBorder="1" applyAlignment="1">
      <alignment horizontal="left" vertical="center" wrapText="1"/>
    </xf>
    <xf numFmtId="0" fontId="25" fillId="9" borderId="41" xfId="0" applyFont="1" applyFill="1" applyBorder="1" applyAlignment="1">
      <alignment horizontal="center" vertical="center" wrapText="1"/>
    </xf>
    <xf numFmtId="0" fontId="25" fillId="9" borderId="0" xfId="0" applyFont="1" applyFill="1" applyBorder="1" applyAlignment="1">
      <alignment horizontal="center" vertical="center" wrapText="1"/>
    </xf>
    <xf numFmtId="0" fontId="25" fillId="9" borderId="62" xfId="0" applyFont="1" applyFill="1" applyBorder="1" applyAlignment="1">
      <alignment horizontal="center" vertical="center" wrapText="1"/>
    </xf>
    <xf numFmtId="0" fontId="25" fillId="9" borderId="21"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8" xfId="0" applyFont="1" applyFill="1" applyBorder="1" applyAlignment="1">
      <alignment horizontal="center" vertical="center" wrapText="1"/>
    </xf>
    <xf numFmtId="0" fontId="25" fillId="0" borderId="14"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4" xfId="0" applyFont="1" applyBorder="1" applyAlignment="1">
      <alignment horizontal="center" vertical="center"/>
    </xf>
    <xf numFmtId="0" fontId="25" fillId="0" borderId="40" xfId="0" applyFont="1" applyBorder="1" applyAlignment="1">
      <alignment horizontal="center" vertical="center"/>
    </xf>
    <xf numFmtId="0" fontId="25" fillId="0" borderId="25" xfId="0" applyFont="1" applyBorder="1" applyAlignment="1">
      <alignment horizontal="center" vertical="center"/>
    </xf>
  </cellXfs>
  <cellStyles count="4">
    <cellStyle name="Standard" xfId="0" builtinId="0"/>
    <cellStyle name="Standard 2" xfId="1" xr:uid="{00000000-0005-0000-0000-000001000000}"/>
    <cellStyle name="Standard 3" xfId="2" xr:uid="{00000000-0005-0000-0000-000002000000}"/>
    <cellStyle name="Standard 3 2" xfId="3" xr:uid="{00000000-0005-0000-0000-000003000000}"/>
  </cellStyles>
  <dxfs count="28">
    <dxf>
      <fill>
        <patternFill>
          <bgColor theme="9" tint="0.39994506668294322"/>
        </patternFill>
      </fill>
    </dxf>
    <dxf>
      <fill>
        <patternFill>
          <bgColor theme="5" tint="0.59996337778862885"/>
        </patternFill>
      </fill>
    </dxf>
    <dxf>
      <font>
        <color auto="1"/>
      </font>
      <fill>
        <patternFill>
          <bgColor theme="5" tint="0.39994506668294322"/>
        </patternFill>
      </fill>
    </dxf>
    <dxf>
      <font>
        <color auto="1"/>
      </font>
      <fill>
        <patternFill>
          <bgColor theme="5"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5000625</xdr:colOff>
          <xdr:row>1</xdr:row>
          <xdr:rowOff>57150</xdr:rowOff>
        </xdr:from>
        <xdr:to>
          <xdr:col>0</xdr:col>
          <xdr:colOff>6238875</xdr:colOff>
          <xdr:row>3</xdr:row>
          <xdr:rowOff>485775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0</xdr:row>
          <xdr:rowOff>47625</xdr:rowOff>
        </xdr:from>
        <xdr:to>
          <xdr:col>0</xdr:col>
          <xdr:colOff>1466850</xdr:colOff>
          <xdr:row>0</xdr:row>
          <xdr:rowOff>371475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85725</xdr:rowOff>
        </xdr:from>
        <xdr:to>
          <xdr:col>0</xdr:col>
          <xdr:colOff>609600</xdr:colOff>
          <xdr:row>0</xdr:row>
          <xdr:rowOff>409575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628650</xdr:colOff>
          <xdr:row>1</xdr:row>
          <xdr:rowOff>200025</xdr:rowOff>
        </xdr:from>
        <xdr:to>
          <xdr:col>4</xdr:col>
          <xdr:colOff>1819275</xdr:colOff>
          <xdr:row>1</xdr:row>
          <xdr:rowOff>1000125</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image" Target="../media/image1.emf"/><Relationship Id="rId5" Type="http://schemas.openxmlformats.org/officeDocument/2006/relationships/oleObject" Target="../embeddings/oleObject3.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image" Target="../media/image1.emf"/><Relationship Id="rId5" Type="http://schemas.openxmlformats.org/officeDocument/2006/relationships/oleObject" Target="../embeddings/oleObject4.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2"/>
  <sheetViews>
    <sheetView workbookViewId="0"/>
  </sheetViews>
  <sheetFormatPr baseColWidth="10" defaultRowHeight="12.75" x14ac:dyDescent="0.2"/>
  <cols>
    <col min="1" max="1" width="101" style="84" customWidth="1"/>
    <col min="2" max="3" width="11.42578125" style="21"/>
    <col min="4" max="16384" width="11.42578125" style="22"/>
  </cols>
  <sheetData>
    <row r="2" spans="1:1" ht="18.75" x14ac:dyDescent="0.3">
      <c r="A2" s="118" t="s">
        <v>178</v>
      </c>
    </row>
    <row r="3" spans="1:1" ht="15.75" x14ac:dyDescent="0.2">
      <c r="A3" s="265" t="s">
        <v>179</v>
      </c>
    </row>
    <row r="4" spans="1:1" ht="51.75" customHeight="1" x14ac:dyDescent="0.2">
      <c r="A4" s="119"/>
    </row>
    <row r="5" spans="1:1" ht="95.25" customHeight="1" x14ac:dyDescent="0.2">
      <c r="A5" s="267" t="s">
        <v>181</v>
      </c>
    </row>
    <row r="6" spans="1:1" ht="58.5" customHeight="1" x14ac:dyDescent="0.2">
      <c r="A6" s="266" t="s">
        <v>182</v>
      </c>
    </row>
    <row r="7" spans="1:1" ht="49.5" customHeight="1" x14ac:dyDescent="0.2">
      <c r="A7" s="267" t="s">
        <v>185</v>
      </c>
    </row>
    <row r="8" spans="1:1" ht="28.5" customHeight="1" x14ac:dyDescent="0.2">
      <c r="A8" s="267" t="s">
        <v>180</v>
      </c>
    </row>
    <row r="9" spans="1:1" ht="84" customHeight="1" x14ac:dyDescent="0.2">
      <c r="A9" s="120" t="s">
        <v>186</v>
      </c>
    </row>
    <row r="10" spans="1:1" ht="284.25" customHeight="1" x14ac:dyDescent="0.2">
      <c r="A10" s="248" t="s">
        <v>183</v>
      </c>
    </row>
    <row r="11" spans="1:1" ht="73.5" customHeight="1" x14ac:dyDescent="0.2">
      <c r="A11" s="121" t="s">
        <v>151</v>
      </c>
    </row>
    <row r="12" spans="1:1" ht="20.25" customHeight="1" x14ac:dyDescent="0.2">
      <c r="A12" s="122" t="s">
        <v>150</v>
      </c>
    </row>
    <row r="13" spans="1:1" ht="47.25" x14ac:dyDescent="0.2">
      <c r="A13" s="120" t="s">
        <v>105</v>
      </c>
    </row>
    <row r="22" spans="1:4" ht="15" x14ac:dyDescent="0.25">
      <c r="A22" s="23"/>
      <c r="B22" s="24"/>
      <c r="C22" s="24"/>
      <c r="D22" s="25"/>
    </row>
  </sheetData>
  <sheetProtection password="DB7B" sheet="1" selectLockedCells="1"/>
  <customSheetViews>
    <customSheetView guid="{38621A12-BF95-4C99-9393-5E9BE54F8B73}" showRuler="0">
      <selection activeCell="A11" sqref="A11"/>
      <pageMargins left="0.92" right="0.96" top="0.87" bottom="0.74" header="0.45" footer="0.51181102362204722"/>
      <pageSetup paperSize="9" scale="95" orientation="portrait" r:id="rId1"/>
      <headerFooter alignWithMargins="0"/>
    </customSheetView>
  </customSheetViews>
  <phoneticPr fontId="0" type="noConversion"/>
  <pageMargins left="0.9055118110236221" right="0.9055118110236221" top="0.74803149606299213" bottom="0.74803149606299213" header="0.31496062992125984" footer="0.31496062992125984"/>
  <pageSetup paperSize="9" scale="85" orientation="portrait" r:id="rId2"/>
  <headerFooter alignWithMargins="0"/>
  <drawing r:id="rId3"/>
  <legacyDrawing r:id="rId4"/>
  <oleObjects>
    <mc:AlternateContent xmlns:mc="http://schemas.openxmlformats.org/markup-compatibility/2006">
      <mc:Choice Requires="x14">
        <oleObject shapeId="1025" r:id="rId5">
          <objectPr defaultSize="0" autoPict="0" r:id="rId6">
            <anchor moveWithCells="1">
              <from>
                <xdr:col>0</xdr:col>
                <xdr:colOff>5000625</xdr:colOff>
                <xdr:row>1</xdr:row>
                <xdr:rowOff>57150</xdr:rowOff>
              </from>
              <to>
                <xdr:col>0</xdr:col>
                <xdr:colOff>6238875</xdr:colOff>
                <xdr:row>3</xdr:row>
                <xdr:rowOff>485775</xdr:rowOff>
              </to>
            </anchor>
          </objectPr>
        </oleObject>
      </mc:Choice>
      <mc:Fallback>
        <oleObject shapeId="1025"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W74"/>
  <sheetViews>
    <sheetView tabSelected="1" zoomScaleNormal="100" workbookViewId="0">
      <selection activeCell="C14" sqref="C14"/>
    </sheetView>
  </sheetViews>
  <sheetFormatPr baseColWidth="10" defaultRowHeight="11.25" x14ac:dyDescent="0.2"/>
  <cols>
    <col min="1" max="1" width="40.42578125" style="6" customWidth="1"/>
    <col min="2" max="2" width="7.85546875" style="6" customWidth="1"/>
    <col min="3" max="3" width="10.28515625" style="4" customWidth="1"/>
    <col min="4" max="4" width="10.85546875" style="4" customWidth="1"/>
    <col min="5" max="5" width="8.85546875" style="4" customWidth="1"/>
    <col min="6" max="6" width="11" style="4" customWidth="1"/>
    <col min="7" max="7" width="10.140625" style="4" customWidth="1"/>
    <col min="8" max="8" width="10.28515625" style="4" customWidth="1"/>
    <col min="9" max="9" width="9.28515625" style="4" customWidth="1"/>
    <col min="10" max="11" width="9.140625" style="4" customWidth="1"/>
    <col min="12" max="12" width="13.85546875" style="4" customWidth="1"/>
    <col min="13" max="13" width="21.42578125" style="4" customWidth="1"/>
    <col min="14" max="14" width="26.7109375" style="128" customWidth="1"/>
    <col min="15" max="15" width="4.140625" style="140" customWidth="1"/>
    <col min="16" max="16" width="13.28515625" style="135" hidden="1" customWidth="1"/>
    <col min="17" max="17" width="11.42578125" style="135"/>
    <col min="18" max="18" width="34" style="135" customWidth="1"/>
    <col min="19" max="23" width="11.42578125" style="135"/>
    <col min="24" max="16384" width="11.42578125" style="3"/>
  </cols>
  <sheetData>
    <row r="1" spans="1:23" ht="32.25" customHeight="1" thickBot="1" x14ac:dyDescent="0.25">
      <c r="A1" s="321" t="s">
        <v>53</v>
      </c>
      <c r="B1" s="322"/>
      <c r="C1" s="323"/>
      <c r="D1" s="323"/>
      <c r="E1" s="323"/>
      <c r="F1" s="323"/>
      <c r="G1" s="323"/>
      <c r="H1" s="323"/>
      <c r="I1" s="323"/>
      <c r="J1" s="323"/>
      <c r="K1" s="323"/>
      <c r="L1" s="323"/>
      <c r="M1" s="282" t="s">
        <v>79</v>
      </c>
      <c r="N1" s="249"/>
      <c r="O1" s="135"/>
    </row>
    <row r="2" spans="1:23" ht="30" customHeight="1" x14ac:dyDescent="0.2">
      <c r="A2" s="324" t="s">
        <v>123</v>
      </c>
      <c r="B2" s="325"/>
      <c r="C2" s="326"/>
      <c r="D2" s="326"/>
      <c r="E2" s="326"/>
      <c r="F2" s="326"/>
      <c r="G2" s="326"/>
      <c r="H2" s="326"/>
      <c r="I2" s="326"/>
      <c r="J2" s="326"/>
      <c r="K2" s="326"/>
      <c r="L2" s="326"/>
      <c r="M2" s="283"/>
      <c r="O2" s="135"/>
    </row>
    <row r="3" spans="1:23" ht="42" customHeight="1" thickBot="1" x14ac:dyDescent="0.25">
      <c r="A3" s="327"/>
      <c r="B3" s="328"/>
      <c r="C3" s="328"/>
      <c r="D3" s="328"/>
      <c r="E3" s="328"/>
      <c r="F3" s="328"/>
      <c r="G3" s="328"/>
      <c r="H3" s="328"/>
      <c r="I3" s="328"/>
      <c r="J3" s="328"/>
      <c r="K3" s="328"/>
      <c r="L3" s="328"/>
      <c r="M3" s="283"/>
      <c r="N3" s="249"/>
      <c r="O3" s="135"/>
    </row>
    <row r="4" spans="1:23" ht="15" customHeight="1" x14ac:dyDescent="0.2">
      <c r="A4" s="331" t="s">
        <v>90</v>
      </c>
      <c r="B4" s="332"/>
      <c r="C4" s="294" t="s">
        <v>86</v>
      </c>
      <c r="D4" s="295"/>
      <c r="E4" s="296" t="s">
        <v>121</v>
      </c>
      <c r="F4" s="297"/>
      <c r="G4" s="302" t="s">
        <v>88</v>
      </c>
      <c r="H4" s="303"/>
      <c r="I4" s="304"/>
      <c r="J4" s="308"/>
      <c r="K4" s="309"/>
      <c r="L4" s="309"/>
      <c r="M4" s="316" t="str">
        <f>IF(OR(A6="",C6="",E6="",G6=""),"Füllen Sie zunächst 
die weißen Felder 
im Kopfbereich der Tabelle aus!","")</f>
        <v>Füllen Sie zunächst 
die weißen Felder 
im Kopfbereich der Tabelle aus!</v>
      </c>
      <c r="N4" s="128">
        <f>IF(M4="",0,1)</f>
        <v>1</v>
      </c>
      <c r="O4" s="135"/>
    </row>
    <row r="5" spans="1:23" ht="15" customHeight="1" x14ac:dyDescent="0.2">
      <c r="A5" s="333"/>
      <c r="B5" s="334"/>
      <c r="C5" s="110" t="s">
        <v>48</v>
      </c>
      <c r="D5" s="111" t="s">
        <v>49</v>
      </c>
      <c r="E5" s="298"/>
      <c r="F5" s="299"/>
      <c r="G5" s="305"/>
      <c r="H5" s="306"/>
      <c r="I5" s="307"/>
      <c r="J5" s="310"/>
      <c r="K5" s="311"/>
      <c r="L5" s="311"/>
      <c r="M5" s="317"/>
      <c r="N5" s="249"/>
      <c r="O5" s="135"/>
    </row>
    <row r="6" spans="1:23" ht="20.25" customHeight="1" thickBot="1" x14ac:dyDescent="0.25">
      <c r="A6" s="319"/>
      <c r="B6" s="320"/>
      <c r="C6" s="112"/>
      <c r="D6" s="91"/>
      <c r="E6" s="314"/>
      <c r="F6" s="315"/>
      <c r="G6" s="340"/>
      <c r="H6" s="341"/>
      <c r="I6" s="342"/>
      <c r="J6" s="312"/>
      <c r="K6" s="313"/>
      <c r="L6" s="313"/>
      <c r="M6" s="318"/>
      <c r="N6" s="249"/>
      <c r="O6" s="135"/>
    </row>
    <row r="7" spans="1:23" ht="3.75" customHeight="1" thickBot="1" x14ac:dyDescent="0.25">
      <c r="A7" s="86"/>
      <c r="B7" s="85"/>
      <c r="C7" s="90"/>
      <c r="D7" s="90"/>
      <c r="E7" s="90"/>
      <c r="F7" s="85"/>
      <c r="G7" s="85"/>
      <c r="H7" s="87"/>
      <c r="I7" s="85"/>
      <c r="J7" s="85"/>
      <c r="K7" s="85"/>
      <c r="L7" s="87"/>
      <c r="M7" s="114"/>
      <c r="N7" s="249"/>
      <c r="O7" s="135"/>
    </row>
    <row r="8" spans="1:23" ht="13.5" customHeight="1" thickBot="1" x14ac:dyDescent="0.25">
      <c r="A8" s="286" t="s">
        <v>36</v>
      </c>
      <c r="B8" s="287"/>
      <c r="C8" s="10" t="s">
        <v>54</v>
      </c>
      <c r="D8" s="165" t="s">
        <v>55</v>
      </c>
      <c r="E8" s="166" t="s">
        <v>56</v>
      </c>
      <c r="F8" s="7" t="s">
        <v>57</v>
      </c>
      <c r="G8" s="8" t="s">
        <v>66</v>
      </c>
      <c r="H8" s="166" t="s">
        <v>59</v>
      </c>
      <c r="I8" s="165" t="s">
        <v>60</v>
      </c>
      <c r="J8" s="166" t="s">
        <v>64</v>
      </c>
      <c r="K8" s="170" t="s">
        <v>61</v>
      </c>
      <c r="L8" s="171" t="s">
        <v>65</v>
      </c>
      <c r="M8" s="19"/>
      <c r="N8" s="249"/>
      <c r="O8" s="135"/>
    </row>
    <row r="9" spans="1:23" ht="34.5" customHeight="1" x14ac:dyDescent="0.2">
      <c r="A9" s="288" t="s">
        <v>52</v>
      </c>
      <c r="B9" s="289"/>
      <c r="C9" s="329" t="s">
        <v>87</v>
      </c>
      <c r="D9" s="278" t="s">
        <v>72</v>
      </c>
      <c r="E9" s="279"/>
      <c r="F9" s="284" t="s">
        <v>38</v>
      </c>
      <c r="G9" s="338" t="s">
        <v>139</v>
      </c>
      <c r="H9" s="335" t="s">
        <v>32</v>
      </c>
      <c r="I9" s="335" t="s">
        <v>37</v>
      </c>
      <c r="J9" s="278" t="s">
        <v>73</v>
      </c>
      <c r="K9" s="279"/>
      <c r="L9" s="300" t="s">
        <v>98</v>
      </c>
      <c r="M9" s="113"/>
      <c r="N9" s="249"/>
      <c r="O9" s="135"/>
    </row>
    <row r="10" spans="1:23" s="4" customFormat="1" ht="18" customHeight="1" thickBot="1" x14ac:dyDescent="0.25">
      <c r="A10" s="290"/>
      <c r="B10" s="291"/>
      <c r="C10" s="330"/>
      <c r="D10" s="280"/>
      <c r="E10" s="281"/>
      <c r="F10" s="285"/>
      <c r="G10" s="339"/>
      <c r="H10" s="336"/>
      <c r="I10" s="337"/>
      <c r="J10" s="280"/>
      <c r="K10" s="281"/>
      <c r="L10" s="301"/>
      <c r="M10" s="113"/>
      <c r="N10" s="128"/>
      <c r="O10" s="136"/>
      <c r="P10" s="136"/>
      <c r="Q10" s="136"/>
      <c r="R10" s="135"/>
      <c r="S10" s="136"/>
      <c r="T10" s="136"/>
      <c r="U10" s="136"/>
      <c r="V10" s="136"/>
      <c r="W10" s="136"/>
    </row>
    <row r="11" spans="1:23" ht="16.5" customHeight="1" thickBot="1" x14ac:dyDescent="0.25">
      <c r="A11" s="292"/>
      <c r="B11" s="293"/>
      <c r="C11" s="11" t="s">
        <v>91</v>
      </c>
      <c r="D11" s="167" t="s">
        <v>78</v>
      </c>
      <c r="E11" s="167" t="s">
        <v>63</v>
      </c>
      <c r="F11" s="11" t="s">
        <v>91</v>
      </c>
      <c r="G11" s="12" t="s">
        <v>30</v>
      </c>
      <c r="H11" s="337"/>
      <c r="I11" s="167" t="s">
        <v>30</v>
      </c>
      <c r="J11" s="172" t="s">
        <v>62</v>
      </c>
      <c r="K11" s="167" t="s">
        <v>63</v>
      </c>
      <c r="L11" s="173" t="s">
        <v>63</v>
      </c>
      <c r="M11" s="113"/>
      <c r="N11" s="249"/>
      <c r="O11" s="135"/>
    </row>
    <row r="12" spans="1:23" ht="16.5" customHeight="1" thickBot="1" x14ac:dyDescent="0.25">
      <c r="A12" s="286" t="s">
        <v>67</v>
      </c>
      <c r="B12" s="287"/>
      <c r="C12" s="11"/>
      <c r="D12" s="168"/>
      <c r="E12" s="169" t="s">
        <v>68</v>
      </c>
      <c r="F12" s="9"/>
      <c r="G12" s="11"/>
      <c r="H12" s="174"/>
      <c r="I12" s="16" t="s">
        <v>71</v>
      </c>
      <c r="J12" s="175"/>
      <c r="K12" s="169" t="s">
        <v>69</v>
      </c>
      <c r="L12" s="168" t="s">
        <v>70</v>
      </c>
      <c r="M12" s="113"/>
      <c r="N12" s="249"/>
      <c r="O12" s="135"/>
    </row>
    <row r="13" spans="1:23" ht="15" customHeight="1" x14ac:dyDescent="0.2">
      <c r="A13" s="271" t="s">
        <v>45</v>
      </c>
      <c r="B13" s="272"/>
      <c r="C13" s="13"/>
      <c r="D13" s="14"/>
      <c r="E13" s="15"/>
      <c r="F13" s="14"/>
      <c r="G13" s="15"/>
      <c r="H13" s="15"/>
      <c r="I13" s="16"/>
      <c r="J13" s="17"/>
      <c r="K13" s="18"/>
      <c r="L13" s="16"/>
      <c r="M13" s="270" t="str">
        <f>IF(OR(F14&gt;C14,F15&gt;C15),"Nebenprodukt kann nicht häufiger eingearbeitet werden (Spalte e), als die Frucht in der Fruchtfolge erscheint (Spalte a)!","")</f>
        <v/>
      </c>
      <c r="N13" s="128">
        <f>IF(M13="",0,1)</f>
        <v>0</v>
      </c>
      <c r="O13" s="135"/>
    </row>
    <row r="14" spans="1:23" ht="15" customHeight="1" x14ac:dyDescent="0.2">
      <c r="A14" s="268" t="s">
        <v>84</v>
      </c>
      <c r="B14" s="269"/>
      <c r="C14" s="63"/>
      <c r="D14" s="185">
        <f>IF(G$6="ja",-1840,-1300)</f>
        <v>-1300</v>
      </c>
      <c r="E14" s="186" t="str">
        <f>IF(C14="","",C14*D14)</f>
        <v/>
      </c>
      <c r="F14" s="94"/>
      <c r="G14" s="92"/>
      <c r="H14" s="176">
        <v>0.4</v>
      </c>
      <c r="I14" s="177" t="str">
        <f>IF(F14="","",G14*F14*H14)</f>
        <v/>
      </c>
      <c r="J14" s="178">
        <v>1</v>
      </c>
      <c r="K14" s="179" t="str">
        <f>IF(I14="","",I14*J14)</f>
        <v/>
      </c>
      <c r="L14" s="177" t="str">
        <f>IF(C14="","",SUM(E14+IF(K14="",0,K14)))</f>
        <v/>
      </c>
      <c r="M14" s="270"/>
      <c r="O14" s="135"/>
      <c r="R14" s="135" t="str">
        <f>IF(C14="","",CONCATENATE(A14,IF(C14=1,"",CONCATENATE(" (",C14," mal)"))))</f>
        <v/>
      </c>
    </row>
    <row r="15" spans="1:23" ht="15" customHeight="1" x14ac:dyDescent="0.2">
      <c r="A15" s="268" t="s">
        <v>28</v>
      </c>
      <c r="B15" s="269"/>
      <c r="C15" s="64"/>
      <c r="D15" s="185">
        <f>IF(G$6="ja",-1840,-1300)</f>
        <v>-1300</v>
      </c>
      <c r="E15" s="186" t="str">
        <f>IF(C15="","",C15*D15)</f>
        <v/>
      </c>
      <c r="F15" s="95"/>
      <c r="G15" s="93"/>
      <c r="H15" s="180">
        <v>0.7</v>
      </c>
      <c r="I15" s="177" t="str">
        <f>IF(F15="","",G15*F15*H15)</f>
        <v/>
      </c>
      <c r="J15" s="181">
        <v>1.3</v>
      </c>
      <c r="K15" s="179" t="str">
        <f>IF(I15="","",I15*J15)</f>
        <v/>
      </c>
      <c r="L15" s="177" t="str">
        <f>IF(C15="","",SUM(E15+IF(K15="",0,K15)))</f>
        <v/>
      </c>
      <c r="M15" s="270"/>
      <c r="O15" s="136"/>
      <c r="R15" s="135" t="str">
        <f>IF(C15="","",CONCATENATE(A15,IF(C15=1,"",CONCATENATE(" (",C15," mal)"))))</f>
        <v/>
      </c>
    </row>
    <row r="16" spans="1:23" ht="15" customHeight="1" thickBot="1" x14ac:dyDescent="0.25">
      <c r="A16" s="273" t="s">
        <v>0</v>
      </c>
      <c r="B16" s="274"/>
      <c r="C16" s="65"/>
      <c r="D16" s="185">
        <f>IF(G$6="ja",-1240,-1000)</f>
        <v>-1000</v>
      </c>
      <c r="E16" s="186" t="str">
        <f>IF(C16="","",C16*D16)</f>
        <v/>
      </c>
      <c r="F16" s="182" t="s">
        <v>35</v>
      </c>
      <c r="G16" s="182" t="s">
        <v>35</v>
      </c>
      <c r="H16" s="182" t="s">
        <v>35</v>
      </c>
      <c r="I16" s="183" t="s">
        <v>35</v>
      </c>
      <c r="J16" s="184" t="s">
        <v>35</v>
      </c>
      <c r="K16" s="179" t="s">
        <v>35</v>
      </c>
      <c r="L16" s="177" t="str">
        <f>IF(C16="","",E16)</f>
        <v/>
      </c>
      <c r="M16" s="270"/>
      <c r="O16" s="135"/>
      <c r="R16" s="135" t="str">
        <f>IF(C16="","",CONCATENATE(A16,IF(C16=1,"",CONCATENATE(" (",C16," mal)"))))</f>
        <v/>
      </c>
    </row>
    <row r="17" spans="1:18" ht="15" customHeight="1" x14ac:dyDescent="0.2">
      <c r="A17" s="271" t="s">
        <v>33</v>
      </c>
      <c r="B17" s="272"/>
      <c r="C17" s="66"/>
      <c r="D17" s="67"/>
      <c r="E17" s="66"/>
      <c r="F17" s="67"/>
      <c r="G17" s="66"/>
      <c r="H17" s="66"/>
      <c r="I17" s="68"/>
      <c r="J17" s="69"/>
      <c r="K17" s="70"/>
      <c r="L17" s="68"/>
      <c r="M17" s="19"/>
      <c r="O17" s="135"/>
    </row>
    <row r="18" spans="1:18" ht="15" customHeight="1" x14ac:dyDescent="0.2">
      <c r="A18" s="268" t="s">
        <v>19</v>
      </c>
      <c r="B18" s="269"/>
      <c r="C18" s="71"/>
      <c r="D18" s="185">
        <f>IF(G$6="ja",-1040,-800)</f>
        <v>-800</v>
      </c>
      <c r="E18" s="186" t="str">
        <f>IF(C18="","",C18*D18)</f>
        <v/>
      </c>
      <c r="F18" s="94"/>
      <c r="G18" s="92"/>
      <c r="H18" s="176">
        <v>1</v>
      </c>
      <c r="I18" s="177" t="str">
        <f>IF(F18="","",G18*F18*H18)</f>
        <v/>
      </c>
      <c r="J18" s="205">
        <v>7</v>
      </c>
      <c r="K18" s="179" t="str">
        <f>IF(I18="","",I18*J18)</f>
        <v/>
      </c>
      <c r="L18" s="177" t="str">
        <f>IF(C18="","",SUM(E18+IF(K18="",0,K18)))</f>
        <v/>
      </c>
      <c r="M18" s="270" t="str">
        <f>IF(OR(F18&gt;C18),"Nebenprodukt kann nicht häufiger eingearbeitet werden (Spalte e), als die Frucht in der Fruchtfolge erscheint (Spalte a)!","")</f>
        <v/>
      </c>
      <c r="N18" s="128">
        <f>IF(M18="",0,1)</f>
        <v>0</v>
      </c>
      <c r="O18" s="135"/>
      <c r="R18" s="135" t="str">
        <f>IF(C18="","",CONCATENATE(A18,IF(C18=1,"",CONCATENATE(" (",C18," mal)"))))</f>
        <v/>
      </c>
    </row>
    <row r="19" spans="1:18" ht="15" customHeight="1" x14ac:dyDescent="0.2">
      <c r="A19" s="268" t="s">
        <v>29</v>
      </c>
      <c r="B19" s="269"/>
      <c r="C19" s="72"/>
      <c r="D19" s="185">
        <f>IF(G$6="ja",-1040,-800)</f>
        <v>-800</v>
      </c>
      <c r="E19" s="186" t="str">
        <f>IF(C19="","",C19*D19)</f>
        <v/>
      </c>
      <c r="F19" s="187" t="s">
        <v>35</v>
      </c>
      <c r="G19" s="186" t="s">
        <v>35</v>
      </c>
      <c r="H19" s="188" t="s">
        <v>35</v>
      </c>
      <c r="I19" s="177" t="s">
        <v>35</v>
      </c>
      <c r="J19" s="189" t="s">
        <v>35</v>
      </c>
      <c r="K19" s="186" t="s">
        <v>35</v>
      </c>
      <c r="L19" s="177" t="str">
        <f>IF(C19="","",E19)</f>
        <v/>
      </c>
      <c r="M19" s="270"/>
      <c r="O19" s="135"/>
      <c r="R19" s="135" t="str">
        <f>IF(C19="","",CONCATENATE(A19,IF(C19=1,"",CONCATENATE(" (",C19," mal)"))))</f>
        <v/>
      </c>
    </row>
    <row r="20" spans="1:18" ht="15" customHeight="1" thickBot="1" x14ac:dyDescent="0.25">
      <c r="A20" s="273" t="s">
        <v>34</v>
      </c>
      <c r="B20" s="274"/>
      <c r="C20" s="73"/>
      <c r="D20" s="185">
        <f>IF(G$6="ja",-1040,-800)</f>
        <v>-800</v>
      </c>
      <c r="E20" s="186" t="str">
        <f>IF(C20="","",C20*D20)</f>
        <v/>
      </c>
      <c r="F20" s="187" t="s">
        <v>35</v>
      </c>
      <c r="G20" s="190" t="s">
        <v>35</v>
      </c>
      <c r="H20" s="182" t="s">
        <v>35</v>
      </c>
      <c r="I20" s="177" t="s">
        <v>35</v>
      </c>
      <c r="J20" s="184" t="s">
        <v>35</v>
      </c>
      <c r="K20" s="191" t="s">
        <v>35</v>
      </c>
      <c r="L20" s="177" t="str">
        <f>IF(C20="","",E20)</f>
        <v/>
      </c>
      <c r="M20" s="270"/>
      <c r="O20" s="135"/>
      <c r="R20" s="135" t="str">
        <f>IF(C20="","",CONCATENATE(A20,IF(C20=1,"",CONCATENATE(" (",C20," mal)"))))</f>
        <v/>
      </c>
    </row>
    <row r="21" spans="1:18" ht="15" customHeight="1" x14ac:dyDescent="0.2">
      <c r="A21" s="271" t="s">
        <v>100</v>
      </c>
      <c r="B21" s="272"/>
      <c r="C21" s="66"/>
      <c r="D21" s="67"/>
      <c r="E21" s="66"/>
      <c r="F21" s="67"/>
      <c r="G21" s="66"/>
      <c r="H21" s="66"/>
      <c r="I21" s="164"/>
      <c r="J21" s="69"/>
      <c r="K21" s="70"/>
      <c r="L21" s="164"/>
      <c r="M21" s="270"/>
      <c r="O21" s="135"/>
    </row>
    <row r="22" spans="1:18" ht="15" customHeight="1" x14ac:dyDescent="0.2">
      <c r="A22" s="268" t="s">
        <v>17</v>
      </c>
      <c r="B22" s="269"/>
      <c r="C22" s="63"/>
      <c r="D22" s="185">
        <f t="shared" ref="D22:D31" si="0">IF(G$6="ja",-520,-400)</f>
        <v>-400</v>
      </c>
      <c r="E22" s="186" t="str">
        <f t="shared" ref="E22:E31" si="1">IF(C22="","",C22*D22)</f>
        <v/>
      </c>
      <c r="F22" s="94"/>
      <c r="G22" s="92"/>
      <c r="H22" s="176">
        <v>0.7</v>
      </c>
      <c r="I22" s="177" t="str">
        <f t="shared" ref="I22:I30" si="2">IF(F22="","",G22*F22*H22)</f>
        <v/>
      </c>
      <c r="J22" s="205">
        <v>7</v>
      </c>
      <c r="K22" s="179" t="str">
        <f t="shared" ref="K22:K30" si="3">IF(I22="","",I22*J22)</f>
        <v/>
      </c>
      <c r="L22" s="177" t="str">
        <f t="shared" ref="L22:L30" si="4">IF(C22="","",SUM(E22+IF(K22="",0,K22)))</f>
        <v/>
      </c>
      <c r="M22" s="270" t="str">
        <f>IF(OR(F22&gt;C22,F24&gt;C24,F25&gt;C25,F23&gt;C23),"Nebenprodukt kann nicht häufiger eingearbeitet werden (Spalte e), als die Frucht in der Fruchtfolge erscheint (Spalte a)!","")</f>
        <v/>
      </c>
      <c r="N22" s="128">
        <f>IF(M22="",0,1)</f>
        <v>0</v>
      </c>
      <c r="O22" s="135"/>
      <c r="R22" s="135" t="str">
        <f>IF(AND(C22="",C23="",C24="",C25=""),"",CONCATENATE("Sommergetreide",IF(C22+C23+C24+C25=1,"",CONCATENATE(" (",C22+C23+C24+C25," mal)"))))</f>
        <v/>
      </c>
    </row>
    <row r="23" spans="1:18" ht="15" customHeight="1" x14ac:dyDescent="0.2">
      <c r="A23" s="268" t="s">
        <v>21</v>
      </c>
      <c r="B23" s="269"/>
      <c r="C23" s="74"/>
      <c r="D23" s="185">
        <f t="shared" si="0"/>
        <v>-400</v>
      </c>
      <c r="E23" s="186" t="str">
        <f t="shared" si="1"/>
        <v/>
      </c>
      <c r="F23" s="94"/>
      <c r="G23" s="92"/>
      <c r="H23" s="176">
        <v>0.8</v>
      </c>
      <c r="I23" s="177" t="str">
        <f t="shared" si="2"/>
        <v/>
      </c>
      <c r="J23" s="205">
        <v>7</v>
      </c>
      <c r="K23" s="179" t="str">
        <f t="shared" si="3"/>
        <v/>
      </c>
      <c r="L23" s="177" t="str">
        <f t="shared" si="4"/>
        <v/>
      </c>
      <c r="M23" s="270"/>
      <c r="O23" s="135"/>
    </row>
    <row r="24" spans="1:18" ht="15" customHeight="1" x14ac:dyDescent="0.2">
      <c r="A24" s="268" t="s">
        <v>18</v>
      </c>
      <c r="B24" s="269"/>
      <c r="C24" s="74"/>
      <c r="D24" s="185">
        <f t="shared" si="0"/>
        <v>-400</v>
      </c>
      <c r="E24" s="186" t="str">
        <f t="shared" si="1"/>
        <v/>
      </c>
      <c r="F24" s="94"/>
      <c r="G24" s="92"/>
      <c r="H24" s="176">
        <v>1.1000000000000001</v>
      </c>
      <c r="I24" s="177" t="str">
        <f t="shared" si="2"/>
        <v/>
      </c>
      <c r="J24" s="205">
        <v>7</v>
      </c>
      <c r="K24" s="179" t="str">
        <f t="shared" si="3"/>
        <v/>
      </c>
      <c r="L24" s="177" t="str">
        <f t="shared" si="4"/>
        <v/>
      </c>
      <c r="M24" s="270"/>
      <c r="O24" s="135"/>
    </row>
    <row r="25" spans="1:18" ht="15" customHeight="1" x14ac:dyDescent="0.2">
      <c r="A25" s="268" t="s">
        <v>99</v>
      </c>
      <c r="B25" s="269"/>
      <c r="C25" s="74"/>
      <c r="D25" s="185">
        <f t="shared" si="0"/>
        <v>-400</v>
      </c>
      <c r="E25" s="186" t="str">
        <f t="shared" si="1"/>
        <v/>
      </c>
      <c r="F25" s="94"/>
      <c r="G25" s="92"/>
      <c r="H25" s="176">
        <v>0.8</v>
      </c>
      <c r="I25" s="177" t="str">
        <f t="shared" si="2"/>
        <v/>
      </c>
      <c r="J25" s="205">
        <v>7</v>
      </c>
      <c r="K25" s="179" t="str">
        <f t="shared" si="3"/>
        <v/>
      </c>
      <c r="L25" s="177" t="str">
        <f t="shared" si="4"/>
        <v/>
      </c>
      <c r="M25" s="270"/>
      <c r="O25" s="135"/>
    </row>
    <row r="26" spans="1:18" ht="15" customHeight="1" x14ac:dyDescent="0.2">
      <c r="A26" s="125" t="s">
        <v>111</v>
      </c>
      <c r="B26" s="126"/>
      <c r="C26" s="74"/>
      <c r="D26" s="185">
        <f t="shared" si="0"/>
        <v>-400</v>
      </c>
      <c r="E26" s="186" t="str">
        <f t="shared" si="1"/>
        <v/>
      </c>
      <c r="F26" s="94"/>
      <c r="G26" s="92"/>
      <c r="H26" s="176">
        <v>0.8</v>
      </c>
      <c r="I26" s="177" t="str">
        <f t="shared" si="2"/>
        <v/>
      </c>
      <c r="J26" s="205">
        <v>7</v>
      </c>
      <c r="K26" s="179" t="str">
        <f t="shared" si="3"/>
        <v/>
      </c>
      <c r="L26" s="177" t="str">
        <f t="shared" si="4"/>
        <v/>
      </c>
      <c r="M26" s="127"/>
      <c r="O26" s="135"/>
    </row>
    <row r="27" spans="1:18" ht="15" customHeight="1" x14ac:dyDescent="0.2">
      <c r="A27" s="268" t="s">
        <v>24</v>
      </c>
      <c r="B27" s="269"/>
      <c r="C27" s="74"/>
      <c r="D27" s="185">
        <f t="shared" si="0"/>
        <v>-400</v>
      </c>
      <c r="E27" s="186" t="str">
        <f t="shared" si="1"/>
        <v/>
      </c>
      <c r="F27" s="94"/>
      <c r="G27" s="92"/>
      <c r="H27" s="176">
        <v>0.7</v>
      </c>
      <c r="I27" s="177" t="str">
        <f t="shared" si="2"/>
        <v/>
      </c>
      <c r="J27" s="205">
        <v>7</v>
      </c>
      <c r="K27" s="179" t="str">
        <f t="shared" si="3"/>
        <v/>
      </c>
      <c r="L27" s="177" t="str">
        <f t="shared" si="4"/>
        <v/>
      </c>
      <c r="M27" s="270" t="str">
        <f>IF(OR(F27&gt;C27,F28&gt;C28,F29&gt;C29,F30&gt;C30),"Nebenprodukt kann nicht häufiger eingearbeitet werden (Spalte e), als die Frucht in der Fruchtfolge erscheint (Spalte a)!","")</f>
        <v/>
      </c>
      <c r="O27" s="135"/>
      <c r="R27" s="135" t="str">
        <f>IF(AND(C26="",C27="",C28="",C29="",C30="",C31=""),"",CONCATENATE("Wintergetreide",IF(C26+C27+C28+C29+C30+C31=1,"",CONCATENATE(" (",C26+C27+C28+C29+C30+C31," mal)"))))</f>
        <v/>
      </c>
    </row>
    <row r="28" spans="1:18" ht="15" customHeight="1" x14ac:dyDescent="0.2">
      <c r="A28" s="268" t="s">
        <v>26</v>
      </c>
      <c r="B28" s="269"/>
      <c r="C28" s="74"/>
      <c r="D28" s="185">
        <f t="shared" si="0"/>
        <v>-400</v>
      </c>
      <c r="E28" s="186" t="str">
        <f t="shared" si="1"/>
        <v/>
      </c>
      <c r="F28" s="94"/>
      <c r="G28" s="92"/>
      <c r="H28" s="176">
        <v>0.9</v>
      </c>
      <c r="I28" s="177" t="str">
        <f t="shared" si="2"/>
        <v/>
      </c>
      <c r="J28" s="205">
        <v>7</v>
      </c>
      <c r="K28" s="179" t="str">
        <f t="shared" si="3"/>
        <v/>
      </c>
      <c r="L28" s="177" t="str">
        <f t="shared" si="4"/>
        <v/>
      </c>
      <c r="M28" s="270"/>
      <c r="O28" s="135"/>
    </row>
    <row r="29" spans="1:18" ht="15" customHeight="1" x14ac:dyDescent="0.2">
      <c r="A29" s="268" t="s">
        <v>27</v>
      </c>
      <c r="B29" s="269"/>
      <c r="C29" s="74"/>
      <c r="D29" s="185">
        <f t="shared" si="0"/>
        <v>-400</v>
      </c>
      <c r="E29" s="186" t="str">
        <f t="shared" si="1"/>
        <v/>
      </c>
      <c r="F29" s="94"/>
      <c r="G29" s="92"/>
      <c r="H29" s="176">
        <v>0.9</v>
      </c>
      <c r="I29" s="177" t="str">
        <f t="shared" si="2"/>
        <v/>
      </c>
      <c r="J29" s="205">
        <v>7</v>
      </c>
      <c r="K29" s="179" t="str">
        <f t="shared" si="3"/>
        <v/>
      </c>
      <c r="L29" s="177" t="str">
        <f t="shared" si="4"/>
        <v/>
      </c>
      <c r="M29" s="270"/>
      <c r="N29" s="128">
        <f>IF(M27="",0,1)</f>
        <v>0</v>
      </c>
      <c r="O29" s="135"/>
    </row>
    <row r="30" spans="1:18" ht="15" customHeight="1" x14ac:dyDescent="0.2">
      <c r="A30" s="268" t="s">
        <v>25</v>
      </c>
      <c r="B30" s="269"/>
      <c r="C30" s="75"/>
      <c r="D30" s="185">
        <f t="shared" si="0"/>
        <v>-400</v>
      </c>
      <c r="E30" s="186" t="str">
        <f t="shared" si="1"/>
        <v/>
      </c>
      <c r="F30" s="94"/>
      <c r="G30" s="92"/>
      <c r="H30" s="176">
        <v>0.8</v>
      </c>
      <c r="I30" s="177" t="str">
        <f t="shared" si="2"/>
        <v/>
      </c>
      <c r="J30" s="205">
        <v>7</v>
      </c>
      <c r="K30" s="179" t="str">
        <f t="shared" si="3"/>
        <v/>
      </c>
      <c r="L30" s="177" t="str">
        <f t="shared" si="4"/>
        <v/>
      </c>
      <c r="M30" s="270"/>
      <c r="O30" s="135"/>
    </row>
    <row r="31" spans="1:18" ht="15" customHeight="1" thickBot="1" x14ac:dyDescent="0.25">
      <c r="A31" s="273" t="s">
        <v>129</v>
      </c>
      <c r="B31" s="274"/>
      <c r="C31" s="76"/>
      <c r="D31" s="185">
        <f t="shared" si="0"/>
        <v>-400</v>
      </c>
      <c r="E31" s="186" t="str">
        <f t="shared" si="1"/>
        <v/>
      </c>
      <c r="F31" s="206" t="s">
        <v>35</v>
      </c>
      <c r="G31" s="206" t="s">
        <v>35</v>
      </c>
      <c r="H31" s="206" t="s">
        <v>35</v>
      </c>
      <c r="I31" s="207" t="s">
        <v>35</v>
      </c>
      <c r="J31" s="208" t="s">
        <v>35</v>
      </c>
      <c r="K31" s="209" t="s">
        <v>35</v>
      </c>
      <c r="L31" s="177" t="str">
        <f>IF(C31="","",E31)</f>
        <v/>
      </c>
      <c r="M31" s="270"/>
      <c r="O31" s="135"/>
    </row>
    <row r="32" spans="1:18" ht="15" customHeight="1" x14ac:dyDescent="0.2">
      <c r="A32" s="271" t="s">
        <v>101</v>
      </c>
      <c r="B32" s="272"/>
      <c r="C32" s="66"/>
      <c r="D32" s="67"/>
      <c r="E32" s="66"/>
      <c r="F32" s="67"/>
      <c r="G32" s="66"/>
      <c r="H32" s="66"/>
      <c r="I32" s="164"/>
      <c r="J32" s="69"/>
      <c r="K32" s="70"/>
      <c r="L32" s="164"/>
      <c r="M32" s="88"/>
      <c r="O32" s="135"/>
    </row>
    <row r="33" spans="1:18" ht="15" customHeight="1" x14ac:dyDescent="0.2">
      <c r="A33" s="268" t="s">
        <v>20</v>
      </c>
      <c r="B33" s="269"/>
      <c r="C33" s="74"/>
      <c r="D33" s="185">
        <f>IF(G$6="ja",-520,-400)</f>
        <v>-400</v>
      </c>
      <c r="E33" s="186" t="str">
        <f>IF(C33="","",C33*D33)</f>
        <v/>
      </c>
      <c r="F33" s="94"/>
      <c r="G33" s="92"/>
      <c r="H33" s="176">
        <v>1.5</v>
      </c>
      <c r="I33" s="177" t="str">
        <f>IF(F33="","",G33*F33*H33)</f>
        <v/>
      </c>
      <c r="J33" s="205">
        <v>7</v>
      </c>
      <c r="K33" s="179" t="str">
        <f>IF(I33="","",I33*J33)</f>
        <v/>
      </c>
      <c r="L33" s="177" t="str">
        <f>IF(C33="","",SUM(E33+IF(K33="",0,K33)))</f>
        <v/>
      </c>
      <c r="M33" s="270" t="str">
        <f>IF(OR(F33&gt;C33,F34&gt;C34,F35&gt;C35,F36&gt;C36),"Nebenprodukt kann nicht häufiger eingearbeitet werden, als die Frucht in der Fruchtfolge erscheint (Spalte a)!","")</f>
        <v/>
      </c>
      <c r="N33" s="128">
        <f>IF(M33="",0,1)</f>
        <v>0</v>
      </c>
      <c r="O33" s="135"/>
      <c r="R33" s="135" t="str">
        <f>IF(AND(C33="",C33="",C35="",C36=""),"",CONCATENATE("Öl- und Faserpflanzen",IF(C33+C34+C35+C36=1,"",CONCATENATE(" (",C33+C34+C35+C36," mal)"))))</f>
        <v/>
      </c>
    </row>
    <row r="34" spans="1:18" ht="15" customHeight="1" x14ac:dyDescent="0.2">
      <c r="A34" s="268" t="s">
        <v>23</v>
      </c>
      <c r="B34" s="269"/>
      <c r="C34" s="74"/>
      <c r="D34" s="185">
        <f>IF(G$6="ja",-520,-400)</f>
        <v>-400</v>
      </c>
      <c r="E34" s="186" t="str">
        <f>IF(C34="","",C34*D34)</f>
        <v/>
      </c>
      <c r="F34" s="94"/>
      <c r="G34" s="92"/>
      <c r="H34" s="176">
        <v>2</v>
      </c>
      <c r="I34" s="177" t="str">
        <f>IF(F34="","",G34*F34*H34)</f>
        <v/>
      </c>
      <c r="J34" s="205">
        <v>7</v>
      </c>
      <c r="K34" s="179" t="str">
        <f>IF(I34="","",I34*J34)</f>
        <v/>
      </c>
      <c r="L34" s="177" t="str">
        <f>IF(C34="","",SUM(E34+IF(K34="",0,K34)))</f>
        <v/>
      </c>
      <c r="M34" s="270"/>
      <c r="O34" s="135"/>
    </row>
    <row r="35" spans="1:18" ht="15" customHeight="1" x14ac:dyDescent="0.2">
      <c r="A35" s="268" t="s">
        <v>22</v>
      </c>
      <c r="B35" s="269"/>
      <c r="C35" s="74"/>
      <c r="D35" s="185">
        <f>IF(G$6="ja",-520,-400)</f>
        <v>-400</v>
      </c>
      <c r="E35" s="186" t="str">
        <f>IF(C35="","",C35*D35)</f>
        <v/>
      </c>
      <c r="F35" s="94"/>
      <c r="G35" s="92"/>
      <c r="H35" s="176">
        <v>1.7</v>
      </c>
      <c r="I35" s="177" t="str">
        <f>IF(F35="","",G35*F35*H35)</f>
        <v/>
      </c>
      <c r="J35" s="205">
        <v>7</v>
      </c>
      <c r="K35" s="179" t="str">
        <f>IF(I35="","",I35*J35)</f>
        <v/>
      </c>
      <c r="L35" s="177" t="str">
        <f>IF(C35="","",SUM(E35+IF(K35="",0,K35)))</f>
        <v/>
      </c>
      <c r="M35" s="270"/>
      <c r="O35" s="135"/>
    </row>
    <row r="36" spans="1:18" ht="16.5" customHeight="1" thickBot="1" x14ac:dyDescent="0.25">
      <c r="A36" s="268" t="s">
        <v>83</v>
      </c>
      <c r="B36" s="269"/>
      <c r="C36" s="74"/>
      <c r="D36" s="185">
        <f>IF(G$6="ja",-520,-400)</f>
        <v>-400</v>
      </c>
      <c r="E36" s="186" t="str">
        <f>IF(C36="","",C36*D36)</f>
        <v/>
      </c>
      <c r="F36" s="94"/>
      <c r="G36" s="92"/>
      <c r="H36" s="176">
        <v>1.7</v>
      </c>
      <c r="I36" s="177" t="str">
        <f>IF(F36="","",G36*F36*H36)</f>
        <v/>
      </c>
      <c r="J36" s="205">
        <v>7</v>
      </c>
      <c r="K36" s="179" t="str">
        <f>IF(I36="","",I36*J36)</f>
        <v/>
      </c>
      <c r="L36" s="177" t="str">
        <f>IF(C36="","",SUM(E36+IF(K36="",0,K36)))</f>
        <v/>
      </c>
      <c r="M36" s="270"/>
      <c r="O36" s="135"/>
    </row>
    <row r="37" spans="1:18" ht="15" customHeight="1" x14ac:dyDescent="0.2">
      <c r="A37" s="271" t="s">
        <v>1</v>
      </c>
      <c r="B37" s="272"/>
      <c r="C37" s="66"/>
      <c r="D37" s="67"/>
      <c r="E37" s="66"/>
      <c r="F37" s="67"/>
      <c r="G37" s="66"/>
      <c r="H37" s="66"/>
      <c r="I37" s="164"/>
      <c r="J37" s="69"/>
      <c r="K37" s="70"/>
      <c r="L37" s="164"/>
      <c r="M37" s="88"/>
      <c r="O37" s="135"/>
    </row>
    <row r="38" spans="1:18" ht="15" customHeight="1" thickBot="1" x14ac:dyDescent="0.25">
      <c r="A38" s="273" t="s">
        <v>46</v>
      </c>
      <c r="B38" s="274"/>
      <c r="C38" s="65"/>
      <c r="D38" s="190">
        <v>160</v>
      </c>
      <c r="E38" s="190" t="str">
        <f>IF(C38="","",C38*D38)</f>
        <v/>
      </c>
      <c r="F38" s="190" t="s">
        <v>35</v>
      </c>
      <c r="G38" s="190" t="s">
        <v>35</v>
      </c>
      <c r="H38" s="190" t="s">
        <v>35</v>
      </c>
      <c r="I38" s="190" t="s">
        <v>35</v>
      </c>
      <c r="J38" s="203" t="s">
        <v>35</v>
      </c>
      <c r="K38" s="190" t="s">
        <v>35</v>
      </c>
      <c r="L38" s="177" t="str">
        <f>IF(C38="","",E38)</f>
        <v/>
      </c>
      <c r="M38" s="19"/>
      <c r="O38" s="135"/>
      <c r="R38" s="135" t="str">
        <f>IF(C38="","",CONCATENATE(A37,IF(C38=1,"",CONCATENATE(" (",C38," mal)"))))</f>
        <v/>
      </c>
    </row>
    <row r="39" spans="1:18" ht="18" customHeight="1" x14ac:dyDescent="0.2">
      <c r="A39" s="276" t="s">
        <v>176</v>
      </c>
      <c r="B39" s="277"/>
      <c r="C39" s="277"/>
      <c r="D39" s="277"/>
      <c r="E39" s="277"/>
      <c r="F39" s="277"/>
      <c r="G39" s="260"/>
      <c r="H39" s="66"/>
      <c r="I39" s="164"/>
      <c r="J39" s="69"/>
      <c r="K39" s="70"/>
      <c r="L39" s="164"/>
      <c r="M39" s="19"/>
      <c r="O39" s="135"/>
      <c r="R39" s="135" t="str">
        <f>IF(AND(C41="",C41="",C42="",C43="",C44="",C45=""),"",CONCATENATE("Ackerfutter einschl. Vermehrung",IF(C41+C42+C43+C44+C45=1,"",CONCATENATE(" (",C41+C42+C43+C44+C45," mal)"))))</f>
        <v/>
      </c>
    </row>
    <row r="40" spans="1:18" ht="23.25" customHeight="1" thickBot="1" x14ac:dyDescent="0.25">
      <c r="A40" s="141" t="s">
        <v>140</v>
      </c>
      <c r="B40" s="259"/>
      <c r="C40" s="177"/>
      <c r="D40" s="179"/>
      <c r="E40" s="192"/>
      <c r="F40" s="177"/>
      <c r="G40" s="179"/>
      <c r="H40" s="192"/>
      <c r="I40" s="192"/>
      <c r="J40" s="192"/>
      <c r="K40" s="192"/>
      <c r="L40" s="192"/>
      <c r="M40" s="19"/>
      <c r="O40" s="135"/>
    </row>
    <row r="41" spans="1:18" ht="18" customHeight="1" x14ac:dyDescent="0.2">
      <c r="A41" s="268" t="s">
        <v>2</v>
      </c>
      <c r="B41" s="275"/>
      <c r="C41" s="143"/>
      <c r="D41" s="188">
        <f>IF(B$40="ja",800,600)</f>
        <v>600</v>
      </c>
      <c r="E41" s="186" t="str">
        <f>IF(C41="","",C41*D41)</f>
        <v/>
      </c>
      <c r="F41" s="189" t="s">
        <v>35</v>
      </c>
      <c r="G41" s="186" t="s">
        <v>35</v>
      </c>
      <c r="H41" s="186" t="s">
        <v>35</v>
      </c>
      <c r="I41" s="177" t="s">
        <v>35</v>
      </c>
      <c r="J41" s="189" t="s">
        <v>35</v>
      </c>
      <c r="K41" s="186" t="s">
        <v>35</v>
      </c>
      <c r="L41" s="177" t="str">
        <f>IF(C41="","",E41)</f>
        <v/>
      </c>
      <c r="M41" s="19"/>
      <c r="O41" s="135"/>
    </row>
    <row r="42" spans="1:18" ht="18" customHeight="1" x14ac:dyDescent="0.2">
      <c r="A42" s="268" t="s">
        <v>89</v>
      </c>
      <c r="B42" s="269"/>
      <c r="C42" s="144"/>
      <c r="D42" s="188">
        <f>IF(B$40="ja",500,400)</f>
        <v>400</v>
      </c>
      <c r="E42" s="186" t="str">
        <f>IF(C42="","",C42*D42)</f>
        <v/>
      </c>
      <c r="F42" s="189" t="s">
        <v>35</v>
      </c>
      <c r="G42" s="186" t="s">
        <v>35</v>
      </c>
      <c r="H42" s="186" t="s">
        <v>35</v>
      </c>
      <c r="I42" s="177" t="s">
        <v>35</v>
      </c>
      <c r="J42" s="189" t="s">
        <v>35</v>
      </c>
      <c r="K42" s="186" t="s">
        <v>35</v>
      </c>
      <c r="L42" s="177" t="str">
        <f>IF(C42="","",E42)</f>
        <v/>
      </c>
      <c r="M42" s="19"/>
      <c r="O42" s="135"/>
    </row>
    <row r="43" spans="1:18" ht="18" customHeight="1" x14ac:dyDescent="0.2">
      <c r="A43" s="268" t="s">
        <v>127</v>
      </c>
      <c r="B43" s="269"/>
      <c r="C43" s="144"/>
      <c r="D43" s="188">
        <f>IF(B$40="ja",400,300)</f>
        <v>300</v>
      </c>
      <c r="E43" s="186" t="str">
        <f>IF(C43="","",C43*D43)</f>
        <v/>
      </c>
      <c r="F43" s="189" t="s">
        <v>35</v>
      </c>
      <c r="G43" s="186" t="s">
        <v>35</v>
      </c>
      <c r="H43" s="186" t="s">
        <v>35</v>
      </c>
      <c r="I43" s="177" t="s">
        <v>35</v>
      </c>
      <c r="J43" s="189" t="s">
        <v>35</v>
      </c>
      <c r="K43" s="186" t="s">
        <v>35</v>
      </c>
      <c r="L43" s="177" t="str">
        <f>IF(C43="","",E43)</f>
        <v/>
      </c>
      <c r="M43" s="19"/>
      <c r="O43" s="135"/>
    </row>
    <row r="44" spans="1:18" ht="18" customHeight="1" x14ac:dyDescent="0.2">
      <c r="A44" s="268" t="s">
        <v>126</v>
      </c>
      <c r="B44" s="269"/>
      <c r="C44" s="144"/>
      <c r="D44" s="188">
        <f>IF(B$40="ja",300,200)</f>
        <v>200</v>
      </c>
      <c r="E44" s="186" t="str">
        <f>IF(C44="","",C44*D44)</f>
        <v/>
      </c>
      <c r="F44" s="189" t="s">
        <v>35</v>
      </c>
      <c r="G44" s="186" t="s">
        <v>35</v>
      </c>
      <c r="H44" s="186" t="s">
        <v>35</v>
      </c>
      <c r="I44" s="177" t="s">
        <v>35</v>
      </c>
      <c r="J44" s="189" t="s">
        <v>35</v>
      </c>
      <c r="K44" s="186" t="s">
        <v>35</v>
      </c>
      <c r="L44" s="177" t="str">
        <f>IF(C44="","",E44)</f>
        <v/>
      </c>
      <c r="M44" s="19"/>
      <c r="O44" s="135"/>
    </row>
    <row r="45" spans="1:18" ht="18" customHeight="1" thickBot="1" x14ac:dyDescent="0.25">
      <c r="A45" s="273" t="s">
        <v>128</v>
      </c>
      <c r="B45" s="274"/>
      <c r="C45" s="145"/>
      <c r="D45" s="182">
        <f>IF(B$40="ja",150,100)</f>
        <v>100</v>
      </c>
      <c r="E45" s="186" t="str">
        <f>IF(C45="","",C45*D45)</f>
        <v/>
      </c>
      <c r="F45" s="189" t="s">
        <v>35</v>
      </c>
      <c r="G45" s="190" t="s">
        <v>35</v>
      </c>
      <c r="H45" s="191" t="s">
        <v>35</v>
      </c>
      <c r="I45" s="177" t="s">
        <v>35</v>
      </c>
      <c r="J45" s="204" t="s">
        <v>35</v>
      </c>
      <c r="K45" s="191" t="s">
        <v>35</v>
      </c>
      <c r="L45" s="177" t="str">
        <f>IF(C45="","",E45)</f>
        <v/>
      </c>
      <c r="M45" s="19"/>
      <c r="O45" s="135"/>
    </row>
    <row r="46" spans="1:18" ht="15.75" customHeight="1" x14ac:dyDescent="0.2">
      <c r="A46" s="271" t="s">
        <v>174</v>
      </c>
      <c r="B46" s="272"/>
      <c r="C46" s="66"/>
      <c r="D46" s="67"/>
      <c r="E46" s="66"/>
      <c r="F46" s="67"/>
      <c r="G46" s="66"/>
      <c r="H46" s="66"/>
      <c r="I46" s="164"/>
      <c r="J46" s="69"/>
      <c r="K46" s="70"/>
      <c r="L46" s="164"/>
      <c r="M46" s="19"/>
      <c r="N46" s="249"/>
      <c r="O46" s="135"/>
    </row>
    <row r="47" spans="1:18" ht="46.5" customHeight="1" x14ac:dyDescent="0.2">
      <c r="A47" s="268" t="s">
        <v>106</v>
      </c>
      <c r="B47" s="269"/>
      <c r="C47" s="71"/>
      <c r="D47" s="185">
        <f>IF(G$6="ja",-1240,-1000)</f>
        <v>-1000</v>
      </c>
      <c r="E47" s="186" t="str">
        <f>IF(C47="","",C47*D47)</f>
        <v/>
      </c>
      <c r="F47" s="186" t="s">
        <v>35</v>
      </c>
      <c r="G47" s="186" t="s">
        <v>35</v>
      </c>
      <c r="H47" s="186" t="s">
        <v>35</v>
      </c>
      <c r="I47" s="177" t="s">
        <v>35</v>
      </c>
      <c r="J47" s="189" t="s">
        <v>35</v>
      </c>
      <c r="K47" s="186" t="s">
        <v>35</v>
      </c>
      <c r="L47" s="177" t="str">
        <f>IF(C47="","",E47)</f>
        <v/>
      </c>
      <c r="M47" s="19"/>
      <c r="N47" s="249"/>
      <c r="O47" s="135"/>
      <c r="R47" s="135" t="str">
        <f>IF(AND(C47="",C48="",C49=""),"",CONCATENATE(A46,IF(C47+C48+C49=1,"",CONCATENATE(" (",C47+C48+C49," mal)"))))</f>
        <v/>
      </c>
    </row>
    <row r="48" spans="1:18" ht="48" customHeight="1" x14ac:dyDescent="0.2">
      <c r="A48" s="268" t="s">
        <v>107</v>
      </c>
      <c r="B48" s="269"/>
      <c r="C48" s="72"/>
      <c r="D48" s="185">
        <f>IF(G$6="ja",-1040,-800)</f>
        <v>-800</v>
      </c>
      <c r="E48" s="186" t="str">
        <f>IF(C48="","",C48*D48)</f>
        <v/>
      </c>
      <c r="F48" s="186" t="s">
        <v>35</v>
      </c>
      <c r="G48" s="186" t="s">
        <v>35</v>
      </c>
      <c r="H48" s="186" t="s">
        <v>35</v>
      </c>
      <c r="I48" s="177" t="s">
        <v>35</v>
      </c>
      <c r="J48" s="189" t="s">
        <v>35</v>
      </c>
      <c r="K48" s="186" t="s">
        <v>35</v>
      </c>
      <c r="L48" s="177" t="str">
        <f>IF(C48="","",E48)</f>
        <v/>
      </c>
      <c r="M48" s="19"/>
      <c r="N48" s="249"/>
      <c r="O48" s="135"/>
    </row>
    <row r="49" spans="1:18" ht="24" customHeight="1" thickBot="1" x14ac:dyDescent="0.25">
      <c r="A49" s="273" t="s">
        <v>149</v>
      </c>
      <c r="B49" s="274"/>
      <c r="C49" s="72"/>
      <c r="D49" s="185">
        <f>IF(G$6="ja",-520,-400)</f>
        <v>-400</v>
      </c>
      <c r="E49" s="186" t="str">
        <f>IF(C49="","",C49*D49)</f>
        <v/>
      </c>
      <c r="F49" s="186" t="s">
        <v>35</v>
      </c>
      <c r="G49" s="186" t="s">
        <v>35</v>
      </c>
      <c r="H49" s="186" t="s">
        <v>35</v>
      </c>
      <c r="I49" s="177" t="s">
        <v>35</v>
      </c>
      <c r="J49" s="189" t="s">
        <v>35</v>
      </c>
      <c r="K49" s="190" t="s">
        <v>35</v>
      </c>
      <c r="L49" s="177" t="str">
        <f>IF(C49="","",E49)</f>
        <v/>
      </c>
      <c r="M49" s="19"/>
      <c r="N49" s="249"/>
      <c r="O49" s="135"/>
    </row>
    <row r="50" spans="1:18" ht="16.5" customHeight="1" thickBot="1" x14ac:dyDescent="0.25">
      <c r="A50" s="271" t="s">
        <v>124</v>
      </c>
      <c r="B50" s="345"/>
      <c r="C50" s="66"/>
      <c r="D50" s="67"/>
      <c r="E50" s="66"/>
      <c r="F50" s="67"/>
      <c r="G50" s="359" t="s">
        <v>119</v>
      </c>
      <c r="H50" s="360"/>
      <c r="I50" s="360"/>
      <c r="J50" s="361"/>
      <c r="K50" s="70"/>
      <c r="L50" s="117"/>
      <c r="M50" s="270"/>
      <c r="N50" s="249"/>
      <c r="O50" s="135"/>
    </row>
    <row r="51" spans="1:18" ht="18" customHeight="1" thickBot="1" x14ac:dyDescent="0.25">
      <c r="A51" s="146" t="s">
        <v>130</v>
      </c>
      <c r="B51" s="142"/>
      <c r="C51" s="191"/>
      <c r="D51" s="191"/>
      <c r="E51" s="191"/>
      <c r="F51" s="191"/>
      <c r="G51" s="191"/>
      <c r="H51" s="191"/>
      <c r="I51" s="191"/>
      <c r="J51" s="191"/>
      <c r="K51" s="191"/>
      <c r="L51" s="198"/>
      <c r="M51" s="270"/>
      <c r="N51" s="249"/>
      <c r="O51" s="135"/>
    </row>
    <row r="52" spans="1:18" ht="26.25" customHeight="1" x14ac:dyDescent="0.2">
      <c r="A52" s="362" t="s">
        <v>116</v>
      </c>
      <c r="B52" s="344"/>
      <c r="C52" s="132"/>
      <c r="D52" s="188">
        <f>(IF(B$51="ja",250,170))</f>
        <v>170</v>
      </c>
      <c r="E52" s="193" t="str">
        <f t="shared" ref="E52:E58" si="5">IF(C52="","",D52*C52)</f>
        <v/>
      </c>
      <c r="F52" s="147"/>
      <c r="G52" s="188" t="str">
        <f>IF(F52="","",IF(B$51="ja",190,130))</f>
        <v/>
      </c>
      <c r="H52" s="188">
        <v>1</v>
      </c>
      <c r="I52" s="199" t="str">
        <f t="shared" ref="I52:I58" si="6">IF(F52="","",G52*F52*H52)</f>
        <v/>
      </c>
      <c r="J52" s="200">
        <v>0.8</v>
      </c>
      <c r="K52" s="201" t="str">
        <f t="shared" ref="K52:K58" si="7">IF(I52="","",I52*J52)</f>
        <v/>
      </c>
      <c r="L52" s="193" t="str">
        <f t="shared" ref="L52:L58" si="8">IF(C52="","",SUM(E52,IF(K52="",0,K52)))</f>
        <v/>
      </c>
      <c r="M52" s="270" t="str">
        <f>IF(OR(F52&gt;C52,F53&gt;C53,F54&gt;C54,F55&gt;C55,F57&gt;C57,F58&gt;C58,F56&gt;C56),"Zwischenfrucht kann nicht häufiger eingearbeitet werden (Spalte d), als sie in der Fruchtfolge erscheint (a)!","")</f>
        <v/>
      </c>
      <c r="N52" s="249"/>
      <c r="O52" s="135"/>
    </row>
    <row r="53" spans="1:18" ht="26.25" customHeight="1" x14ac:dyDescent="0.2">
      <c r="A53" s="268" t="s">
        <v>113</v>
      </c>
      <c r="B53" s="269"/>
      <c r="C53" s="132"/>
      <c r="D53" s="186">
        <f>(IF(B$51="ja",250,170))</f>
        <v>170</v>
      </c>
      <c r="E53" s="192" t="str">
        <f t="shared" si="5"/>
        <v/>
      </c>
      <c r="F53" s="94"/>
      <c r="G53" s="186" t="str">
        <f>IF(F53="","",IF(B$51="ja",250,175))</f>
        <v/>
      </c>
      <c r="H53" s="188">
        <v>1</v>
      </c>
      <c r="I53" s="177" t="str">
        <f t="shared" si="6"/>
        <v/>
      </c>
      <c r="J53" s="202">
        <v>0.8</v>
      </c>
      <c r="K53" s="179" t="str">
        <f t="shared" si="7"/>
        <v/>
      </c>
      <c r="L53" s="177" t="str">
        <f t="shared" si="8"/>
        <v/>
      </c>
      <c r="M53" s="270"/>
      <c r="N53" s="249"/>
      <c r="O53" s="135"/>
    </row>
    <row r="54" spans="1:18" ht="26.25" customHeight="1" x14ac:dyDescent="0.2">
      <c r="A54" s="268" t="s">
        <v>125</v>
      </c>
      <c r="B54" s="269"/>
      <c r="C54" s="92"/>
      <c r="D54" s="186">
        <v>-120</v>
      </c>
      <c r="E54" s="192" t="str">
        <f t="shared" si="5"/>
        <v/>
      </c>
      <c r="F54" s="94"/>
      <c r="G54" s="186" t="str">
        <f>IF(F54="","",IF(B$51="ja",400,280))</f>
        <v/>
      </c>
      <c r="H54" s="186">
        <v>1</v>
      </c>
      <c r="I54" s="177" t="str">
        <f t="shared" si="6"/>
        <v/>
      </c>
      <c r="J54" s="202">
        <v>0.8</v>
      </c>
      <c r="K54" s="179" t="str">
        <f>IF(I54="","",I54*J54)</f>
        <v/>
      </c>
      <c r="L54" s="177" t="str">
        <f>IF(C54="","",SUM(E54,IF(K54="",0,K54)))</f>
        <v/>
      </c>
      <c r="M54" s="270"/>
      <c r="N54" s="249"/>
      <c r="O54" s="135"/>
    </row>
    <row r="55" spans="1:18" ht="26.25" customHeight="1" x14ac:dyDescent="0.2">
      <c r="A55" s="343" t="s">
        <v>114</v>
      </c>
      <c r="B55" s="344"/>
      <c r="C55" s="96"/>
      <c r="D55" s="186">
        <f>IF(B$51="ja",100,70)</f>
        <v>70</v>
      </c>
      <c r="E55" s="192" t="str">
        <f t="shared" si="5"/>
        <v/>
      </c>
      <c r="F55" s="94"/>
      <c r="G55" s="186" t="str">
        <f>IF(F55="","",IF(B$51="ja",190,130))</f>
        <v/>
      </c>
      <c r="H55" s="186">
        <v>1</v>
      </c>
      <c r="I55" s="177" t="str">
        <f t="shared" si="6"/>
        <v/>
      </c>
      <c r="J55" s="202">
        <v>0.8</v>
      </c>
      <c r="K55" s="179" t="str">
        <f t="shared" si="7"/>
        <v/>
      </c>
      <c r="L55" s="177" t="str">
        <f t="shared" si="8"/>
        <v/>
      </c>
      <c r="M55" s="270"/>
      <c r="N55" s="128">
        <f>IF(M52="",0,1)</f>
        <v>0</v>
      </c>
      <c r="O55" s="135"/>
      <c r="R55" s="135" t="str">
        <f>IF(SUM(C52:C58)=0,"",CONCATENATE("Zwischenfrucht",IF(SUM(C52:C58)=1,"",CONCATENATE(" (",SUM(C52:C58)," mal)"))))</f>
        <v/>
      </c>
    </row>
    <row r="56" spans="1:18" ht="37.5" customHeight="1" x14ac:dyDescent="0.2">
      <c r="A56" s="268" t="s">
        <v>122</v>
      </c>
      <c r="B56" s="269"/>
      <c r="C56" s="96"/>
      <c r="D56" s="186">
        <f>IF(B$51="ja",100,70)</f>
        <v>70</v>
      </c>
      <c r="E56" s="192" t="str">
        <f t="shared" si="5"/>
        <v/>
      </c>
      <c r="F56" s="94"/>
      <c r="G56" s="186" t="str">
        <f>IF(F56="","",IF(B$51="ja",250,175))</f>
        <v/>
      </c>
      <c r="H56" s="186">
        <v>1</v>
      </c>
      <c r="I56" s="177" t="str">
        <f t="shared" si="6"/>
        <v/>
      </c>
      <c r="J56" s="202">
        <v>0.8</v>
      </c>
      <c r="K56" s="179" t="str">
        <f t="shared" si="7"/>
        <v/>
      </c>
      <c r="L56" s="177" t="str">
        <f t="shared" si="8"/>
        <v/>
      </c>
      <c r="M56" s="270"/>
      <c r="N56" s="249"/>
      <c r="O56" s="135"/>
    </row>
    <row r="57" spans="1:18" ht="26.25" customHeight="1" x14ac:dyDescent="0.2">
      <c r="A57" s="268" t="s">
        <v>115</v>
      </c>
      <c r="B57" s="269"/>
      <c r="C57" s="96"/>
      <c r="D57" s="186">
        <f>IF(B$51="ja",100,70)</f>
        <v>70</v>
      </c>
      <c r="E57" s="192" t="str">
        <f>IF(C57="","",D57*C57)</f>
        <v/>
      </c>
      <c r="F57" s="132"/>
      <c r="G57" s="186" t="str">
        <f>IF(F57="","",IF(B$51="ja",250,175))</f>
        <v/>
      </c>
      <c r="H57" s="186">
        <v>1</v>
      </c>
      <c r="I57" s="177" t="str">
        <f t="shared" si="6"/>
        <v/>
      </c>
      <c r="J57" s="202">
        <v>0.8</v>
      </c>
      <c r="K57" s="179" t="str">
        <f t="shared" si="7"/>
        <v/>
      </c>
      <c r="L57" s="177" t="str">
        <f t="shared" si="8"/>
        <v/>
      </c>
      <c r="M57" s="270"/>
      <c r="N57" s="249"/>
      <c r="O57" s="135"/>
    </row>
    <row r="58" spans="1:18" ht="26.25" customHeight="1" thickBot="1" x14ac:dyDescent="0.25">
      <c r="A58" s="273" t="s">
        <v>117</v>
      </c>
      <c r="B58" s="274"/>
      <c r="C58" s="134"/>
      <c r="D58" s="186">
        <f>IF(B$51="ja",140,100)</f>
        <v>100</v>
      </c>
      <c r="E58" s="192" t="str">
        <f t="shared" si="5"/>
        <v/>
      </c>
      <c r="F58" s="94"/>
      <c r="G58" s="186" t="str">
        <f>IF(F58="","",IF(B$51="ja",250,175))</f>
        <v/>
      </c>
      <c r="H58" s="186">
        <v>1</v>
      </c>
      <c r="I58" s="177" t="str">
        <f t="shared" si="6"/>
        <v/>
      </c>
      <c r="J58" s="202">
        <v>0.8</v>
      </c>
      <c r="K58" s="179" t="str">
        <f t="shared" si="7"/>
        <v/>
      </c>
      <c r="L58" s="177" t="str">
        <f t="shared" si="8"/>
        <v/>
      </c>
      <c r="M58" s="270"/>
      <c r="N58" s="249"/>
      <c r="O58" s="135"/>
    </row>
    <row r="59" spans="1:18" ht="18" customHeight="1" x14ac:dyDescent="0.2">
      <c r="A59" s="271" t="s">
        <v>85</v>
      </c>
      <c r="B59" s="272"/>
      <c r="C59" s="131"/>
      <c r="D59" s="67"/>
      <c r="E59" s="66"/>
      <c r="F59" s="67"/>
      <c r="G59" s="66"/>
      <c r="H59" s="66"/>
      <c r="I59" s="68"/>
      <c r="J59" s="69"/>
      <c r="K59" s="70"/>
      <c r="L59" s="68"/>
      <c r="M59" s="115"/>
      <c r="N59" s="249"/>
      <c r="O59" s="135"/>
    </row>
    <row r="60" spans="1:18" ht="23.25" customHeight="1" x14ac:dyDescent="0.2">
      <c r="A60" s="268" t="s">
        <v>104</v>
      </c>
      <c r="B60" s="269"/>
      <c r="C60" s="71"/>
      <c r="D60" s="188">
        <v>180</v>
      </c>
      <c r="E60" s="186" t="str">
        <f>IF(C60="","",C60*D60)</f>
        <v/>
      </c>
      <c r="F60" s="186" t="s">
        <v>35</v>
      </c>
      <c r="G60" s="186" t="s">
        <v>35</v>
      </c>
      <c r="H60" s="186" t="s">
        <v>35</v>
      </c>
      <c r="I60" s="186" t="s">
        <v>35</v>
      </c>
      <c r="J60" s="186" t="s">
        <v>35</v>
      </c>
      <c r="K60" s="186" t="s">
        <v>35</v>
      </c>
      <c r="L60" s="177" t="str">
        <f>IF(C60="","",E60)</f>
        <v/>
      </c>
      <c r="M60" s="115"/>
      <c r="N60" s="249"/>
      <c r="O60" s="135"/>
      <c r="R60" s="135" t="str">
        <f>IF(SUM(C60:C63)=0,"",CONCATENATE(A59,IF(SUM(C60:C63)=1,"",CONCATENATE(" (",SUM(C60:C63)," mal)"))))</f>
        <v/>
      </c>
    </row>
    <row r="61" spans="1:18" ht="23.25" customHeight="1" x14ac:dyDescent="0.2">
      <c r="A61" s="268" t="s">
        <v>3</v>
      </c>
      <c r="B61" s="269"/>
      <c r="C61" s="72"/>
      <c r="D61" s="188">
        <v>80</v>
      </c>
      <c r="E61" s="186" t="str">
        <f>IF(C61="","",C61*D61)</f>
        <v/>
      </c>
      <c r="F61" s="186" t="s">
        <v>35</v>
      </c>
      <c r="G61" s="186" t="s">
        <v>35</v>
      </c>
      <c r="H61" s="186" t="s">
        <v>35</v>
      </c>
      <c r="I61" s="186" t="s">
        <v>35</v>
      </c>
      <c r="J61" s="186" t="s">
        <v>35</v>
      </c>
      <c r="K61" s="186" t="s">
        <v>35</v>
      </c>
      <c r="L61" s="177" t="str">
        <f>IF(C61="","",E61)</f>
        <v/>
      </c>
      <c r="M61" s="115"/>
      <c r="N61" s="250"/>
      <c r="O61" s="137"/>
      <c r="P61" s="138"/>
      <c r="Q61" s="139"/>
    </row>
    <row r="62" spans="1:18" ht="23.25" customHeight="1" x14ac:dyDescent="0.2">
      <c r="A62" s="268" t="s">
        <v>147</v>
      </c>
      <c r="B62" s="269"/>
      <c r="C62" s="72"/>
      <c r="D62" s="188">
        <v>700</v>
      </c>
      <c r="E62" s="186" t="str">
        <f>IF(C62="","",C62*D62)</f>
        <v/>
      </c>
      <c r="F62" s="186" t="s">
        <v>35</v>
      </c>
      <c r="G62" s="186" t="s">
        <v>35</v>
      </c>
      <c r="H62" s="186" t="s">
        <v>35</v>
      </c>
      <c r="I62" s="186" t="s">
        <v>35</v>
      </c>
      <c r="J62" s="186" t="s">
        <v>35</v>
      </c>
      <c r="K62" s="186" t="s">
        <v>35</v>
      </c>
      <c r="L62" s="177" t="str">
        <f>IF(C62="","",E62)</f>
        <v/>
      </c>
      <c r="M62" s="20"/>
      <c r="N62" s="251"/>
    </row>
    <row r="63" spans="1:18" ht="23.25" customHeight="1" thickBot="1" x14ac:dyDescent="0.25">
      <c r="A63" s="273" t="s">
        <v>148</v>
      </c>
      <c r="B63" s="274"/>
      <c r="C63" s="77"/>
      <c r="D63" s="194">
        <v>400</v>
      </c>
      <c r="E63" s="191" t="str">
        <f>IF(C63="","",C63*D63)</f>
        <v/>
      </c>
      <c r="F63" s="191" t="s">
        <v>35</v>
      </c>
      <c r="G63" s="191" t="s">
        <v>35</v>
      </c>
      <c r="H63" s="191" t="s">
        <v>35</v>
      </c>
      <c r="I63" s="191" t="s">
        <v>35</v>
      </c>
      <c r="J63" s="191" t="s">
        <v>35</v>
      </c>
      <c r="K63" s="191" t="s">
        <v>35</v>
      </c>
      <c r="L63" s="177" t="str">
        <f>IF(C63="","",E63)</f>
        <v/>
      </c>
      <c r="M63" s="270" t="str">
        <f>IF(C64=D6-C6+1+E6,"","Die Zahl der angebauten Früchte (ohne Doppel-nutzungen) muss der Zahl der betrachteten Jahre entsprechen")</f>
        <v>Die Zahl der angebauten Früchte (ohne Doppel-nutzungen) muss der Zahl der betrachteten Jahre entsprechen</v>
      </c>
      <c r="N63" s="128">
        <f>IF(OR(C6="",D6="",E6="",C64=0),0,IF(M63="",0,1))</f>
        <v>0</v>
      </c>
    </row>
    <row r="64" spans="1:18" ht="30.75" customHeight="1" thickBot="1" x14ac:dyDescent="0.25">
      <c r="A64" s="356" t="s">
        <v>31</v>
      </c>
      <c r="B64" s="357"/>
      <c r="C64" s="116">
        <f>SUM(C14:C63)</f>
        <v>0</v>
      </c>
      <c r="D64" s="195"/>
      <c r="E64" s="196">
        <f>SUM(E14:E63)</f>
        <v>0</v>
      </c>
      <c r="F64" s="195"/>
      <c r="G64" s="195"/>
      <c r="H64" s="195"/>
      <c r="I64" s="195"/>
      <c r="J64" s="195"/>
      <c r="K64" s="196">
        <f>SUM(K14:K63)</f>
        <v>0</v>
      </c>
      <c r="L64" s="197">
        <f>SUM(L13:L63)</f>
        <v>0</v>
      </c>
      <c r="M64" s="270"/>
      <c r="N64" s="252"/>
    </row>
    <row r="65" spans="1:23" ht="12.75" customHeight="1" thickBot="1" x14ac:dyDescent="0.25">
      <c r="A65" s="349"/>
      <c r="B65" s="350"/>
      <c r="C65" s="350"/>
      <c r="D65" s="350"/>
      <c r="E65" s="350"/>
      <c r="F65" s="350"/>
      <c r="G65" s="350"/>
      <c r="H65" s="350"/>
      <c r="I65" s="350"/>
      <c r="J65" s="350"/>
      <c r="K65" s="350"/>
      <c r="L65" s="351"/>
      <c r="M65" s="358"/>
    </row>
    <row r="66" spans="1:23" ht="27.75" customHeight="1" thickBot="1" x14ac:dyDescent="0.25">
      <c r="A66" s="352" t="s">
        <v>118</v>
      </c>
      <c r="B66" s="353"/>
      <c r="C66" s="354"/>
      <c r="D66" s="354"/>
      <c r="E66" s="354"/>
      <c r="F66" s="354"/>
      <c r="G66" s="354"/>
      <c r="H66" s="354"/>
      <c r="I66" s="354"/>
      <c r="J66" s="354"/>
      <c r="K66" s="354"/>
      <c r="L66" s="355"/>
    </row>
    <row r="67" spans="1:23" ht="34.5" customHeight="1" thickBot="1" x14ac:dyDescent="0.25">
      <c r="A67" s="346" t="s">
        <v>175</v>
      </c>
      <c r="B67" s="347"/>
      <c r="C67" s="323"/>
      <c r="D67" s="323"/>
      <c r="E67" s="323"/>
      <c r="F67" s="323"/>
      <c r="G67" s="323"/>
      <c r="H67" s="323"/>
      <c r="I67" s="323"/>
      <c r="J67" s="323"/>
      <c r="K67" s="323"/>
      <c r="L67" s="348"/>
    </row>
    <row r="68" spans="1:23" ht="14.25" customHeight="1" x14ac:dyDescent="0.2">
      <c r="A68" s="5"/>
      <c r="B68" s="5"/>
    </row>
    <row r="69" spans="1:23" s="4" customFormat="1" x14ac:dyDescent="0.2">
      <c r="A69" s="6"/>
      <c r="B69" s="6"/>
      <c r="N69" s="128"/>
      <c r="O69" s="136"/>
      <c r="P69" s="136"/>
      <c r="Q69" s="136"/>
      <c r="R69" s="135"/>
      <c r="S69" s="136"/>
      <c r="T69" s="136"/>
      <c r="U69" s="136"/>
      <c r="V69" s="136"/>
      <c r="W69" s="136"/>
    </row>
    <row r="70" spans="1:23" s="4" customFormat="1" ht="11.25" customHeight="1" x14ac:dyDescent="0.2">
      <c r="A70" s="6"/>
      <c r="B70" s="6"/>
      <c r="N70" s="128"/>
      <c r="O70" s="136"/>
      <c r="P70" s="136"/>
      <c r="Q70" s="136"/>
      <c r="R70" s="135"/>
      <c r="S70" s="136"/>
      <c r="T70" s="136"/>
      <c r="U70" s="136"/>
      <c r="V70" s="136"/>
      <c r="W70" s="136"/>
    </row>
    <row r="71" spans="1:23" x14ac:dyDescent="0.2">
      <c r="M71" s="3"/>
      <c r="N71" s="249"/>
      <c r="O71" s="135"/>
    </row>
    <row r="72" spans="1:23" x14ac:dyDescent="0.2">
      <c r="D72" s="2"/>
      <c r="E72" s="2"/>
      <c r="F72" s="3"/>
      <c r="G72" s="3"/>
    </row>
    <row r="73" spans="1:23" x14ac:dyDescent="0.2">
      <c r="D73" s="2"/>
      <c r="E73" s="2"/>
      <c r="F73" s="3"/>
      <c r="G73" s="3"/>
    </row>
    <row r="74" spans="1:23" x14ac:dyDescent="0.2">
      <c r="D74" s="2"/>
      <c r="E74" s="2"/>
      <c r="F74" s="3"/>
      <c r="G74" s="3"/>
      <c r="H74" s="3"/>
      <c r="I74" s="3"/>
      <c r="J74" s="3"/>
      <c r="K74" s="3"/>
      <c r="L74" s="3"/>
    </row>
  </sheetData>
  <sheetProtection password="DB7B" sheet="1" selectLockedCells="1"/>
  <mergeCells count="84">
    <mergeCell ref="M63:M65"/>
    <mergeCell ref="A38:B38"/>
    <mergeCell ref="M50:M51"/>
    <mergeCell ref="G50:J50"/>
    <mergeCell ref="A52:B52"/>
    <mergeCell ref="M52:M58"/>
    <mergeCell ref="M33:M36"/>
    <mergeCell ref="A23:B23"/>
    <mergeCell ref="A35:B35"/>
    <mergeCell ref="A34:B34"/>
    <mergeCell ref="A27:B27"/>
    <mergeCell ref="A33:B33"/>
    <mergeCell ref="A32:B32"/>
    <mergeCell ref="A29:B29"/>
    <mergeCell ref="A30:B30"/>
    <mergeCell ref="M27:M31"/>
    <mergeCell ref="A67:L67"/>
    <mergeCell ref="A65:L65"/>
    <mergeCell ref="A60:B60"/>
    <mergeCell ref="A61:B61"/>
    <mergeCell ref="A62:B62"/>
    <mergeCell ref="A66:L66"/>
    <mergeCell ref="A64:B64"/>
    <mergeCell ref="A63:B63"/>
    <mergeCell ref="A59:B59"/>
    <mergeCell ref="A58:B58"/>
    <mergeCell ref="A37:B37"/>
    <mergeCell ref="A44:B44"/>
    <mergeCell ref="A45:B45"/>
    <mergeCell ref="A42:B42"/>
    <mergeCell ref="A55:B55"/>
    <mergeCell ref="A56:B56"/>
    <mergeCell ref="A57:B57"/>
    <mergeCell ref="A50:B50"/>
    <mergeCell ref="A43:B43"/>
    <mergeCell ref="A53:B53"/>
    <mergeCell ref="A46:B46"/>
    <mergeCell ref="A48:B48"/>
    <mergeCell ref="A47:B47"/>
    <mergeCell ref="A54:B54"/>
    <mergeCell ref="A13:B13"/>
    <mergeCell ref="J4:L6"/>
    <mergeCell ref="E6:F6"/>
    <mergeCell ref="M4:M6"/>
    <mergeCell ref="A6:B6"/>
    <mergeCell ref="C9:C10"/>
    <mergeCell ref="A4:B5"/>
    <mergeCell ref="A8:B8"/>
    <mergeCell ref="H9:H11"/>
    <mergeCell ref="I9:I10"/>
    <mergeCell ref="G9:G10"/>
    <mergeCell ref="G6:I6"/>
    <mergeCell ref="M13:M16"/>
    <mergeCell ref="A14:B14"/>
    <mergeCell ref="J9:K10"/>
    <mergeCell ref="D9:E10"/>
    <mergeCell ref="M1:M3"/>
    <mergeCell ref="F9:F10"/>
    <mergeCell ref="A12:B12"/>
    <mergeCell ref="A9:B11"/>
    <mergeCell ref="C4:D4"/>
    <mergeCell ref="E4:F5"/>
    <mergeCell ref="L9:L10"/>
    <mergeCell ref="G4:I5"/>
    <mergeCell ref="A1:L1"/>
    <mergeCell ref="A2:L3"/>
    <mergeCell ref="A41:B41"/>
    <mergeCell ref="A36:B36"/>
    <mergeCell ref="A31:B31"/>
    <mergeCell ref="A49:B49"/>
    <mergeCell ref="A39:F39"/>
    <mergeCell ref="A15:B15"/>
    <mergeCell ref="A28:B28"/>
    <mergeCell ref="M18:M21"/>
    <mergeCell ref="A17:B17"/>
    <mergeCell ref="A20:B20"/>
    <mergeCell ref="A25:B25"/>
    <mergeCell ref="A21:B21"/>
    <mergeCell ref="A22:B22"/>
    <mergeCell ref="A24:B24"/>
    <mergeCell ref="M22:M25"/>
    <mergeCell ref="A16:B16"/>
    <mergeCell ref="A18:B18"/>
    <mergeCell ref="A19:B19"/>
  </mergeCells>
  <conditionalFormatting sqref="G34 G14 G22">
    <cfRule type="cellIs" dxfId="27" priority="75" stopIfTrue="1" operator="greaterThan">
      <formula>1500</formula>
    </cfRule>
  </conditionalFormatting>
  <conditionalFormatting sqref="G14">
    <cfRule type="cellIs" dxfId="26" priority="74" stopIfTrue="1" operator="greaterThan">
      <formula>1200</formula>
    </cfRule>
  </conditionalFormatting>
  <conditionalFormatting sqref="G15">
    <cfRule type="cellIs" dxfId="25" priority="72" stopIfTrue="1" operator="greaterThan">
      <formula>1100</formula>
    </cfRule>
  </conditionalFormatting>
  <conditionalFormatting sqref="G28 G22:G24">
    <cfRule type="cellIs" dxfId="24" priority="70" stopIfTrue="1" operator="greaterThan">
      <formula>100</formula>
    </cfRule>
  </conditionalFormatting>
  <conditionalFormatting sqref="G35:G36">
    <cfRule type="cellIs" dxfId="23" priority="66" stopIfTrue="1" operator="greaterThan">
      <formula>60</formula>
    </cfRule>
  </conditionalFormatting>
  <conditionalFormatting sqref="G34">
    <cfRule type="cellIs" dxfId="22" priority="64" stopIfTrue="1" operator="greaterThan">
      <formula>150</formula>
    </cfRule>
    <cfRule type="cellIs" dxfId="21" priority="65" stopIfTrue="1" operator="greaterThan">
      <formula>100</formula>
    </cfRule>
  </conditionalFormatting>
  <conditionalFormatting sqref="G29:G30 G25:G27">
    <cfRule type="cellIs" dxfId="20" priority="63" stopIfTrue="1" operator="greaterThan">
      <formula>120</formula>
    </cfRule>
  </conditionalFormatting>
  <conditionalFormatting sqref="L7 C6 H7">
    <cfRule type="containsText" dxfId="19" priority="51" stopIfTrue="1" operator="containsText" text="leer">
      <formula>NOT(ISERROR(SEARCH("leer",C6)))</formula>
    </cfRule>
    <cfRule type="containsText" dxfId="18" priority="52" stopIfTrue="1" operator="containsText" text="&quot;&quot;">
      <formula>NOT(ISERROR(SEARCH("""""",C6)))</formula>
    </cfRule>
  </conditionalFormatting>
  <conditionalFormatting sqref="F18 F33:F36 F14:F15 F22:F30 F57:F58">
    <cfRule type="cellIs" dxfId="17" priority="50" stopIfTrue="1" operator="greaterThan">
      <formula>$C14</formula>
    </cfRule>
  </conditionalFormatting>
  <conditionalFormatting sqref="M13 M18 M22:M23 M27:M31 M33:M36">
    <cfRule type="expression" dxfId="16" priority="88" stopIfTrue="1">
      <formula>LEFT(M13,1)="N"</formula>
    </cfRule>
  </conditionalFormatting>
  <conditionalFormatting sqref="M63">
    <cfRule type="expression" dxfId="15" priority="89" stopIfTrue="1">
      <formula>LEFT(M63,3)="Die"</formula>
    </cfRule>
  </conditionalFormatting>
  <conditionalFormatting sqref="M52">
    <cfRule type="expression" dxfId="14" priority="90" stopIfTrue="1">
      <formula>LEFT(M52,1)="Z"</formula>
    </cfRule>
  </conditionalFormatting>
  <conditionalFormatting sqref="C64 C6:E6">
    <cfRule type="expression" dxfId="13" priority="10" stopIfTrue="1">
      <formula>$N$63=1</formula>
    </cfRule>
  </conditionalFormatting>
  <conditionalFormatting sqref="F52">
    <cfRule type="cellIs" dxfId="12" priority="9" stopIfTrue="1" operator="greaterThan">
      <formula>$C52</formula>
    </cfRule>
  </conditionalFormatting>
  <conditionalFormatting sqref="F53:F54">
    <cfRule type="cellIs" dxfId="11" priority="8" stopIfTrue="1" operator="greaterThan">
      <formula>$C53</formula>
    </cfRule>
  </conditionalFormatting>
  <conditionalFormatting sqref="F55">
    <cfRule type="cellIs" dxfId="10" priority="7" stopIfTrue="1" operator="greaterThan">
      <formula>$C55</formula>
    </cfRule>
  </conditionalFormatting>
  <conditionalFormatting sqref="F56">
    <cfRule type="cellIs" dxfId="9" priority="6" stopIfTrue="1" operator="greaterThan">
      <formula>$C56</formula>
    </cfRule>
  </conditionalFormatting>
  <conditionalFormatting sqref="G18">
    <cfRule type="cellIs" dxfId="8" priority="5" stopIfTrue="1" operator="greaterThan">
      <formula>1500</formula>
    </cfRule>
  </conditionalFormatting>
  <conditionalFormatting sqref="G18">
    <cfRule type="cellIs" dxfId="7" priority="4" stopIfTrue="1" operator="greaterThan">
      <formula>1200</formula>
    </cfRule>
  </conditionalFormatting>
  <conditionalFormatting sqref="G22">
    <cfRule type="cellIs" dxfId="6" priority="3" stopIfTrue="1" operator="greaterThan">
      <formula>1200</formula>
    </cfRule>
  </conditionalFormatting>
  <conditionalFormatting sqref="G33">
    <cfRule type="cellIs" dxfId="5" priority="2" stopIfTrue="1" operator="greaterThan">
      <formula>1500</formula>
    </cfRule>
  </conditionalFormatting>
  <conditionalFormatting sqref="G33">
    <cfRule type="cellIs" dxfId="4" priority="1" stopIfTrue="1" operator="greaterThan">
      <formula>1200</formula>
    </cfRule>
  </conditionalFormatting>
  <pageMargins left="0.78740157480314965" right="0.78740157480314965" top="0.53" bottom="0.98425196850393704" header="0.51181102362204722" footer="0.51181102362204722"/>
  <pageSetup paperSize="9" scale="69" orientation="portrait" r:id="rId1"/>
  <headerFooter alignWithMargins="0"/>
  <drawing r:id="rId2"/>
  <legacyDrawing r:id="rId3"/>
  <oleObjects>
    <mc:AlternateContent xmlns:mc="http://schemas.openxmlformats.org/markup-compatibility/2006">
      <mc:Choice Requires="x14">
        <oleObject shapeId="11265" r:id="rId4">
          <objectPr defaultSize="0" autoPict="0" r:id="rId5">
            <anchor moveWithCells="1">
              <from>
                <xdr:col>0</xdr:col>
                <xdr:colOff>981075</xdr:colOff>
                <xdr:row>0</xdr:row>
                <xdr:rowOff>47625</xdr:rowOff>
              </from>
              <to>
                <xdr:col>0</xdr:col>
                <xdr:colOff>1466850</xdr:colOff>
                <xdr:row>0</xdr:row>
                <xdr:rowOff>371475</xdr:rowOff>
              </to>
            </anchor>
          </objectPr>
        </oleObject>
      </mc:Choice>
      <mc:Fallback>
        <oleObject shapeId="1126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43"/>
  <sheetViews>
    <sheetView workbookViewId="0">
      <selection activeCell="E7" sqref="E7"/>
    </sheetView>
  </sheetViews>
  <sheetFormatPr baseColWidth="10" defaultRowHeight="12.75" x14ac:dyDescent="0.2"/>
  <cols>
    <col min="1" max="1" width="12.85546875" style="26" customWidth="1"/>
    <col min="2" max="2" width="28.5703125" style="26" customWidth="1"/>
    <col min="3" max="3" width="5.42578125" style="26" customWidth="1"/>
    <col min="4" max="4" width="5.42578125" style="56" customWidth="1"/>
    <col min="5" max="5" width="7.85546875" style="56" customWidth="1"/>
    <col min="6" max="7" width="14.5703125" style="56" customWidth="1"/>
    <col min="8" max="8" width="15.42578125" style="26" customWidth="1"/>
    <col min="9" max="9" width="31" style="26" customWidth="1"/>
    <col min="10" max="10" width="19.42578125" style="26" customWidth="1"/>
    <col min="11" max="13" width="11.42578125" style="26"/>
    <col min="14" max="14" width="20.5703125" style="26" customWidth="1"/>
    <col min="15" max="16384" width="11.42578125" style="26"/>
  </cols>
  <sheetData>
    <row r="1" spans="1:15" ht="37.5" customHeight="1" thickBot="1" x14ac:dyDescent="0.25">
      <c r="A1" s="367" t="str">
        <f>CONCATENATE("             ","2. Zufuhr von zusätzlichem organischem Material während des betrachteten Zeitraums von ",'3. Ergebnis'!L2,IF('3. Ergebnis'!L2=1," Jahr"," Jahren"))</f>
        <v xml:space="preserve">             2. Zufuhr von zusätzlichem organischem Material während des betrachteten Zeitraums von 1 Jahr</v>
      </c>
      <c r="B1" s="368"/>
      <c r="C1" s="368"/>
      <c r="D1" s="368"/>
      <c r="E1" s="368"/>
      <c r="F1" s="368"/>
      <c r="G1" s="368"/>
      <c r="H1" s="368"/>
      <c r="I1" s="369"/>
      <c r="J1" s="56"/>
    </row>
    <row r="2" spans="1:15" ht="13.5" customHeight="1" thickBot="1" x14ac:dyDescent="0.25">
      <c r="A2" s="392" t="s">
        <v>36</v>
      </c>
      <c r="B2" s="393"/>
      <c r="C2" s="27" t="s">
        <v>54</v>
      </c>
      <c r="D2" s="28" t="s">
        <v>74</v>
      </c>
      <c r="E2" s="29" t="s">
        <v>56</v>
      </c>
      <c r="F2" s="27" t="s">
        <v>57</v>
      </c>
      <c r="G2" s="210" t="s">
        <v>58</v>
      </c>
      <c r="H2" s="211" t="s">
        <v>59</v>
      </c>
      <c r="I2" s="30" t="s">
        <v>60</v>
      </c>
      <c r="J2" s="56"/>
    </row>
    <row r="3" spans="1:15" ht="15" customHeight="1" thickBot="1" x14ac:dyDescent="0.25">
      <c r="A3" s="370" t="s">
        <v>110</v>
      </c>
      <c r="B3" s="371"/>
      <c r="C3" s="394" t="s">
        <v>42</v>
      </c>
      <c r="D3" s="395"/>
      <c r="E3" s="396"/>
      <c r="F3" s="386" t="s">
        <v>50</v>
      </c>
      <c r="G3" s="383" t="s">
        <v>44</v>
      </c>
      <c r="H3" s="388" t="s">
        <v>120</v>
      </c>
      <c r="I3" s="376" t="s">
        <v>75</v>
      </c>
      <c r="J3" s="56"/>
    </row>
    <row r="4" spans="1:15" ht="24" customHeight="1" x14ac:dyDescent="0.2">
      <c r="A4" s="372"/>
      <c r="B4" s="373"/>
      <c r="C4" s="363" t="s">
        <v>39</v>
      </c>
      <c r="D4" s="364"/>
      <c r="E4" s="387" t="s">
        <v>51</v>
      </c>
      <c r="F4" s="365"/>
      <c r="G4" s="384"/>
      <c r="H4" s="389"/>
      <c r="I4" s="377"/>
      <c r="J4" s="56"/>
    </row>
    <row r="5" spans="1:15" ht="15.75" customHeight="1" x14ac:dyDescent="0.2">
      <c r="A5" s="372"/>
      <c r="B5" s="373"/>
      <c r="C5" s="31" t="s">
        <v>48</v>
      </c>
      <c r="D5" s="32" t="s">
        <v>49</v>
      </c>
      <c r="E5" s="391"/>
      <c r="F5" s="387"/>
      <c r="G5" s="385"/>
      <c r="H5" s="390"/>
      <c r="I5" s="377"/>
      <c r="J5" s="56"/>
      <c r="N5" s="129"/>
    </row>
    <row r="6" spans="1:15" ht="16.5" customHeight="1" thickBot="1" x14ac:dyDescent="0.25">
      <c r="A6" s="374"/>
      <c r="B6" s="375"/>
      <c r="C6" s="33" t="s">
        <v>43</v>
      </c>
      <c r="D6" s="34" t="s">
        <v>43</v>
      </c>
      <c r="E6" s="35" t="s">
        <v>43</v>
      </c>
      <c r="F6" s="89" t="str">
        <f>"t/ha in "&amp;'3. Ergebnis'!L2&amp;IF('3. Ergebnis'!L2=1," Jahr"," Jahren")</f>
        <v>t/ha in 1 Jahr</v>
      </c>
      <c r="G6" s="212" t="s">
        <v>76</v>
      </c>
      <c r="H6" s="213" t="s">
        <v>63</v>
      </c>
      <c r="I6" s="378"/>
      <c r="J6" s="56"/>
      <c r="N6" s="129"/>
    </row>
    <row r="7" spans="1:15" ht="18" customHeight="1" x14ac:dyDescent="0.2">
      <c r="A7" s="36" t="s">
        <v>103</v>
      </c>
      <c r="B7" s="37" t="s">
        <v>4</v>
      </c>
      <c r="C7" s="38">
        <v>18</v>
      </c>
      <c r="D7" s="39">
        <v>35</v>
      </c>
      <c r="E7" s="100"/>
      <c r="F7" s="78"/>
      <c r="G7" s="214" t="str">
        <f>IF(OR(E7="",F7=""),"",1.2*E7+4)</f>
        <v/>
      </c>
      <c r="H7" s="215" t="str">
        <f>IF(OR(E7="",F7=""),"",F7*G7)</f>
        <v/>
      </c>
      <c r="I7" s="365" t="str">
        <f>IF(OR(AND(E7&gt;0,OR(E7&lt;C7,E7&gt;D7)),AND(E8&gt;0,OR(E8&lt;C8,E8&gt;D8)),AND(E9&gt;0,OR(E9&lt;C9,E7&gt;D9))),"eingetragener Trockensubstanzgehalt liegt außerhalb des Geltungsbereiches","")</f>
        <v/>
      </c>
      <c r="J7" s="128">
        <f>IF(I7="",0,1)</f>
        <v>0</v>
      </c>
      <c r="K7" s="129"/>
      <c r="L7" s="129"/>
      <c r="M7" s="129"/>
      <c r="N7" s="129" t="str">
        <f>IF(SUM(E7:F9)=0,"",CONCATENATE(SUM(F7:F9)," t/ha ",A7))</f>
        <v/>
      </c>
      <c r="O7" s="129"/>
    </row>
    <row r="8" spans="1:15" ht="18" customHeight="1" x14ac:dyDescent="0.2">
      <c r="A8" s="40"/>
      <c r="B8" s="41" t="s">
        <v>41</v>
      </c>
      <c r="C8" s="42">
        <v>20</v>
      </c>
      <c r="D8" s="43">
        <v>40</v>
      </c>
      <c r="E8" s="101"/>
      <c r="F8" s="79"/>
      <c r="G8" s="216" t="str">
        <f>IF(OR(E8="",F8=""),"",1.6*E8)</f>
        <v/>
      </c>
      <c r="H8" s="217" t="str">
        <f t="shared" ref="H8:H28" si="0">IF(OR(E8="",F8=""),"",F8*G8)</f>
        <v/>
      </c>
      <c r="I8" s="365"/>
      <c r="J8" s="130"/>
      <c r="K8" s="129"/>
      <c r="L8" s="129"/>
      <c r="M8" s="129"/>
      <c r="N8" s="129"/>
      <c r="O8" s="129"/>
    </row>
    <row r="9" spans="1:15" ht="18" customHeight="1" thickBot="1" x14ac:dyDescent="0.25">
      <c r="A9" s="54"/>
      <c r="B9" s="55" t="s">
        <v>5</v>
      </c>
      <c r="C9" s="46">
        <v>30</v>
      </c>
      <c r="D9" s="97">
        <v>65</v>
      </c>
      <c r="E9" s="102"/>
      <c r="F9" s="80"/>
      <c r="G9" s="218" t="str">
        <f>IF(OR(E9="",F9=""),"",1.7*E9+2.5)</f>
        <v/>
      </c>
      <c r="H9" s="219" t="str">
        <f t="shared" si="0"/>
        <v/>
      </c>
      <c r="I9" s="365"/>
      <c r="J9" s="130"/>
      <c r="K9" s="129"/>
      <c r="L9" s="129"/>
      <c r="M9" s="129"/>
      <c r="N9" s="129"/>
      <c r="O9" s="129"/>
    </row>
    <row r="10" spans="1:15" ht="18" customHeight="1" x14ac:dyDescent="0.2">
      <c r="A10" s="36" t="s">
        <v>6</v>
      </c>
      <c r="B10" s="60" t="s">
        <v>131</v>
      </c>
      <c r="C10" s="57">
        <v>1</v>
      </c>
      <c r="D10" s="98">
        <v>10</v>
      </c>
      <c r="E10" s="103"/>
      <c r="F10" s="81"/>
      <c r="G10" s="220" t="str">
        <f>IF(OR(E10="",F10=""),"",E10)</f>
        <v/>
      </c>
      <c r="H10" s="221" t="str">
        <f t="shared" si="0"/>
        <v/>
      </c>
      <c r="I10" s="365" t="str">
        <f>IF(OR(AND(E10&gt;0,OR(E10&lt;C10,E10&gt;D10)),AND(E11&gt;0,OR(E11&lt;C11,E11&gt;D11)),AND(E12&gt;0,OR(E12&lt;C12,E12&gt;D12)),AND(E13&gt;0,OR(E13&lt;C13,E13&gt;D13)),AND(E14&gt;0,OR(E14&lt;C14,E14&gt;D14)),AND(E15&gt;0,OR(E15&lt;C15,E15&gt;D15))),"eingetragener Trockensubstanzgehalt liegt außerhalb des Geltungsbereiches","")</f>
        <v/>
      </c>
      <c r="J10" s="128">
        <f>IF(I10="",0,1)</f>
        <v>0</v>
      </c>
      <c r="K10" s="129"/>
      <c r="L10" s="129"/>
      <c r="M10" s="129"/>
      <c r="N10" s="129" t="str">
        <f>IF(SUM(E10:F15)=0,"",CONCATENATE(SUM(F10:F15)," t/ha ",A10))</f>
        <v/>
      </c>
      <c r="O10" s="129"/>
    </row>
    <row r="11" spans="1:15" ht="18" customHeight="1" x14ac:dyDescent="0.2">
      <c r="A11" s="51"/>
      <c r="B11" s="148" t="s">
        <v>132</v>
      </c>
      <c r="C11" s="149">
        <v>1</v>
      </c>
      <c r="D11" s="150">
        <v>10</v>
      </c>
      <c r="E11" s="100"/>
      <c r="F11" s="124"/>
      <c r="G11" s="222" t="str">
        <f>IF(OR(E11="",F11=""),"",E11)</f>
        <v/>
      </c>
      <c r="H11" s="215" t="str">
        <f t="shared" si="0"/>
        <v/>
      </c>
      <c r="I11" s="365"/>
      <c r="J11" s="128"/>
      <c r="K11" s="129"/>
      <c r="L11" s="129"/>
      <c r="M11" s="129"/>
      <c r="N11" s="129"/>
      <c r="O11" s="129"/>
    </row>
    <row r="12" spans="1:15" ht="18" customHeight="1" x14ac:dyDescent="0.2">
      <c r="A12" s="40"/>
      <c r="B12" s="61" t="s">
        <v>133</v>
      </c>
      <c r="C12" s="58">
        <v>1</v>
      </c>
      <c r="D12" s="48">
        <v>12</v>
      </c>
      <c r="E12" s="101"/>
      <c r="F12" s="82"/>
      <c r="G12" s="214" t="str">
        <f>IF(OR(E12="",F12=""),"",-0.0455*E12*E12+1.6302*E12+0.0536)</f>
        <v/>
      </c>
      <c r="H12" s="217" t="str">
        <f t="shared" si="0"/>
        <v/>
      </c>
      <c r="I12" s="365"/>
      <c r="J12" s="130"/>
      <c r="K12" s="129"/>
      <c r="L12" s="129"/>
      <c r="M12" s="129"/>
      <c r="N12" s="129"/>
      <c r="O12" s="129"/>
    </row>
    <row r="13" spans="1:15" ht="18" customHeight="1" x14ac:dyDescent="0.2">
      <c r="A13" s="40"/>
      <c r="B13" s="61" t="s">
        <v>134</v>
      </c>
      <c r="C13" s="58">
        <v>1</v>
      </c>
      <c r="D13" s="48">
        <v>12</v>
      </c>
      <c r="E13" s="101"/>
      <c r="F13" s="82"/>
      <c r="G13" s="214" t="str">
        <f>IF(OR(E13="",F13=""),"",-0.0455*E13*E13+1.6302*E13+0.0536)</f>
        <v/>
      </c>
      <c r="H13" s="217" t="str">
        <f>IF(OR(E13="",F13=""),"",F13*G13)</f>
        <v/>
      </c>
      <c r="I13" s="365"/>
      <c r="J13" s="130"/>
      <c r="K13" s="129"/>
      <c r="L13" s="129"/>
      <c r="M13" s="129"/>
      <c r="N13" s="129"/>
      <c r="O13" s="129"/>
    </row>
    <row r="14" spans="1:15" ht="18" customHeight="1" x14ac:dyDescent="0.2">
      <c r="A14" s="40"/>
      <c r="B14" s="61" t="s">
        <v>7</v>
      </c>
      <c r="C14" s="58">
        <v>10</v>
      </c>
      <c r="D14" s="99">
        <v>50</v>
      </c>
      <c r="E14" s="101"/>
      <c r="F14" s="82"/>
      <c r="G14" s="216" t="str">
        <f>IF(OR(E14="",F14=""),"",-0.005*E14*E14+1.16*E14-4.175)</f>
        <v/>
      </c>
      <c r="H14" s="217" t="str">
        <f t="shared" si="0"/>
        <v/>
      </c>
      <c r="I14" s="365"/>
      <c r="J14" s="130"/>
      <c r="K14" s="129"/>
      <c r="L14" s="129"/>
      <c r="M14" s="129"/>
      <c r="N14" s="129"/>
      <c r="O14" s="129"/>
    </row>
    <row r="15" spans="1:15" ht="18" customHeight="1" thickBot="1" x14ac:dyDescent="0.25">
      <c r="A15" s="44"/>
      <c r="B15" s="62" t="s">
        <v>40</v>
      </c>
      <c r="C15" s="59">
        <v>20</v>
      </c>
      <c r="D15" s="50">
        <v>40</v>
      </c>
      <c r="E15" s="104"/>
      <c r="F15" s="83"/>
      <c r="G15" s="223" t="str">
        <f>IF(OR(E15="",F15=""),"",1.6*E15)</f>
        <v/>
      </c>
      <c r="H15" s="224" t="str">
        <f t="shared" si="0"/>
        <v/>
      </c>
      <c r="I15" s="365"/>
      <c r="J15" s="130"/>
      <c r="K15" s="129"/>
      <c r="L15" s="129"/>
      <c r="M15" s="129"/>
      <c r="N15" s="129"/>
      <c r="O15" s="129"/>
    </row>
    <row r="16" spans="1:15" ht="18" customHeight="1" x14ac:dyDescent="0.2">
      <c r="A16" s="153" t="s">
        <v>8</v>
      </c>
      <c r="B16" s="52" t="s">
        <v>9</v>
      </c>
      <c r="C16" s="47">
        <v>15</v>
      </c>
      <c r="D16" s="159">
        <v>50</v>
      </c>
      <c r="E16" s="103"/>
      <c r="F16" s="155"/>
      <c r="G16" s="220" t="str">
        <f>IF(OR(E16="",F16=""),"",1.6*E16-2)</f>
        <v/>
      </c>
      <c r="H16" s="225" t="str">
        <f t="shared" si="0"/>
        <v/>
      </c>
      <c r="I16" s="365" t="str">
        <f>IF(OR(AND(E16&gt;0,OR(E16&lt;C16,E16&gt;D16)),AND(E17&gt;0,OR(E17&lt;C17,E17&gt;D17)),AND(E18&gt;0,OR(E18&lt;C18,E16&gt;D18))),"eingetragener Trockensubstanzgehalt liegt außerhalb des Geltungsbereiches","")</f>
        <v/>
      </c>
      <c r="J16" s="128">
        <f>IF(I16="",0,1)</f>
        <v>0</v>
      </c>
      <c r="K16" s="129"/>
      <c r="L16" s="129"/>
      <c r="M16" s="129"/>
      <c r="N16" s="129" t="str">
        <f>IF(SUM(E16:F18)=0,"",CONCATENATE(SUM(F16:F18)," t/ha ",A16))</f>
        <v/>
      </c>
      <c r="O16" s="129"/>
    </row>
    <row r="17" spans="1:15" ht="18" customHeight="1" x14ac:dyDescent="0.2">
      <c r="A17" s="152"/>
      <c r="B17" s="41" t="s">
        <v>10</v>
      </c>
      <c r="C17" s="42">
        <v>25</v>
      </c>
      <c r="D17" s="160">
        <v>55</v>
      </c>
      <c r="E17" s="101"/>
      <c r="F17" s="156"/>
      <c r="G17" s="226" t="str">
        <f>IF(OR(E17="",F17=""),"",1.3*E17+1)</f>
        <v/>
      </c>
      <c r="H17" s="227" t="str">
        <f t="shared" si="0"/>
        <v/>
      </c>
      <c r="I17" s="365"/>
      <c r="J17" s="130"/>
      <c r="K17" s="129"/>
      <c r="L17" s="129"/>
      <c r="M17" s="129"/>
      <c r="N17" s="129"/>
      <c r="O17" s="129"/>
    </row>
    <row r="18" spans="1:15" ht="18" customHeight="1" thickBot="1" x14ac:dyDescent="0.25">
      <c r="A18" s="154"/>
      <c r="B18" s="45" t="s">
        <v>11</v>
      </c>
      <c r="C18" s="49">
        <v>30</v>
      </c>
      <c r="D18" s="161">
        <v>70</v>
      </c>
      <c r="E18" s="104"/>
      <c r="F18" s="157"/>
      <c r="G18" s="228" t="str">
        <f>IF(OR(E18="",F18=""),"",1.2*E18-2)</f>
        <v/>
      </c>
      <c r="H18" s="229" t="str">
        <f t="shared" si="0"/>
        <v/>
      </c>
      <c r="I18" s="365"/>
      <c r="J18" s="130"/>
      <c r="K18" s="129"/>
      <c r="L18" s="129"/>
      <c r="M18" s="129"/>
      <c r="N18" s="129"/>
      <c r="O18" s="129"/>
    </row>
    <row r="19" spans="1:15" ht="18" customHeight="1" x14ac:dyDescent="0.2">
      <c r="A19" s="153" t="s">
        <v>12</v>
      </c>
      <c r="B19" s="52" t="s">
        <v>109</v>
      </c>
      <c r="C19" s="38">
        <v>1</v>
      </c>
      <c r="D19" s="162">
        <v>55</v>
      </c>
      <c r="E19" s="100"/>
      <c r="F19" s="155"/>
      <c r="G19" s="230" t="str">
        <f>IF(OR(E19="",F19=""),"",IF(E19&lt;15.1,0.8*E19,-0.01*E19*E19+1.92*E19-14.35))</f>
        <v/>
      </c>
      <c r="H19" s="225" t="str">
        <f>IF(OR(E19="",F19=""),"",F19*G19)</f>
        <v/>
      </c>
      <c r="I19" s="365" t="str">
        <f>IF(OR(AND(E19&gt;0,OR(E19&lt;C19,E19&gt;D19)),AND(E20&gt;0,OR(E20&lt;C20,E20&gt;D20))),"eingetragener Trockensubstanzgehalt liegt außerhalb des Geltungsbereiches","")</f>
        <v/>
      </c>
      <c r="J19" s="128">
        <f>IF(I19="",0,1)</f>
        <v>0</v>
      </c>
      <c r="K19" s="129"/>
      <c r="L19" s="129"/>
      <c r="M19" s="129"/>
      <c r="N19" s="129" t="str">
        <f>IF(SUM(E19:F20)=0,"",CONCATENATE(SUM(F19:F20)," t/ha ",A19))</f>
        <v/>
      </c>
      <c r="O19" s="129"/>
    </row>
    <row r="20" spans="1:15" ht="18" customHeight="1" thickBot="1" x14ac:dyDescent="0.25">
      <c r="A20" s="154"/>
      <c r="B20" s="45" t="s">
        <v>108</v>
      </c>
      <c r="C20" s="49">
        <v>15</v>
      </c>
      <c r="D20" s="161">
        <v>60</v>
      </c>
      <c r="E20" s="104"/>
      <c r="F20" s="157"/>
      <c r="G20" s="228" t="str">
        <f>IF(OR(E20="",F20=""),"",IF(E20&lt;25,0.8*E20,-0.015*E20*E20+2.38*E20-29.825))</f>
        <v/>
      </c>
      <c r="H20" s="229" t="str">
        <f t="shared" si="0"/>
        <v/>
      </c>
      <c r="I20" s="365"/>
      <c r="J20" s="130"/>
      <c r="K20" s="129"/>
      <c r="L20" s="129"/>
      <c r="M20" s="129"/>
      <c r="N20" s="129"/>
      <c r="O20" s="129"/>
    </row>
    <row r="21" spans="1:15" ht="18" customHeight="1" x14ac:dyDescent="0.2">
      <c r="A21" s="153" t="s">
        <v>102</v>
      </c>
      <c r="B21" s="52" t="s">
        <v>135</v>
      </c>
      <c r="C21" s="38">
        <v>1</v>
      </c>
      <c r="D21" s="163">
        <v>70</v>
      </c>
      <c r="E21" s="100"/>
      <c r="F21" s="155"/>
      <c r="G21" s="222" t="str">
        <f>IF(OR(E21="",F21=""),"",IF(E21&lt;4,E21*1.5,IF(E21&lt;10.1,E21+2,-0.0117*E21*E21+1.9843*E21-6.795)))</f>
        <v/>
      </c>
      <c r="H21" s="225" t="str">
        <f t="shared" si="0"/>
        <v/>
      </c>
      <c r="I21" s="365" t="str">
        <f>IF(OR(AND(E21&gt;0,OR(E21&lt;C21,E21&gt;D21)),AND(E22&gt;0,OR(E22&lt;C22,E22&gt;D22))),"eingetragener Trockensubstanzgehalt liegt außerhalb des Geltungsbereiches","")</f>
        <v/>
      </c>
      <c r="J21" s="128"/>
      <c r="K21" s="129"/>
      <c r="L21" s="129"/>
      <c r="M21" s="129"/>
      <c r="N21" s="129" t="str">
        <f>IF(SUM(E21:F22)=0,"",CONCATENATE(SUM(F21:F22)," t/ha ",A21))</f>
        <v/>
      </c>
      <c r="O21" s="129"/>
    </row>
    <row r="22" spans="1:15" ht="18" customHeight="1" thickBot="1" x14ac:dyDescent="0.25">
      <c r="A22" s="154"/>
      <c r="B22" s="45" t="s">
        <v>136</v>
      </c>
      <c r="C22" s="49">
        <v>1</v>
      </c>
      <c r="D22" s="161">
        <v>70</v>
      </c>
      <c r="E22" s="104"/>
      <c r="F22" s="157"/>
      <c r="G22" s="222" t="str">
        <f>IF(OR(E22="",F22=""),"",IF(E22&lt;4,E22*1.5,IF(E22&lt;10.1,E22+2,-0.0117*E22*E22+1.9843*E22-6.795)))</f>
        <v/>
      </c>
      <c r="H22" s="229" t="str">
        <f>IF(OR(E22="",F22=""),"",F22*G22)</f>
        <v/>
      </c>
      <c r="I22" s="365"/>
      <c r="J22" s="128"/>
      <c r="K22" s="129"/>
      <c r="L22" s="129"/>
      <c r="M22" s="129"/>
      <c r="N22" s="129"/>
      <c r="O22" s="129"/>
    </row>
    <row r="23" spans="1:15" ht="18" customHeight="1" x14ac:dyDescent="0.2">
      <c r="A23" s="51" t="s">
        <v>13</v>
      </c>
      <c r="B23" s="52" t="s">
        <v>14</v>
      </c>
      <c r="C23" s="38">
        <v>30</v>
      </c>
      <c r="D23" s="53">
        <v>60</v>
      </c>
      <c r="E23" s="103"/>
      <c r="F23" s="158"/>
      <c r="G23" s="220" t="str">
        <f>IF(OR(E23="",F23=""),"",2*E23)</f>
        <v/>
      </c>
      <c r="H23" s="231" t="str">
        <f t="shared" si="0"/>
        <v/>
      </c>
      <c r="I23" s="365" t="str">
        <f>IF(OR(AND(E23&gt;0,OR(E23&lt;C23,E23&gt;D23)),AND(E24&gt;0,OR(E24&lt;C24,E24&gt;D24)),AND(E28&gt;0,OR(E28&lt;C28,E28&gt;D28))),"eingetragener Trockensubstanzgehalt liegt außerhalb des Geltungsbereiches","")</f>
        <v/>
      </c>
      <c r="J23" s="128">
        <f>IF(I23="",0,1)</f>
        <v>0</v>
      </c>
      <c r="K23" s="129"/>
      <c r="L23" s="129"/>
      <c r="M23" s="129"/>
      <c r="N23" s="129" t="str">
        <f>IF(SUM(E23:F28)=0,"",CONCATENATE(SUM(F23:F28)," t/ha ",A23))</f>
        <v/>
      </c>
      <c r="O23" s="129"/>
    </row>
    <row r="24" spans="1:15" ht="18" customHeight="1" x14ac:dyDescent="0.2">
      <c r="A24" s="40"/>
      <c r="B24" s="41" t="s">
        <v>15</v>
      </c>
      <c r="C24" s="42">
        <v>10</v>
      </c>
      <c r="D24" s="43">
        <v>50</v>
      </c>
      <c r="E24" s="101"/>
      <c r="F24" s="156"/>
      <c r="G24" s="226" t="str">
        <f>IF(OR(E24="",F24=""),"",E24)</f>
        <v/>
      </c>
      <c r="H24" s="227" t="str">
        <f t="shared" si="0"/>
        <v/>
      </c>
      <c r="I24" s="365"/>
      <c r="J24" s="56"/>
      <c r="N24" s="129"/>
    </row>
    <row r="25" spans="1:15" ht="18" customHeight="1" x14ac:dyDescent="0.2">
      <c r="A25" s="54"/>
      <c r="B25" s="55" t="s">
        <v>137</v>
      </c>
      <c r="C25" s="46">
        <v>10</v>
      </c>
      <c r="D25" s="151">
        <v>25</v>
      </c>
      <c r="E25" s="102"/>
      <c r="F25" s="156"/>
      <c r="G25" s="232" t="str">
        <f>IF(OR(E25="",F25=""),"",0.8*E25)</f>
        <v/>
      </c>
      <c r="H25" s="227" t="str">
        <f t="shared" si="0"/>
        <v/>
      </c>
      <c r="I25" s="365"/>
      <c r="J25" s="56"/>
      <c r="N25" s="129"/>
    </row>
    <row r="26" spans="1:15" ht="18" customHeight="1" x14ac:dyDescent="0.2">
      <c r="A26" s="54"/>
      <c r="B26" s="55" t="s">
        <v>138</v>
      </c>
      <c r="C26" s="46">
        <v>10</v>
      </c>
      <c r="D26" s="151">
        <v>25</v>
      </c>
      <c r="E26" s="102"/>
      <c r="F26" s="156"/>
      <c r="G26" s="232" t="str">
        <f>IF(OR(E26="",F26=""),"",0.8*E26)</f>
        <v/>
      </c>
      <c r="H26" s="227" t="str">
        <f t="shared" si="0"/>
        <v/>
      </c>
      <c r="I26" s="365"/>
      <c r="J26" s="56"/>
      <c r="N26" s="129"/>
    </row>
    <row r="27" spans="1:15" ht="18" customHeight="1" x14ac:dyDescent="0.2">
      <c r="A27" s="54"/>
      <c r="B27" s="55" t="s">
        <v>177</v>
      </c>
      <c r="C27" s="46">
        <v>80</v>
      </c>
      <c r="D27" s="151">
        <v>90</v>
      </c>
      <c r="E27" s="262"/>
      <c r="F27" s="261"/>
      <c r="G27" s="226" t="str">
        <f>IF(F27="","",70)</f>
        <v/>
      </c>
      <c r="H27" s="263" t="str">
        <f>IF(F27="","",F27*G27)</f>
        <v/>
      </c>
      <c r="I27" s="365"/>
      <c r="J27" s="56"/>
      <c r="N27" s="129"/>
    </row>
    <row r="28" spans="1:15" ht="18" customHeight="1" thickBot="1" x14ac:dyDescent="0.25">
      <c r="A28" s="44"/>
      <c r="B28" s="45" t="s">
        <v>47</v>
      </c>
      <c r="C28" s="49">
        <v>8</v>
      </c>
      <c r="D28" s="50">
        <v>30</v>
      </c>
      <c r="E28" s="104"/>
      <c r="F28" s="157"/>
      <c r="G28" s="233" t="str">
        <f>IF(OR(E28="",F28=""),"",0.8*E28)</f>
        <v/>
      </c>
      <c r="H28" s="229" t="str">
        <f t="shared" si="0"/>
        <v/>
      </c>
      <c r="I28" s="366"/>
      <c r="J28" s="56"/>
      <c r="N28" s="129"/>
    </row>
    <row r="29" spans="1:15" ht="18" customHeight="1" thickBot="1" x14ac:dyDescent="0.25">
      <c r="A29" s="379" t="s">
        <v>16</v>
      </c>
      <c r="B29" s="380"/>
      <c r="C29" s="380"/>
      <c r="D29" s="380"/>
      <c r="E29" s="381"/>
      <c r="F29" s="381"/>
      <c r="G29" s="382"/>
      <c r="H29" s="234">
        <f>SUM(H7:H28)</f>
        <v>0</v>
      </c>
      <c r="I29" s="235"/>
      <c r="J29" s="56"/>
    </row>
    <row r="30" spans="1:15" x14ac:dyDescent="0.2">
      <c r="D30" s="26"/>
      <c r="E30" s="26"/>
      <c r="F30" s="26"/>
      <c r="G30" s="26"/>
    </row>
    <row r="31" spans="1:15" x14ac:dyDescent="0.2">
      <c r="E31" s="123"/>
      <c r="F31" s="123"/>
    </row>
    <row r="32" spans="1:15" x14ac:dyDescent="0.2">
      <c r="E32" s="123"/>
    </row>
    <row r="33" spans="5:7" x14ac:dyDescent="0.2">
      <c r="F33" s="133"/>
    </row>
    <row r="35" spans="5:7" x14ac:dyDescent="0.2">
      <c r="E35" s="133"/>
      <c r="G35" s="26" t="str">
        <f>IF(OR(E35="",F35=""),"",-0.0116*E35*E35+1.2416*E35+0.9192)</f>
        <v/>
      </c>
    </row>
    <row r="37" spans="5:7" x14ac:dyDescent="0.2">
      <c r="E37"/>
      <c r="G37" s="26"/>
    </row>
    <row r="38" spans="5:7" x14ac:dyDescent="0.2">
      <c r="G38" s="26"/>
    </row>
    <row r="39" spans="5:7" x14ac:dyDescent="0.2">
      <c r="E39" s="26"/>
      <c r="F39" s="26"/>
      <c r="G39" s="26"/>
    </row>
    <row r="40" spans="5:7" x14ac:dyDescent="0.2">
      <c r="G40" s="26"/>
    </row>
    <row r="41" spans="5:7" x14ac:dyDescent="0.2">
      <c r="G41" s="26"/>
    </row>
    <row r="42" spans="5:7" x14ac:dyDescent="0.2">
      <c r="G42" s="26"/>
    </row>
    <row r="43" spans="5:7" x14ac:dyDescent="0.2">
      <c r="G43" s="26"/>
    </row>
  </sheetData>
  <sheetProtection password="DB7B" sheet="1" selectLockedCells="1"/>
  <customSheetViews>
    <customSheetView guid="{38621A12-BF95-4C99-9393-5E9BE54F8B73}" showRuler="0">
      <pane xSplit="5" ySplit="2" topLeftCell="F3" activePane="bottomRight" state="frozen"/>
      <selection pane="bottomRight" activeCell="G42" sqref="G42"/>
      <pageMargins left="0.78740157499999996" right="0.78740157499999996" top="0.984251969" bottom="0.984251969" header="0.4921259845" footer="0.4921259845"/>
      <pageSetup paperSize="9" scale="75" orientation="portrait" r:id="rId1"/>
      <headerFooter alignWithMargins="0"/>
    </customSheetView>
  </customSheetViews>
  <mergeCells count="17">
    <mergeCell ref="A1:I1"/>
    <mergeCell ref="A3:B6"/>
    <mergeCell ref="I3:I6"/>
    <mergeCell ref="A29:G29"/>
    <mergeCell ref="G3:G5"/>
    <mergeCell ref="F3:F5"/>
    <mergeCell ref="H3:H5"/>
    <mergeCell ref="E4:E5"/>
    <mergeCell ref="A2:B2"/>
    <mergeCell ref="C3:E3"/>
    <mergeCell ref="C4:D4"/>
    <mergeCell ref="I23:I28"/>
    <mergeCell ref="I10:I15"/>
    <mergeCell ref="I16:I18"/>
    <mergeCell ref="I7:I9"/>
    <mergeCell ref="I19:I20"/>
    <mergeCell ref="I21:I22"/>
  </mergeCells>
  <phoneticPr fontId="0" type="noConversion"/>
  <conditionalFormatting sqref="E7:E28">
    <cfRule type="cellIs" dxfId="3" priority="24" stopIfTrue="1" operator="greaterThan">
      <formula>D7</formula>
    </cfRule>
    <cfRule type="cellIs" dxfId="2" priority="25" stopIfTrue="1" operator="between">
      <formula>0.0001</formula>
      <formula>C7-0.0001</formula>
    </cfRule>
  </conditionalFormatting>
  <conditionalFormatting sqref="I29 I7 I10:I11 I16 I19 I21:I23">
    <cfRule type="expression" dxfId="1" priority="28" stopIfTrue="1">
      <formula>LEFT(I7,13)="eingetragener"</formula>
    </cfRule>
  </conditionalFormatting>
  <pageMargins left="0.37" right="0.36" top="0.984251969" bottom="0.984251969" header="0.4921259845" footer="0.4921259845"/>
  <pageSetup paperSize="9" scale="65" orientation="portrait" r:id="rId2"/>
  <headerFooter alignWithMargins="0"/>
  <ignoredErrors>
    <ignoredError sqref="N10 N16" formulaRange="1"/>
  </ignoredErrors>
  <drawing r:id="rId3"/>
  <legacyDrawing r:id="rId4"/>
  <oleObjects>
    <mc:AlternateContent xmlns:mc="http://schemas.openxmlformats.org/markup-compatibility/2006">
      <mc:Choice Requires="x14">
        <oleObject shapeId="4097" r:id="rId5">
          <objectPr defaultSize="0" autoPict="0" r:id="rId6">
            <anchor moveWithCells="1">
              <from>
                <xdr:col>0</xdr:col>
                <xdr:colOff>123825</xdr:colOff>
                <xdr:row>0</xdr:row>
                <xdr:rowOff>85725</xdr:rowOff>
              </from>
              <to>
                <xdr:col>0</xdr:col>
                <xdr:colOff>609600</xdr:colOff>
                <xdr:row>0</xdr:row>
                <xdr:rowOff>409575</xdr:rowOff>
              </to>
            </anchor>
          </objectPr>
        </oleObject>
      </mc:Choice>
      <mc:Fallback>
        <oleObject shapeId="4097" r:id="rId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S34"/>
  <sheetViews>
    <sheetView zoomScale="90" zoomScaleNormal="90" workbookViewId="0">
      <selection activeCell="B1" sqref="B1"/>
    </sheetView>
  </sheetViews>
  <sheetFormatPr baseColWidth="10" defaultRowHeight="12.75" x14ac:dyDescent="0.2"/>
  <cols>
    <col min="1" max="1" width="1.140625" style="1" customWidth="1"/>
    <col min="2" max="2" width="29.7109375" style="1" customWidth="1"/>
    <col min="3" max="3" width="17" style="1" customWidth="1"/>
    <col min="4" max="4" width="18.85546875" style="1" customWidth="1"/>
    <col min="5" max="5" width="30.5703125" style="1" customWidth="1"/>
    <col min="6" max="6" width="4.5703125" style="1" customWidth="1"/>
    <col min="7" max="7" width="8.85546875" style="1" customWidth="1"/>
    <col min="8" max="8" width="37.42578125" style="1" customWidth="1"/>
    <col min="9" max="9" width="59.140625" style="1" customWidth="1"/>
    <col min="10" max="10" width="11.42578125" style="1"/>
    <col min="11" max="11" width="48.28515625" style="1" customWidth="1"/>
    <col min="12" max="12" width="82.7109375" style="1" customWidth="1"/>
    <col min="13" max="16384" width="11.42578125" style="1"/>
  </cols>
  <sheetData>
    <row r="1" spans="1:12" ht="11.25" customHeight="1" x14ac:dyDescent="0.2">
      <c r="A1" s="108"/>
      <c r="B1" s="239"/>
      <c r="C1" s="239"/>
      <c r="D1" s="239"/>
      <c r="E1" s="258"/>
    </row>
    <row r="2" spans="1:12" ht="93" customHeight="1" x14ac:dyDescent="0.2">
      <c r="A2" s="408" t="s">
        <v>184</v>
      </c>
      <c r="B2" s="409"/>
      <c r="C2" s="409"/>
      <c r="D2" s="409"/>
      <c r="E2" s="410"/>
      <c r="G2" s="264" t="s">
        <v>152</v>
      </c>
      <c r="H2" s="264" t="s">
        <v>142</v>
      </c>
      <c r="I2" s="264" t="s">
        <v>143</v>
      </c>
      <c r="L2" s="257">
        <f xml:space="preserve">  '1. Humuswirkung der Früchte'!D6-'1. Humuswirkung der Früchte'!C6+1</f>
        <v>1</v>
      </c>
    </row>
    <row r="3" spans="1:12" ht="45.75" customHeight="1" x14ac:dyDescent="0.2">
      <c r="A3" s="240"/>
      <c r="B3" s="106" t="s">
        <v>80</v>
      </c>
      <c r="C3" s="419" t="str">
        <f>'1. Humuswirkung der Früchte'!A6&amp;IF('1. Humuswirkung der Früchte'!G6="ja"," (ökologisch "," (konventionell ")&amp;"bewirtschaftet)"</f>
        <v xml:space="preserve"> (konventionell bewirtschaftet)</v>
      </c>
      <c r="D3" s="420"/>
      <c r="E3" s="421"/>
      <c r="G3" s="264" t="s">
        <v>160</v>
      </c>
      <c r="H3" s="264" t="s">
        <v>166</v>
      </c>
      <c r="I3" s="264" t="s">
        <v>145</v>
      </c>
      <c r="K3" s="264"/>
    </row>
    <row r="4" spans="1:12" ht="37.5" customHeight="1" x14ac:dyDescent="0.2">
      <c r="A4" s="240"/>
      <c r="B4" s="236" t="s">
        <v>81</v>
      </c>
      <c r="C4" s="422" t="str">
        <f>'1. Humuswirkung der Früchte'!C6&amp;IF('1. Humuswirkung der Früchte'!C6='1. Humuswirkung der Früchte'!D6,""," bis "&amp;'1. Humuswirkung der Früchte'!D6)</f>
        <v/>
      </c>
      <c r="D4" s="423"/>
      <c r="E4" s="424"/>
      <c r="G4" s="264" t="s">
        <v>161</v>
      </c>
      <c r="H4" s="264" t="s">
        <v>167</v>
      </c>
      <c r="I4" s="264" t="s">
        <v>162</v>
      </c>
    </row>
    <row r="5" spans="1:12" ht="152.25" customHeight="1" x14ac:dyDescent="0.2">
      <c r="A5" s="240"/>
      <c r="B5" s="106" t="s">
        <v>82</v>
      </c>
      <c r="C5" s="397" t="str">
        <f>CONCATENATE('1. Humuswirkung der Früchte'!R14,IF('1. Humuswirkung der Früchte'!R14="","",", "),'1. Humuswirkung der Früchte'!R15,IF('1. Humuswirkung der Früchte'!R15="","",", "),'1. Humuswirkung der Früchte'!R16,IF('1. Humuswirkung der Früchte'!R16="","",", "),'1. Humuswirkung der Früchte'!R18,IF('1. Humuswirkung der Früchte'!R18="","",", "),'1. Humuswirkung der Früchte'!R19,IF('1. Humuswirkung der Früchte'!R19="","",", "),'1. Humuswirkung der Früchte'!R20,IF('1. Humuswirkung der Früchte'!R20="","",", "),'1. Humuswirkung der Früchte'!R22,IF('1. Humuswirkung der Früchte'!R22="","",", "),'1. Humuswirkung der Früchte'!R27,IF('1. Humuswirkung der Früchte'!R27="","",", "),'1. Humuswirkung der Früchte'!R33,IF('1. Humuswirkung der Früchte'!R33="","",", "),'1. Humuswirkung der Früchte'!R38,IF('1. Humuswirkung der Früchte'!R38="","",", "),'1. Humuswirkung der Früchte'!R39,IF('1. Humuswirkung der Früchte'!R39="","",", "),'1. Humuswirkung der Früchte'!R47,IF('1. Humuswirkung der Früchte'!R47="","",", "),'1. Humuswirkung der Früchte'!R60,IF('1. Humuswirkung der Früchte'!R60="","",", "))</f>
        <v/>
      </c>
      <c r="D5" s="398"/>
      <c r="E5" s="399"/>
      <c r="G5" s="264" t="s">
        <v>159</v>
      </c>
      <c r="H5" s="264" t="s">
        <v>168</v>
      </c>
      <c r="I5" s="264" t="s">
        <v>146</v>
      </c>
    </row>
    <row r="6" spans="1:12" ht="63" customHeight="1" x14ac:dyDescent="0.2">
      <c r="A6" s="240"/>
      <c r="B6" s="106" t="str">
        <f>"Anbau  von Zwischenfrüchten in ... "&amp;IF(C6=1,"Jahr","Jahren")</f>
        <v>Anbau  von Zwischenfrüchten in ... Jahren</v>
      </c>
      <c r="C6" s="397" t="str">
        <f>IF(SUM('1. Humuswirkung der Früchte'!C52:C58)&gt;0,SUM('1. Humuswirkung der Früchte'!C52:C58),"keine")</f>
        <v>keine</v>
      </c>
      <c r="D6" s="398"/>
      <c r="E6" s="399"/>
      <c r="G6" s="264" t="s">
        <v>163</v>
      </c>
      <c r="H6" s="264" t="s">
        <v>169</v>
      </c>
      <c r="I6" s="264" t="s">
        <v>145</v>
      </c>
    </row>
    <row r="7" spans="1:12" ht="64.5" customHeight="1" x14ac:dyDescent="0.2">
      <c r="A7" s="108"/>
      <c r="B7" s="106" t="s">
        <v>112</v>
      </c>
      <c r="C7" s="397" t="str">
        <f>IF('2. Zufuhr von org. Material'!H29=0,"keine",CONCATENATE('2. Zufuhr von org. Material'!N7,IF('2. Zufuhr von org. Material'!N7="","",", "),'2. Zufuhr von org. Material'!N10,IF('2. Zufuhr von org. Material'!N10="","",", "),'2. Zufuhr von org. Material'!N16,IF('2. Zufuhr von org. Material'!N16="","",", "),'2. Zufuhr von org. Material'!N19,IF('2. Zufuhr von org. Material'!N19="","",", "),'2. Zufuhr von org. Material'!N21,IF('2. Zufuhr von org. Material'!N21="","",", "),'2. Zufuhr von org. Material'!N23))</f>
        <v>keine</v>
      </c>
      <c r="D7" s="398"/>
      <c r="E7" s="399"/>
      <c r="G7" s="264" t="s">
        <v>155</v>
      </c>
      <c r="H7" s="264" t="s">
        <v>172</v>
      </c>
      <c r="I7" s="264" t="s">
        <v>173</v>
      </c>
    </row>
    <row r="8" spans="1:12" ht="62.25" customHeight="1" x14ac:dyDescent="0.2">
      <c r="A8" s="240"/>
      <c r="B8" s="242" t="s">
        <v>97</v>
      </c>
      <c r="C8" s="107"/>
      <c r="D8" s="244" t="str">
        <f>IF(SUM('1. Humuswirkung der Früchte'!N4:N63,'2. Zufuhr von org. Material'!J7:J23)&gt;0,"",ROUND(('1. Humuswirkung der Früchte'!L64+'2. Zufuhr von org. Material'!H29)/L2,0))</f>
        <v/>
      </c>
      <c r="E8" s="243" t="s">
        <v>77</v>
      </c>
      <c r="F8" s="241"/>
      <c r="G8" s="264" t="s">
        <v>156</v>
      </c>
      <c r="H8" s="264" t="s">
        <v>170</v>
      </c>
      <c r="I8" s="264" t="s">
        <v>165</v>
      </c>
    </row>
    <row r="9" spans="1:12" ht="77.25" customHeight="1" x14ac:dyDescent="0.2">
      <c r="A9" s="240"/>
      <c r="B9" s="245" t="s">
        <v>142</v>
      </c>
      <c r="C9" s="401" t="str">
        <f>IF(D8="","Angaben nicht korrekt, bitte beachten Sie die Hinweise!",IF('1. Humuswirkung der Früchte'!G6="ja",IF(D8&lt;-200,H4,IF(D8&lt;0,H6,IF(D8&lt;301,H7,IF(D8&lt;501,H8,H9)))),IF(D8&lt;-200,H3,IF(D8&lt;-75,H5,IF(D8&lt;101,H7,IF(D8&lt;301,H8,H9))))))</f>
        <v>Angaben nicht korrekt, bitte beachten Sie die Hinweise!</v>
      </c>
      <c r="D9" s="402"/>
      <c r="E9" s="403"/>
      <c r="G9" s="264" t="s">
        <v>157</v>
      </c>
      <c r="H9" s="264" t="s">
        <v>171</v>
      </c>
      <c r="I9" s="264" t="s">
        <v>164</v>
      </c>
    </row>
    <row r="10" spans="1:12" ht="53.25" customHeight="1" x14ac:dyDescent="0.2">
      <c r="A10" s="109"/>
      <c r="B10" s="411" t="s">
        <v>143</v>
      </c>
      <c r="C10" s="413" t="str">
        <f>IF(D8="","Angaben nicht korrekt, bitte beachten Sie die Hinweise!",IF('1. Humuswirkung der Früchte'!G6="ja",IF(D8&lt;-200,I4,IF(D8&lt;0,I6,IF(D8&lt;301,I7,IF(D8&lt;501,I8,I9)))),IF(D8&lt;-200,I3,IF(D8&lt;-75,I5,IF(D8&lt;101,I7,IF(D8&lt;301,I8,I9))))))</f>
        <v>Angaben nicht korrekt, bitte beachten Sie die Hinweise!</v>
      </c>
      <c r="D10" s="414"/>
      <c r="E10" s="415"/>
      <c r="G10" s="264"/>
      <c r="H10" s="264"/>
      <c r="I10" s="264"/>
    </row>
    <row r="11" spans="1:12" ht="36" customHeight="1" x14ac:dyDescent="0.2">
      <c r="A11" s="105"/>
      <c r="B11" s="412"/>
      <c r="C11" s="416"/>
      <c r="D11" s="417"/>
      <c r="E11" s="418"/>
    </row>
    <row r="12" spans="1:12" ht="3" customHeight="1" x14ac:dyDescent="0.2">
      <c r="A12" s="405"/>
      <c r="B12" s="406"/>
      <c r="C12" s="406"/>
      <c r="D12" s="406"/>
      <c r="E12" s="407"/>
    </row>
    <row r="13" spans="1:12" ht="15.75" customHeight="1" x14ac:dyDescent="0.2">
      <c r="A13" s="400" t="s">
        <v>144</v>
      </c>
      <c r="B13" s="400"/>
      <c r="C13" s="254" t="s">
        <v>152</v>
      </c>
      <c r="D13" s="254" t="s">
        <v>158</v>
      </c>
      <c r="E13" s="255" t="s">
        <v>142</v>
      </c>
      <c r="J13" s="237"/>
    </row>
    <row r="14" spans="1:12" ht="19.5" customHeight="1" x14ac:dyDescent="0.2">
      <c r="A14" s="400"/>
      <c r="B14" s="400"/>
      <c r="C14" s="238" t="s">
        <v>153</v>
      </c>
      <c r="D14" s="238" t="s">
        <v>141</v>
      </c>
      <c r="E14" s="238" t="s">
        <v>92</v>
      </c>
    </row>
    <row r="15" spans="1:12" ht="19.5" customHeight="1" x14ac:dyDescent="0.2">
      <c r="A15" s="400"/>
      <c r="B15" s="400"/>
      <c r="C15" s="253" t="s">
        <v>154</v>
      </c>
      <c r="D15" s="253" t="str">
        <f>IF('1. Humuswirkung der Früchte'!G$6="ja","- 200 bis - 1","-200 bis - 76")</f>
        <v>-200 bis - 76</v>
      </c>
      <c r="E15" s="238" t="s">
        <v>93</v>
      </c>
    </row>
    <row r="16" spans="1:12" ht="19.5" customHeight="1" x14ac:dyDescent="0.2">
      <c r="A16" s="400"/>
      <c r="B16" s="400"/>
      <c r="C16" s="253" t="s">
        <v>155</v>
      </c>
      <c r="D16" s="253" t="str">
        <f>IF('1. Humuswirkung der Früchte'!G$6="ja","0 bis 300","- 75 bis 100")</f>
        <v>- 75 bis 100</v>
      </c>
      <c r="E16" s="238" t="s">
        <v>94</v>
      </c>
    </row>
    <row r="17" spans="1:19" ht="19.5" customHeight="1" x14ac:dyDescent="0.2">
      <c r="A17" s="400"/>
      <c r="B17" s="400"/>
      <c r="C17" s="238" t="s">
        <v>156</v>
      </c>
      <c r="D17" s="253" t="str">
        <f>IF('1. Humuswirkung der Früchte'!G$6="ja","301 bis 500","101 bis 300")</f>
        <v>101 bis 300</v>
      </c>
      <c r="E17" s="238" t="s">
        <v>95</v>
      </c>
    </row>
    <row r="18" spans="1:19" ht="18.75" customHeight="1" x14ac:dyDescent="0.2">
      <c r="A18" s="400"/>
      <c r="B18" s="400"/>
      <c r="C18" s="238" t="s">
        <v>157</v>
      </c>
      <c r="D18" s="253" t="str">
        <f>IF('1. Humuswirkung der Früchte'!G$6="ja","&gt; 500","&gt; 300")</f>
        <v>&gt; 300</v>
      </c>
      <c r="E18" s="238" t="s">
        <v>96</v>
      </c>
    </row>
    <row r="19" spans="1:19" ht="47.25" customHeight="1" x14ac:dyDescent="0.2">
      <c r="A19" s="241"/>
      <c r="J19" s="264"/>
      <c r="K19" s="264"/>
      <c r="L19" s="264"/>
    </row>
    <row r="20" spans="1:19" ht="28.5" customHeight="1" x14ac:dyDescent="0.2"/>
    <row r="21" spans="1:19" ht="34.5" customHeight="1" x14ac:dyDescent="0.2">
      <c r="M21" s="247"/>
      <c r="N21" s="247"/>
      <c r="O21" s="247"/>
      <c r="P21" s="247"/>
      <c r="Q21" s="247"/>
      <c r="R21" s="247"/>
      <c r="S21" s="247"/>
    </row>
    <row r="22" spans="1:19" ht="34.5" customHeight="1" x14ac:dyDescent="0.2">
      <c r="M22" s="247"/>
      <c r="N22" s="247"/>
      <c r="O22" s="247"/>
      <c r="P22" s="247"/>
      <c r="Q22" s="247"/>
      <c r="R22" s="247"/>
      <c r="S22" s="247"/>
    </row>
    <row r="23" spans="1:19" ht="34.5" customHeight="1" x14ac:dyDescent="0.2">
      <c r="M23" s="247"/>
      <c r="N23" s="247"/>
      <c r="O23" s="247"/>
      <c r="P23" s="247"/>
      <c r="Q23" s="247"/>
      <c r="R23" s="247"/>
      <c r="S23" s="247"/>
    </row>
    <row r="24" spans="1:19" ht="34.5" customHeight="1" x14ac:dyDescent="0.2">
      <c r="M24" s="247"/>
      <c r="N24" s="247"/>
      <c r="O24" s="247"/>
      <c r="P24" s="247"/>
      <c r="Q24" s="247"/>
      <c r="R24" s="247"/>
      <c r="S24" s="247"/>
    </row>
    <row r="25" spans="1:19" ht="34.5" customHeight="1" x14ac:dyDescent="0.2">
      <c r="M25" s="247"/>
      <c r="N25" s="247"/>
      <c r="O25" s="247"/>
      <c r="P25" s="247"/>
      <c r="Q25" s="247"/>
      <c r="R25" s="247"/>
      <c r="S25" s="247"/>
    </row>
    <row r="26" spans="1:19" ht="34.5" customHeight="1" x14ac:dyDescent="0.2">
      <c r="M26" s="247"/>
      <c r="N26" s="247"/>
      <c r="O26" s="247"/>
      <c r="P26" s="247"/>
      <c r="Q26" s="247"/>
      <c r="R26" s="247"/>
      <c r="S26" s="247"/>
    </row>
    <row r="27" spans="1:19" ht="34.5" customHeight="1" x14ac:dyDescent="0.25">
      <c r="M27" s="256"/>
      <c r="N27" s="256"/>
      <c r="O27" s="256"/>
      <c r="P27" s="256"/>
      <c r="Q27" s="256"/>
      <c r="R27" s="256"/>
    </row>
    <row r="28" spans="1:19" ht="34.5" customHeight="1" x14ac:dyDescent="0.2">
      <c r="J28" s="264"/>
      <c r="K28" s="264"/>
      <c r="L28" s="264"/>
    </row>
    <row r="29" spans="1:19" ht="34.5" customHeight="1" x14ac:dyDescent="0.2"/>
    <row r="30" spans="1:19" ht="34.5" customHeight="1" x14ac:dyDescent="0.2"/>
    <row r="31" spans="1:19" ht="34.5" customHeight="1" x14ac:dyDescent="0.2">
      <c r="K31" s="246"/>
      <c r="L31" s="246"/>
      <c r="M31" s="246"/>
      <c r="N31" s="246"/>
      <c r="O31" s="246"/>
      <c r="P31" s="246"/>
      <c r="Q31" s="246"/>
      <c r="R31" s="246"/>
    </row>
    <row r="32" spans="1:19" ht="34.5" customHeight="1" x14ac:dyDescent="0.2"/>
    <row r="33" spans="11:18" ht="34.5" customHeight="1" x14ac:dyDescent="0.2"/>
    <row r="34" spans="11:18" ht="34.5" customHeight="1" x14ac:dyDescent="0.2">
      <c r="K34" s="404"/>
      <c r="L34" s="404"/>
      <c r="M34" s="404"/>
      <c r="N34" s="404"/>
      <c r="O34" s="404"/>
      <c r="P34" s="404"/>
      <c r="Q34" s="404"/>
      <c r="R34" s="404"/>
    </row>
  </sheetData>
  <sheetProtection password="DB7B" sheet="1" selectLockedCells="1"/>
  <customSheetViews>
    <customSheetView guid="{38621A12-BF95-4C99-9393-5E9BE54F8B73}" showRuler="0">
      <pane xSplit="3" ySplit="12.208333333333334" topLeftCell="D14" activePane="bottomRight" state="frozen"/>
      <selection pane="bottomRight" activeCell="D7" sqref="D7"/>
      <pageMargins left="1.52" right="0.78740157499999996" top="1.06" bottom="0.984251969" header="0.4921259845" footer="0.4921259845"/>
      <pageSetup paperSize="9" orientation="landscape" r:id="rId1"/>
      <headerFooter alignWithMargins="0"/>
    </customSheetView>
  </customSheetViews>
  <mergeCells count="12">
    <mergeCell ref="A2:E2"/>
    <mergeCell ref="B10:B11"/>
    <mergeCell ref="C10:E11"/>
    <mergeCell ref="C5:E5"/>
    <mergeCell ref="C3:E3"/>
    <mergeCell ref="C4:E4"/>
    <mergeCell ref="C7:E7"/>
    <mergeCell ref="C6:E6"/>
    <mergeCell ref="A13:B18"/>
    <mergeCell ref="C9:E9"/>
    <mergeCell ref="K34:R34"/>
    <mergeCell ref="A12:E12"/>
  </mergeCells>
  <phoneticPr fontId="0" type="noConversion"/>
  <conditionalFormatting sqref="C10">
    <cfRule type="expression" dxfId="0" priority="1" stopIfTrue="1">
      <formula>LEFT(C10,3)="Ang"</formula>
    </cfRule>
  </conditionalFormatting>
  <pageMargins left="1.0629921259842521" right="1.0236220472440944" top="1.0236220472440944" bottom="0.98425196850393704" header="0.51181102362204722" footer="0.51181102362204722"/>
  <pageSetup paperSize="9" scale="78" orientation="portrait" r:id="rId2"/>
  <headerFooter scaleWithDoc="0"/>
  <drawing r:id="rId3"/>
  <legacyDrawing r:id="rId4"/>
  <oleObjects>
    <mc:AlternateContent xmlns:mc="http://schemas.openxmlformats.org/markup-compatibility/2006">
      <mc:Choice Requires="x14">
        <oleObject shapeId="13313" r:id="rId5">
          <objectPr defaultSize="0" autoPict="0" r:id="rId6">
            <anchor moveWithCells="1">
              <from>
                <xdr:col>4</xdr:col>
                <xdr:colOff>628650</xdr:colOff>
                <xdr:row>1</xdr:row>
                <xdr:rowOff>200025</xdr:rowOff>
              </from>
              <to>
                <xdr:col>4</xdr:col>
                <xdr:colOff>1819275</xdr:colOff>
                <xdr:row>1</xdr:row>
                <xdr:rowOff>1000125</xdr:rowOff>
              </to>
            </anchor>
          </objectPr>
        </oleObject>
      </mc:Choice>
      <mc:Fallback>
        <oleObject shapeId="13313" r:id="rId5"/>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Erläuterung</vt:lpstr>
      <vt:lpstr>1. Humuswirkung der Früchte</vt:lpstr>
      <vt:lpstr>2. Zufuhr von org. Material</vt:lpstr>
      <vt:lpstr>3. Ergebnis</vt:lpstr>
      <vt:lpstr>'3. Ergebnis'!Druckbereich</vt:lpstr>
    </vt:vector>
  </TitlesOfParts>
  <Company>LfL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Rudolf Rippel</dc:creator>
  <cp:lastModifiedBy>Rinder, Waltraud (LfL)</cp:lastModifiedBy>
  <cp:lastPrinted>2015-09-21T11:11:28Z</cp:lastPrinted>
  <dcterms:created xsi:type="dcterms:W3CDTF">2004-11-15T07:14:11Z</dcterms:created>
  <dcterms:modified xsi:type="dcterms:W3CDTF">2021-10-28T13:37:52Z</dcterms:modified>
</cp:coreProperties>
</file>